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0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1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10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0D398305-D44D-B548-888C-C2155DA856D6}" xr6:coauthVersionLast="40" xr6:coauthVersionMax="40" xr10:uidLastSave="{00000000-0000-0000-0000-000000000000}"/>
  <bookViews>
    <workbookView xWindow="12060" yWindow="3100" windowWidth="39140" windowHeight="24240" tabRatio="711" activeTab="12" xr2:uid="{00000000-000D-0000-FFFF-FFFF00000000}"/>
  </bookViews>
  <sheets>
    <sheet name="ADP500" sheetId="2" r:id="rId1"/>
    <sheet name="ADP600" sheetId="13" r:id="rId2"/>
    <sheet name="ADP800" sheetId="9" r:id="rId3"/>
    <sheet name="ADP1000" sheetId="3" r:id="rId4"/>
    <sheet name="ADP1200" sheetId="10" r:id="rId5"/>
    <sheet name="U5MoADP" sheetId="11" r:id="rId6"/>
    <sheet name="U10MoADP" sheetId="18" r:id="rId7"/>
    <sheet name="U15MoADP" sheetId="12" r:id="rId8"/>
    <sheet name="bccMo300" sheetId="19" r:id="rId9"/>
    <sheet name="U50MoADP" sheetId="16" r:id="rId10"/>
    <sheet name="ADP swelling 500K" sheetId="7" r:id="rId11"/>
    <sheet name="atom swap" sheetId="5" r:id="rId12"/>
    <sheet name="summary" sheetId="15" r:id="rId13"/>
    <sheet name="summary2" sheetId="17" r:id="rId14"/>
  </sheets>
  <calcPr calcId="191029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I74" i="11" l="1"/>
  <c r="AI78" i="11"/>
  <c r="C5" i="15"/>
  <c r="M10" i="15"/>
  <c r="R10" i="15"/>
  <c r="C15" i="15"/>
  <c r="C6" i="15"/>
  <c r="C16" i="15"/>
  <c r="C7" i="15"/>
  <c r="C17" i="15"/>
  <c r="C8" i="15"/>
  <c r="C18" i="15"/>
  <c r="C9" i="15"/>
  <c r="C19" i="15"/>
  <c r="C4" i="15"/>
  <c r="C14" i="15"/>
  <c r="AI84" i="11"/>
  <c r="AI82" i="11"/>
  <c r="AJ83" i="11"/>
  <c r="AM83" i="11"/>
  <c r="AN83" i="11"/>
  <c r="AP83" i="11"/>
  <c r="AI80" i="11"/>
  <c r="AJ81" i="11"/>
  <c r="AM81" i="11"/>
  <c r="AN81" i="11"/>
  <c r="AP81" i="11"/>
  <c r="AJ79" i="11"/>
  <c r="AM79" i="11"/>
  <c r="AN79" i="11"/>
  <c r="AP79" i="11"/>
  <c r="AI91" i="11"/>
  <c r="AI89" i="11"/>
  <c r="AN84" i="11"/>
  <c r="AN82" i="11"/>
  <c r="AK79" i="11"/>
  <c r="AL79" i="11"/>
  <c r="AI87" i="11"/>
  <c r="AN80" i="11"/>
  <c r="M252" i="16"/>
  <c r="M184" i="16"/>
  <c r="M116" i="16"/>
  <c r="M49" i="16"/>
  <c r="AK81" i="11"/>
  <c r="AK83" i="11"/>
  <c r="AL83" i="11"/>
  <c r="AL81" i="11"/>
  <c r="AH83" i="11"/>
  <c r="AH81" i="11"/>
  <c r="AH79" i="11"/>
  <c r="AF80" i="11"/>
  <c r="AG82" i="11"/>
  <c r="AG84" i="11"/>
  <c r="AG80" i="11"/>
  <c r="AF84" i="11"/>
  <c r="AF82" i="11"/>
  <c r="M260" i="11"/>
  <c r="M170" i="11"/>
  <c r="M101" i="11"/>
  <c r="M32" i="11"/>
  <c r="R35" i="17"/>
  <c r="R36" i="17"/>
  <c r="S36" i="17"/>
  <c r="T36" i="17"/>
  <c r="U36" i="17"/>
  <c r="V36" i="17"/>
  <c r="R37" i="17"/>
  <c r="S37" i="17"/>
  <c r="T37" i="17"/>
  <c r="U37" i="17"/>
  <c r="V37" i="17"/>
  <c r="R38" i="17"/>
  <c r="S38" i="17"/>
  <c r="T38" i="17"/>
  <c r="U38" i="17"/>
  <c r="V38" i="17"/>
  <c r="R39" i="17"/>
  <c r="S39" i="17"/>
  <c r="T39" i="17"/>
  <c r="T48" i="17"/>
  <c r="U39" i="17"/>
  <c r="U48" i="17"/>
  <c r="V39" i="17"/>
  <c r="V48" i="17"/>
  <c r="R40" i="17"/>
  <c r="S40" i="17"/>
  <c r="T40" i="17"/>
  <c r="U40" i="17"/>
  <c r="V40" i="17"/>
  <c r="S35" i="17"/>
  <c r="T35" i="17"/>
  <c r="U35" i="17"/>
  <c r="V35" i="17"/>
  <c r="X23" i="17"/>
  <c r="Y26" i="17"/>
  <c r="R45" i="17"/>
  <c r="S45" i="17"/>
  <c r="T45" i="17"/>
  <c r="U45" i="17"/>
  <c r="V45" i="17"/>
  <c r="R46" i="17"/>
  <c r="S46" i="17"/>
  <c r="T46" i="17"/>
  <c r="U46" i="17"/>
  <c r="V46" i="17"/>
  <c r="R47" i="17"/>
  <c r="S47" i="17"/>
  <c r="T47" i="17"/>
  <c r="U47" i="17"/>
  <c r="V47" i="17"/>
  <c r="R48" i="17"/>
  <c r="S48" i="17"/>
  <c r="S44" i="17"/>
  <c r="T44" i="17"/>
  <c r="U44" i="17"/>
  <c r="V44" i="17"/>
  <c r="R44" i="17"/>
  <c r="X26" i="17"/>
  <c r="X25" i="17"/>
  <c r="S14" i="19"/>
  <c r="S15" i="19"/>
  <c r="S16" i="19"/>
  <c r="S17" i="19"/>
  <c r="S18" i="19"/>
  <c r="T14" i="19"/>
  <c r="D4" i="19"/>
  <c r="D5" i="19"/>
  <c r="D6" i="19"/>
  <c r="D7" i="19"/>
  <c r="D8" i="19"/>
  <c r="D9" i="19"/>
  <c r="D10" i="19"/>
  <c r="D11" i="19"/>
  <c r="D12" i="19"/>
  <c r="D3" i="19"/>
  <c r="D13" i="19"/>
  <c r="S72" i="19"/>
  <c r="T72" i="19"/>
  <c r="U72" i="19"/>
  <c r="V72" i="19"/>
  <c r="S71" i="19"/>
  <c r="T71" i="19"/>
  <c r="U71" i="19"/>
  <c r="V71" i="19"/>
  <c r="S70" i="19"/>
  <c r="T70" i="19"/>
  <c r="U70" i="19"/>
  <c r="V70" i="19"/>
  <c r="S69" i="19"/>
  <c r="T69" i="19"/>
  <c r="U69" i="19"/>
  <c r="V69" i="19"/>
  <c r="S68" i="19"/>
  <c r="T68" i="19"/>
  <c r="U68" i="19"/>
  <c r="V68" i="19"/>
  <c r="S66" i="19"/>
  <c r="T66" i="19"/>
  <c r="U66" i="19"/>
  <c r="V66" i="19"/>
  <c r="S65" i="19"/>
  <c r="T65" i="19"/>
  <c r="U65" i="19"/>
  <c r="V65" i="19"/>
  <c r="S64" i="19"/>
  <c r="T64" i="19"/>
  <c r="U64" i="19"/>
  <c r="V64" i="19"/>
  <c r="S63" i="19"/>
  <c r="T63" i="19"/>
  <c r="U63" i="19"/>
  <c r="V63" i="19"/>
  <c r="S62" i="19"/>
  <c r="T62" i="19"/>
  <c r="U62" i="19"/>
  <c r="V62" i="19"/>
  <c r="S60" i="19"/>
  <c r="T60" i="19"/>
  <c r="U60" i="19"/>
  <c r="V60" i="19"/>
  <c r="S59" i="19"/>
  <c r="T59" i="19"/>
  <c r="U59" i="19"/>
  <c r="V59" i="19"/>
  <c r="S58" i="19"/>
  <c r="T58" i="19"/>
  <c r="U58" i="19"/>
  <c r="V58" i="19"/>
  <c r="S57" i="19"/>
  <c r="T57" i="19"/>
  <c r="U57" i="19"/>
  <c r="V57" i="19"/>
  <c r="S56" i="19"/>
  <c r="T56" i="19"/>
  <c r="U56" i="19"/>
  <c r="V56" i="19"/>
  <c r="S54" i="19"/>
  <c r="T54" i="19"/>
  <c r="U54" i="19"/>
  <c r="V54" i="19"/>
  <c r="S53" i="19"/>
  <c r="T53" i="19"/>
  <c r="U53" i="19"/>
  <c r="V53" i="19"/>
  <c r="S52" i="19"/>
  <c r="T52" i="19"/>
  <c r="U52" i="19"/>
  <c r="V52" i="19"/>
  <c r="S51" i="19"/>
  <c r="T51" i="19"/>
  <c r="U51" i="19"/>
  <c r="V51" i="19"/>
  <c r="S50" i="19"/>
  <c r="T50" i="19"/>
  <c r="U50" i="19"/>
  <c r="V50" i="19"/>
  <c r="S48" i="19"/>
  <c r="T48" i="19"/>
  <c r="U48" i="19"/>
  <c r="V48" i="19"/>
  <c r="S47" i="19"/>
  <c r="T47" i="19"/>
  <c r="U47" i="19"/>
  <c r="V47" i="19"/>
  <c r="S46" i="19"/>
  <c r="T46" i="19"/>
  <c r="U46" i="19"/>
  <c r="V46" i="19"/>
  <c r="S45" i="19"/>
  <c r="T45" i="19"/>
  <c r="U45" i="19"/>
  <c r="V45" i="19"/>
  <c r="S44" i="19"/>
  <c r="T44" i="19"/>
  <c r="U44" i="19"/>
  <c r="V44" i="19"/>
  <c r="S42" i="19"/>
  <c r="T42" i="19"/>
  <c r="U42" i="19"/>
  <c r="V42" i="19"/>
  <c r="S41" i="19"/>
  <c r="T41" i="19"/>
  <c r="U41" i="19"/>
  <c r="V41" i="19"/>
  <c r="S40" i="19"/>
  <c r="T40" i="19"/>
  <c r="U40" i="19"/>
  <c r="V40" i="19"/>
  <c r="S39" i="19"/>
  <c r="T39" i="19"/>
  <c r="U39" i="19"/>
  <c r="V39" i="19"/>
  <c r="S38" i="19"/>
  <c r="T38" i="19"/>
  <c r="U38" i="19"/>
  <c r="V38" i="19"/>
  <c r="S36" i="19"/>
  <c r="T36" i="19"/>
  <c r="U36" i="19"/>
  <c r="V36" i="19"/>
  <c r="S35" i="19"/>
  <c r="T35" i="19"/>
  <c r="U35" i="19"/>
  <c r="V35" i="19"/>
  <c r="S34" i="19"/>
  <c r="T34" i="19"/>
  <c r="U34" i="19"/>
  <c r="V34" i="19"/>
  <c r="S33" i="19"/>
  <c r="T33" i="19"/>
  <c r="U33" i="19"/>
  <c r="V33" i="19"/>
  <c r="S32" i="19"/>
  <c r="T32" i="19"/>
  <c r="U32" i="19"/>
  <c r="V32" i="19"/>
  <c r="S30" i="19"/>
  <c r="T30" i="19"/>
  <c r="U30" i="19"/>
  <c r="V30" i="19"/>
  <c r="S29" i="19"/>
  <c r="T29" i="19"/>
  <c r="U29" i="19"/>
  <c r="V29" i="19"/>
  <c r="S28" i="19"/>
  <c r="T28" i="19"/>
  <c r="U28" i="19"/>
  <c r="V28" i="19"/>
  <c r="S27" i="19"/>
  <c r="T27" i="19"/>
  <c r="U27" i="19"/>
  <c r="V27" i="19"/>
  <c r="S26" i="19"/>
  <c r="T26" i="19"/>
  <c r="U26" i="19"/>
  <c r="V26" i="19"/>
  <c r="S24" i="19"/>
  <c r="T24" i="19"/>
  <c r="U24" i="19"/>
  <c r="V24" i="19"/>
  <c r="S23" i="19"/>
  <c r="T23" i="19"/>
  <c r="U23" i="19"/>
  <c r="V23" i="19"/>
  <c r="S22" i="19"/>
  <c r="T22" i="19"/>
  <c r="U22" i="19"/>
  <c r="V22" i="19"/>
  <c r="S21" i="19"/>
  <c r="T21" i="19"/>
  <c r="U21" i="19"/>
  <c r="V21" i="19"/>
  <c r="S20" i="19"/>
  <c r="T20" i="19"/>
  <c r="U20" i="19"/>
  <c r="V20" i="19"/>
  <c r="T18" i="19"/>
  <c r="U18" i="19"/>
  <c r="V18" i="19"/>
  <c r="T17" i="19"/>
  <c r="U17" i="19"/>
  <c r="V17" i="19"/>
  <c r="T16" i="19"/>
  <c r="U16" i="19"/>
  <c r="V16" i="19"/>
  <c r="T15" i="19"/>
  <c r="U15" i="19"/>
  <c r="V15" i="19"/>
  <c r="U14" i="19"/>
  <c r="V14" i="19"/>
  <c r="E31" i="10"/>
  <c r="E32" i="10"/>
  <c r="E33" i="10"/>
  <c r="E34" i="10"/>
  <c r="E35" i="10"/>
  <c r="E36" i="10"/>
  <c r="E37" i="10"/>
  <c r="E38" i="10"/>
  <c r="E39" i="10"/>
  <c r="E40" i="10"/>
  <c r="E41" i="10"/>
  <c r="Q174" i="10"/>
  <c r="R174" i="10"/>
  <c r="Q173" i="10"/>
  <c r="R173" i="10"/>
  <c r="Q172" i="10"/>
  <c r="R172" i="10"/>
  <c r="Q171" i="10"/>
  <c r="R171" i="10"/>
  <c r="Q170" i="10"/>
  <c r="R170" i="10"/>
  <c r="Q168" i="10"/>
  <c r="R168" i="10"/>
  <c r="Q167" i="10"/>
  <c r="R167" i="10"/>
  <c r="Q166" i="10"/>
  <c r="R166" i="10"/>
  <c r="Q165" i="10"/>
  <c r="R165" i="10"/>
  <c r="Q164" i="10"/>
  <c r="R164" i="10"/>
  <c r="Q162" i="10"/>
  <c r="R162" i="10"/>
  <c r="Q161" i="10"/>
  <c r="R161" i="10"/>
  <c r="Q160" i="10"/>
  <c r="R160" i="10"/>
  <c r="Q159" i="10"/>
  <c r="R159" i="10"/>
  <c r="Q158" i="10"/>
  <c r="R158" i="10"/>
  <c r="Q156" i="10"/>
  <c r="R156" i="10"/>
  <c r="Q155" i="10"/>
  <c r="R155" i="10"/>
  <c r="Q154" i="10"/>
  <c r="R154" i="10"/>
  <c r="Q153" i="10"/>
  <c r="R153" i="10"/>
  <c r="Q152" i="10"/>
  <c r="R152" i="10"/>
  <c r="Q150" i="10"/>
  <c r="R150" i="10"/>
  <c r="Q149" i="10"/>
  <c r="R149" i="10"/>
  <c r="Q148" i="10"/>
  <c r="R148" i="10"/>
  <c r="Q147" i="10"/>
  <c r="R147" i="10"/>
  <c r="Q146" i="10"/>
  <c r="R146" i="10"/>
  <c r="Q144" i="10"/>
  <c r="R144" i="10"/>
  <c r="Q143" i="10"/>
  <c r="R143" i="10"/>
  <c r="Q142" i="10"/>
  <c r="R142" i="10"/>
  <c r="Q141" i="10"/>
  <c r="R141" i="10"/>
  <c r="Q140" i="10"/>
  <c r="R140" i="10"/>
  <c r="Q138" i="10"/>
  <c r="R138" i="10"/>
  <c r="Q137" i="10"/>
  <c r="R137" i="10"/>
  <c r="Q136" i="10"/>
  <c r="R136" i="10"/>
  <c r="Q135" i="10"/>
  <c r="R135" i="10"/>
  <c r="Q134" i="10"/>
  <c r="R134" i="10"/>
  <c r="Q132" i="10"/>
  <c r="R132" i="10"/>
  <c r="Q131" i="10"/>
  <c r="R131" i="10"/>
  <c r="Q130" i="10"/>
  <c r="R130" i="10"/>
  <c r="Q129" i="10"/>
  <c r="R129" i="10"/>
  <c r="Q128" i="10"/>
  <c r="R128" i="10"/>
  <c r="Q126" i="10"/>
  <c r="R126" i="10"/>
  <c r="Q125" i="10"/>
  <c r="R125" i="10"/>
  <c r="Q124" i="10"/>
  <c r="R124" i="10"/>
  <c r="Q123" i="10"/>
  <c r="R123" i="10"/>
  <c r="Q122" i="10"/>
  <c r="R122" i="10"/>
  <c r="Q120" i="10"/>
  <c r="R120" i="10"/>
  <c r="Q119" i="10"/>
  <c r="R119" i="10"/>
  <c r="Q118" i="10"/>
  <c r="R118" i="10"/>
  <c r="Q117" i="10"/>
  <c r="R117" i="10"/>
  <c r="Q116" i="10"/>
  <c r="R116" i="10"/>
  <c r="K6" i="3"/>
  <c r="K7" i="3"/>
  <c r="K8" i="3"/>
  <c r="K9" i="3"/>
  <c r="K10" i="3"/>
  <c r="K11" i="3"/>
  <c r="K12" i="3"/>
  <c r="K13" i="3"/>
  <c r="K14" i="3"/>
  <c r="K15" i="3"/>
  <c r="K16" i="3"/>
  <c r="P207" i="3"/>
  <c r="Q207" i="3"/>
  <c r="P208" i="3"/>
  <c r="Q208" i="3"/>
  <c r="P209" i="3"/>
  <c r="Q209" i="3"/>
  <c r="P210" i="3"/>
  <c r="Q210" i="3"/>
  <c r="P206" i="3"/>
  <c r="Q206" i="3"/>
  <c r="P201" i="3"/>
  <c r="Q201" i="3"/>
  <c r="P202" i="3"/>
  <c r="Q202" i="3"/>
  <c r="P203" i="3"/>
  <c r="Q203" i="3"/>
  <c r="P204" i="3"/>
  <c r="Q204" i="3"/>
  <c r="P200" i="3"/>
  <c r="Q200" i="3"/>
  <c r="P195" i="3"/>
  <c r="Q195" i="3"/>
  <c r="P196" i="3"/>
  <c r="Q196" i="3"/>
  <c r="P197" i="3"/>
  <c r="Q197" i="3"/>
  <c r="P198" i="3"/>
  <c r="Q198" i="3"/>
  <c r="P194" i="3"/>
  <c r="Q194" i="3"/>
  <c r="P183" i="3"/>
  <c r="Q183" i="3"/>
  <c r="P184" i="3"/>
  <c r="Q184" i="3"/>
  <c r="P185" i="3"/>
  <c r="Q185" i="3"/>
  <c r="P186" i="3"/>
  <c r="Q186" i="3"/>
  <c r="P182" i="3"/>
  <c r="Q182" i="3"/>
  <c r="P171" i="3"/>
  <c r="Q171" i="3"/>
  <c r="P172" i="3"/>
  <c r="Q172" i="3"/>
  <c r="P173" i="3"/>
  <c r="Q173" i="3"/>
  <c r="P174" i="3"/>
  <c r="Q174" i="3"/>
  <c r="P170" i="3"/>
  <c r="Q170" i="3"/>
  <c r="P159" i="3"/>
  <c r="Q159" i="3"/>
  <c r="P160" i="3"/>
  <c r="Q160" i="3"/>
  <c r="P161" i="3"/>
  <c r="Q161" i="3"/>
  <c r="P162" i="3"/>
  <c r="Q162" i="3"/>
  <c r="P158" i="3"/>
  <c r="Q158" i="3"/>
  <c r="E31" i="9"/>
  <c r="E32" i="9"/>
  <c r="E33" i="9"/>
  <c r="E34" i="9"/>
  <c r="E35" i="9"/>
  <c r="E36" i="9"/>
  <c r="E37" i="9"/>
  <c r="E38" i="9"/>
  <c r="E39" i="9"/>
  <c r="E40" i="9"/>
  <c r="E41" i="9"/>
  <c r="Q179" i="9"/>
  <c r="R179" i="9"/>
  <c r="Q180" i="9"/>
  <c r="R180" i="9"/>
  <c r="Q181" i="9"/>
  <c r="R181" i="9"/>
  <c r="Q182" i="9"/>
  <c r="R182" i="9"/>
  <c r="Q178" i="9"/>
  <c r="R178" i="9"/>
  <c r="Q173" i="9"/>
  <c r="R173" i="9"/>
  <c r="Q174" i="9"/>
  <c r="R174" i="9"/>
  <c r="Q175" i="9"/>
  <c r="R175" i="9"/>
  <c r="Q176" i="9"/>
  <c r="R176" i="9"/>
  <c r="Q172" i="9"/>
  <c r="R172" i="9"/>
  <c r="Q167" i="9"/>
  <c r="R167" i="9"/>
  <c r="Q168" i="9"/>
  <c r="R168" i="9"/>
  <c r="Q169" i="9"/>
  <c r="R169" i="9"/>
  <c r="Q170" i="9"/>
  <c r="R170" i="9"/>
  <c r="Q166" i="9"/>
  <c r="R166" i="9"/>
  <c r="Q155" i="9"/>
  <c r="R155" i="9"/>
  <c r="Q156" i="9"/>
  <c r="R156" i="9"/>
  <c r="Q157" i="9"/>
  <c r="R157" i="9"/>
  <c r="Q158" i="9"/>
  <c r="R158" i="9"/>
  <c r="Q154" i="9"/>
  <c r="R154" i="9"/>
  <c r="Q143" i="9"/>
  <c r="R143" i="9"/>
  <c r="Q144" i="9"/>
  <c r="R144" i="9"/>
  <c r="Q145" i="9"/>
  <c r="R145" i="9"/>
  <c r="Q146" i="9"/>
  <c r="R146" i="9"/>
  <c r="Q142" i="9"/>
  <c r="R142" i="9"/>
  <c r="Q131" i="9"/>
  <c r="R131" i="9"/>
  <c r="Q132" i="9"/>
  <c r="R132" i="9"/>
  <c r="Q133" i="9"/>
  <c r="R133" i="9"/>
  <c r="Q134" i="9"/>
  <c r="R134" i="9"/>
  <c r="Q130" i="9"/>
  <c r="R130" i="9"/>
  <c r="E17" i="9"/>
  <c r="E18" i="9"/>
  <c r="E19" i="9"/>
  <c r="E20" i="9"/>
  <c r="E21" i="9"/>
  <c r="E22" i="9"/>
  <c r="E23" i="9"/>
  <c r="E24" i="9"/>
  <c r="E25" i="9"/>
  <c r="E26" i="9"/>
  <c r="E27" i="9"/>
  <c r="Q110" i="9"/>
  <c r="R110" i="9"/>
  <c r="Q111" i="9"/>
  <c r="R111" i="9"/>
  <c r="Q112" i="9"/>
  <c r="R112" i="9"/>
  <c r="Q113" i="9"/>
  <c r="R113" i="9"/>
  <c r="Q109" i="9"/>
  <c r="R109" i="9"/>
  <c r="Q104" i="9"/>
  <c r="R104" i="9"/>
  <c r="Q105" i="9"/>
  <c r="R105" i="9"/>
  <c r="Q106" i="9"/>
  <c r="R106" i="9"/>
  <c r="Q107" i="9"/>
  <c r="R107" i="9"/>
  <c r="Q103" i="9"/>
  <c r="R103" i="9"/>
  <c r="Q98" i="9"/>
  <c r="R98" i="9"/>
  <c r="Q99" i="9"/>
  <c r="R99" i="9"/>
  <c r="Q100" i="9"/>
  <c r="R100" i="9"/>
  <c r="Q101" i="9"/>
  <c r="R101" i="9"/>
  <c r="Q97" i="9"/>
  <c r="R97" i="9"/>
  <c r="Q86" i="9"/>
  <c r="R86" i="9"/>
  <c r="Q87" i="9"/>
  <c r="R87" i="9"/>
  <c r="Q88" i="9"/>
  <c r="R88" i="9"/>
  <c r="Q89" i="9"/>
  <c r="R89" i="9"/>
  <c r="Q85" i="9"/>
  <c r="R85" i="9"/>
  <c r="Q74" i="9"/>
  <c r="R74" i="9"/>
  <c r="Q75" i="9"/>
  <c r="R75" i="9"/>
  <c r="Q76" i="9"/>
  <c r="R76" i="9"/>
  <c r="Q77" i="9"/>
  <c r="R77" i="9"/>
  <c r="Q73" i="9"/>
  <c r="R73" i="9"/>
  <c r="Q62" i="9"/>
  <c r="R62" i="9"/>
  <c r="Q63" i="9"/>
  <c r="R63" i="9"/>
  <c r="Q64" i="9"/>
  <c r="R64" i="9"/>
  <c r="Q65" i="9"/>
  <c r="R65" i="9"/>
  <c r="Q61" i="9"/>
  <c r="R61" i="9"/>
  <c r="G43" i="17"/>
  <c r="F43" i="17"/>
  <c r="E43" i="17"/>
  <c r="D43" i="17"/>
  <c r="C43" i="17"/>
  <c r="U313" i="11"/>
  <c r="V313" i="11"/>
  <c r="W313" i="11"/>
  <c r="X313" i="11"/>
  <c r="Y313" i="11"/>
  <c r="U312" i="11"/>
  <c r="V312" i="11"/>
  <c r="W312" i="11"/>
  <c r="X312" i="11"/>
  <c r="Y312" i="11"/>
  <c r="U311" i="11"/>
  <c r="V311" i="11"/>
  <c r="W311" i="11"/>
  <c r="X311" i="11"/>
  <c r="Y311" i="11"/>
  <c r="U310" i="11"/>
  <c r="U309" i="11"/>
  <c r="U307" i="11"/>
  <c r="V307" i="11"/>
  <c r="W307" i="11"/>
  <c r="X307" i="11"/>
  <c r="Y307" i="11"/>
  <c r="U306" i="11"/>
  <c r="V306" i="11"/>
  <c r="W306" i="11"/>
  <c r="X306" i="11"/>
  <c r="Y306" i="11"/>
  <c r="U305" i="11"/>
  <c r="U304" i="11"/>
  <c r="U303" i="11"/>
  <c r="V303" i="11"/>
  <c r="W303" i="11"/>
  <c r="X303" i="11"/>
  <c r="Y303" i="11"/>
  <c r="U301" i="11"/>
  <c r="V301" i="11"/>
  <c r="W301" i="11"/>
  <c r="X301" i="11"/>
  <c r="Y301" i="11"/>
  <c r="U300" i="11"/>
  <c r="V300" i="11"/>
  <c r="W300" i="11"/>
  <c r="X300" i="11"/>
  <c r="Y300" i="11"/>
  <c r="U299" i="11"/>
  <c r="V299" i="11"/>
  <c r="W299" i="11"/>
  <c r="X299" i="11"/>
  <c r="Y299" i="11"/>
  <c r="U298" i="11"/>
  <c r="V298" i="11"/>
  <c r="W298" i="11"/>
  <c r="X298" i="11"/>
  <c r="Y298" i="11"/>
  <c r="U297" i="11"/>
  <c r="V297" i="11"/>
  <c r="W297" i="11"/>
  <c r="X297" i="11"/>
  <c r="Y297" i="11"/>
  <c r="U289" i="11"/>
  <c r="V289" i="11"/>
  <c r="W289" i="11"/>
  <c r="X289" i="11"/>
  <c r="Y289" i="11"/>
  <c r="U288" i="11"/>
  <c r="V288" i="11"/>
  <c r="W288" i="11"/>
  <c r="X288" i="11"/>
  <c r="Y288" i="11"/>
  <c r="U287" i="11"/>
  <c r="V287" i="11"/>
  <c r="W287" i="11"/>
  <c r="X287" i="11"/>
  <c r="Y287" i="11"/>
  <c r="U286" i="11"/>
  <c r="V286" i="11"/>
  <c r="W286" i="11"/>
  <c r="X286" i="11"/>
  <c r="Y286" i="11"/>
  <c r="U285" i="11"/>
  <c r="V285" i="11"/>
  <c r="W285" i="11"/>
  <c r="X285" i="11"/>
  <c r="Y285" i="11"/>
  <c r="U277" i="11"/>
  <c r="V277" i="11"/>
  <c r="W277" i="11"/>
  <c r="X277" i="11"/>
  <c r="Y277" i="11"/>
  <c r="U276" i="11"/>
  <c r="V276" i="11"/>
  <c r="W276" i="11"/>
  <c r="X276" i="11"/>
  <c r="Y276" i="11"/>
  <c r="U275" i="11"/>
  <c r="V275" i="11"/>
  <c r="W275" i="11"/>
  <c r="X275" i="11"/>
  <c r="Y275" i="11"/>
  <c r="U274" i="11"/>
  <c r="V274" i="11"/>
  <c r="W274" i="11"/>
  <c r="X274" i="11"/>
  <c r="Y274" i="11"/>
  <c r="U273" i="11"/>
  <c r="V273" i="11"/>
  <c r="W273" i="11"/>
  <c r="X273" i="11"/>
  <c r="Y273" i="11"/>
  <c r="U265" i="11"/>
  <c r="U264" i="11"/>
  <c r="U263" i="11"/>
  <c r="U262" i="11"/>
  <c r="U261" i="11"/>
  <c r="U175" i="11"/>
  <c r="U174" i="11"/>
  <c r="V174" i="11"/>
  <c r="W174" i="11"/>
  <c r="X174" i="11"/>
  <c r="Y174" i="11"/>
  <c r="U173" i="11"/>
  <c r="V173" i="11"/>
  <c r="W173" i="11"/>
  <c r="X173" i="11"/>
  <c r="Y173" i="11"/>
  <c r="U172" i="11"/>
  <c r="V172" i="11"/>
  <c r="W172" i="11"/>
  <c r="X172" i="11"/>
  <c r="Y172" i="11"/>
  <c r="U171" i="11"/>
  <c r="V171" i="11"/>
  <c r="W171" i="11"/>
  <c r="X171" i="11"/>
  <c r="Y171" i="11"/>
  <c r="U187" i="11"/>
  <c r="V187" i="11"/>
  <c r="W187" i="11"/>
  <c r="X187" i="11"/>
  <c r="Y187" i="11"/>
  <c r="U186" i="11"/>
  <c r="V186" i="11"/>
  <c r="W186" i="11"/>
  <c r="X186" i="11"/>
  <c r="Y186" i="11"/>
  <c r="U185" i="11"/>
  <c r="V185" i="11"/>
  <c r="W185" i="11"/>
  <c r="X185" i="11"/>
  <c r="Y185" i="11"/>
  <c r="U184" i="11"/>
  <c r="V184" i="11"/>
  <c r="W184" i="11"/>
  <c r="X184" i="11"/>
  <c r="Y184" i="11"/>
  <c r="U183" i="11"/>
  <c r="V183" i="11"/>
  <c r="W183" i="11"/>
  <c r="X183" i="11"/>
  <c r="Y183" i="11"/>
  <c r="U199" i="11"/>
  <c r="V199" i="11"/>
  <c r="W199" i="11"/>
  <c r="X199" i="11"/>
  <c r="Y199" i="11"/>
  <c r="U198" i="11"/>
  <c r="V198" i="11"/>
  <c r="W198" i="11"/>
  <c r="X198" i="11"/>
  <c r="Y198" i="11"/>
  <c r="U197" i="11"/>
  <c r="V197" i="11"/>
  <c r="W197" i="11"/>
  <c r="X197" i="11"/>
  <c r="Y197" i="11"/>
  <c r="U196" i="11"/>
  <c r="V196" i="11"/>
  <c r="W196" i="11"/>
  <c r="X196" i="11"/>
  <c r="Y196" i="11"/>
  <c r="U195" i="11"/>
  <c r="V195" i="11"/>
  <c r="W195" i="11"/>
  <c r="X195" i="11"/>
  <c r="Y195" i="11"/>
  <c r="U223" i="11"/>
  <c r="V223" i="11"/>
  <c r="W223" i="11"/>
  <c r="X223" i="11"/>
  <c r="Y223" i="11"/>
  <c r="U222" i="11"/>
  <c r="V222" i="11"/>
  <c r="W222" i="11"/>
  <c r="X222" i="11"/>
  <c r="Y222" i="11"/>
  <c r="U221" i="11"/>
  <c r="V221" i="11"/>
  <c r="W221" i="11"/>
  <c r="X221" i="11"/>
  <c r="Y221" i="11"/>
  <c r="U220" i="11"/>
  <c r="V220" i="11"/>
  <c r="W220" i="11"/>
  <c r="X220" i="11"/>
  <c r="Y220" i="11"/>
  <c r="U219" i="11"/>
  <c r="V219" i="11"/>
  <c r="W219" i="11"/>
  <c r="X219" i="11"/>
  <c r="Y219" i="11"/>
  <c r="U217" i="11"/>
  <c r="V217" i="11"/>
  <c r="W217" i="11"/>
  <c r="X217" i="11"/>
  <c r="Y217" i="11"/>
  <c r="U216" i="11"/>
  <c r="U215" i="11"/>
  <c r="U214" i="11"/>
  <c r="V214" i="11"/>
  <c r="W214" i="11"/>
  <c r="X214" i="11"/>
  <c r="Y214" i="11"/>
  <c r="U213" i="11"/>
  <c r="U211" i="11"/>
  <c r="U210" i="11"/>
  <c r="V210" i="11"/>
  <c r="W210" i="11"/>
  <c r="X210" i="11"/>
  <c r="Y210" i="11"/>
  <c r="U209" i="11"/>
  <c r="V209" i="11"/>
  <c r="W209" i="11"/>
  <c r="X209" i="11"/>
  <c r="Y209" i="11"/>
  <c r="U208" i="11"/>
  <c r="V208" i="11"/>
  <c r="W208" i="11"/>
  <c r="X208" i="11"/>
  <c r="Y208" i="11"/>
  <c r="U207" i="11"/>
  <c r="V207" i="11"/>
  <c r="W207" i="11"/>
  <c r="X207" i="11"/>
  <c r="Y207" i="11"/>
  <c r="AE69" i="11"/>
  <c r="U154" i="11"/>
  <c r="U153" i="11"/>
  <c r="U152" i="11"/>
  <c r="V152" i="11"/>
  <c r="W152" i="11"/>
  <c r="X152" i="11"/>
  <c r="Y152" i="11"/>
  <c r="U151" i="11"/>
  <c r="U150" i="11"/>
  <c r="V150" i="11"/>
  <c r="W150" i="11"/>
  <c r="X150" i="11"/>
  <c r="Y150" i="11"/>
  <c r="U148" i="11"/>
  <c r="V148" i="11"/>
  <c r="W148" i="11"/>
  <c r="X148" i="11"/>
  <c r="Y148" i="11"/>
  <c r="U147" i="11"/>
  <c r="V147" i="11"/>
  <c r="W147" i="11"/>
  <c r="X147" i="11"/>
  <c r="Y147" i="11"/>
  <c r="U146" i="11"/>
  <c r="V146" i="11"/>
  <c r="W146" i="11"/>
  <c r="X146" i="11"/>
  <c r="Y146" i="11"/>
  <c r="U145" i="11"/>
  <c r="V145" i="11"/>
  <c r="W145" i="11"/>
  <c r="X145" i="11"/>
  <c r="Y145" i="11"/>
  <c r="U144" i="11"/>
  <c r="V144" i="11"/>
  <c r="W144" i="11"/>
  <c r="X144" i="11"/>
  <c r="Y144" i="11"/>
  <c r="U142" i="11"/>
  <c r="V142" i="11"/>
  <c r="W142" i="11"/>
  <c r="X142" i="11"/>
  <c r="Y142" i="11"/>
  <c r="U141" i="11"/>
  <c r="V141" i="11"/>
  <c r="W141" i="11"/>
  <c r="X141" i="11"/>
  <c r="Y141" i="11"/>
  <c r="U140" i="11"/>
  <c r="V140" i="11"/>
  <c r="W140" i="11"/>
  <c r="X140" i="11"/>
  <c r="Y140" i="11"/>
  <c r="U139" i="11"/>
  <c r="V139" i="11"/>
  <c r="W139" i="11"/>
  <c r="X139" i="11"/>
  <c r="Y139" i="11"/>
  <c r="U138" i="11"/>
  <c r="V138" i="11"/>
  <c r="W138" i="11"/>
  <c r="X138" i="11"/>
  <c r="Y138" i="11"/>
  <c r="U130" i="11"/>
  <c r="U129" i="11"/>
  <c r="U128" i="11"/>
  <c r="V128" i="11"/>
  <c r="W128" i="11"/>
  <c r="X128" i="11"/>
  <c r="Y128" i="11"/>
  <c r="U127" i="11"/>
  <c r="V127" i="11"/>
  <c r="W127" i="11"/>
  <c r="X127" i="11"/>
  <c r="Y127" i="11"/>
  <c r="U126" i="11"/>
  <c r="V126" i="11"/>
  <c r="W126" i="11"/>
  <c r="X126" i="11"/>
  <c r="Y126" i="11"/>
  <c r="U118" i="11"/>
  <c r="V118" i="11"/>
  <c r="W118" i="11"/>
  <c r="X118" i="11"/>
  <c r="Y118" i="11"/>
  <c r="U117" i="11"/>
  <c r="V117" i="11"/>
  <c r="W117" i="11"/>
  <c r="X117" i="11"/>
  <c r="Y117" i="11"/>
  <c r="U116" i="11"/>
  <c r="V116" i="11"/>
  <c r="W116" i="11"/>
  <c r="X116" i="11"/>
  <c r="Y116" i="11"/>
  <c r="U115" i="11"/>
  <c r="V115" i="11"/>
  <c r="W115" i="11"/>
  <c r="X115" i="11"/>
  <c r="Y115" i="11"/>
  <c r="U114" i="11"/>
  <c r="V114" i="11"/>
  <c r="W114" i="11"/>
  <c r="X114" i="11"/>
  <c r="Y114" i="11"/>
  <c r="U106" i="11"/>
  <c r="V106" i="11"/>
  <c r="W106" i="11"/>
  <c r="X106" i="11"/>
  <c r="Y106" i="11"/>
  <c r="U105" i="11"/>
  <c r="V105" i="11"/>
  <c r="W105" i="11"/>
  <c r="X105" i="11"/>
  <c r="Y105" i="11"/>
  <c r="U104" i="11"/>
  <c r="V104" i="11"/>
  <c r="W104" i="11"/>
  <c r="X104" i="11"/>
  <c r="Y104" i="11"/>
  <c r="U103" i="11"/>
  <c r="U102" i="11"/>
  <c r="V102" i="11"/>
  <c r="W102" i="11"/>
  <c r="X102" i="11"/>
  <c r="Y102" i="11"/>
  <c r="U108" i="11"/>
  <c r="U109" i="11"/>
  <c r="U110" i="11"/>
  <c r="U111" i="11"/>
  <c r="U112" i="11"/>
  <c r="AF69" i="11"/>
  <c r="AG69" i="11"/>
  <c r="AD69" i="11"/>
  <c r="U37" i="11"/>
  <c r="U36" i="11"/>
  <c r="U35" i="11"/>
  <c r="U34" i="11"/>
  <c r="U33" i="11"/>
  <c r="U49" i="11"/>
  <c r="U48" i="11"/>
  <c r="U47" i="11"/>
  <c r="U46" i="11"/>
  <c r="U45" i="11"/>
  <c r="U61" i="11"/>
  <c r="U60" i="11"/>
  <c r="U59" i="11"/>
  <c r="U58" i="11"/>
  <c r="U57" i="11"/>
  <c r="U85" i="11"/>
  <c r="U84" i="11"/>
  <c r="U83" i="11"/>
  <c r="U82" i="11"/>
  <c r="U81" i="11"/>
  <c r="U79" i="11"/>
  <c r="U78" i="11"/>
  <c r="U77" i="11"/>
  <c r="U76" i="11"/>
  <c r="U75" i="11"/>
  <c r="U73" i="11"/>
  <c r="U72" i="11"/>
  <c r="U71" i="11"/>
  <c r="U70" i="11"/>
  <c r="U69" i="11"/>
  <c r="V305" i="11"/>
  <c r="W305" i="11"/>
  <c r="X305" i="11"/>
  <c r="Y305" i="11"/>
  <c r="V304" i="11"/>
  <c r="W304" i="11"/>
  <c r="X304" i="11"/>
  <c r="Y304" i="11"/>
  <c r="V310" i="11"/>
  <c r="W310" i="11"/>
  <c r="X310" i="11"/>
  <c r="Y310" i="11"/>
  <c r="V309" i="11"/>
  <c r="W309" i="11"/>
  <c r="X309" i="11"/>
  <c r="Y309" i="11"/>
  <c r="U259" i="11"/>
  <c r="V259" i="11"/>
  <c r="W259" i="11"/>
  <c r="X259" i="11"/>
  <c r="Y259" i="11"/>
  <c r="U258" i="11"/>
  <c r="V258" i="11"/>
  <c r="W258" i="11"/>
  <c r="X258" i="11"/>
  <c r="Y258" i="11"/>
  <c r="U257" i="11"/>
  <c r="V257" i="11"/>
  <c r="W257" i="11"/>
  <c r="X257" i="11"/>
  <c r="Y257" i="11"/>
  <c r="U256" i="11"/>
  <c r="V256" i="11"/>
  <c r="W256" i="11"/>
  <c r="X256" i="11"/>
  <c r="Y256" i="11"/>
  <c r="U255" i="11"/>
  <c r="V255" i="11"/>
  <c r="W255" i="11"/>
  <c r="X255" i="11"/>
  <c r="Y255" i="11"/>
  <c r="AA211" i="11"/>
  <c r="V211" i="11"/>
  <c r="W211" i="11"/>
  <c r="X211" i="11"/>
  <c r="Y211" i="11"/>
  <c r="AA210" i="11"/>
  <c r="AA209" i="11"/>
  <c r="AA208" i="11"/>
  <c r="AA207" i="11"/>
  <c r="AA217" i="11"/>
  <c r="AA216" i="11"/>
  <c r="V216" i="11"/>
  <c r="W216" i="11"/>
  <c r="X216" i="11"/>
  <c r="Y216" i="11"/>
  <c r="AA215" i="11"/>
  <c r="V215" i="11"/>
  <c r="W215" i="11"/>
  <c r="X215" i="11"/>
  <c r="Y215" i="11"/>
  <c r="AA214" i="11"/>
  <c r="AA213" i="11"/>
  <c r="V213" i="11"/>
  <c r="W213" i="11"/>
  <c r="X213" i="11"/>
  <c r="Y213" i="11"/>
  <c r="AA223" i="11"/>
  <c r="AA222" i="11"/>
  <c r="AA221" i="11"/>
  <c r="AA220" i="11"/>
  <c r="AA219" i="11"/>
  <c r="AA199" i="11"/>
  <c r="AA198" i="11"/>
  <c r="AA197" i="11"/>
  <c r="AA196" i="11"/>
  <c r="AA195" i="11"/>
  <c r="AA187" i="11"/>
  <c r="AA186" i="11"/>
  <c r="AA185" i="11"/>
  <c r="AA184" i="11"/>
  <c r="AA183" i="11"/>
  <c r="AA175" i="11"/>
  <c r="V175" i="11"/>
  <c r="W175" i="11"/>
  <c r="X175" i="11"/>
  <c r="Y175" i="11"/>
  <c r="AA174" i="11"/>
  <c r="AA173" i="11"/>
  <c r="AA172" i="11"/>
  <c r="AA171" i="11"/>
  <c r="AA142" i="11"/>
  <c r="AA141" i="11"/>
  <c r="AA140" i="11"/>
  <c r="AA139" i="11"/>
  <c r="AA138" i="11"/>
  <c r="AA148" i="11"/>
  <c r="AA147" i="11"/>
  <c r="AA146" i="11"/>
  <c r="AA145" i="11"/>
  <c r="AA144" i="11"/>
  <c r="AA154" i="11"/>
  <c r="V154" i="11"/>
  <c r="W154" i="11"/>
  <c r="X154" i="11"/>
  <c r="Y154" i="11"/>
  <c r="AA153" i="11"/>
  <c r="V153" i="11"/>
  <c r="W153" i="11"/>
  <c r="X153" i="11"/>
  <c r="Y153" i="11"/>
  <c r="AA152" i="11"/>
  <c r="AA151" i="11"/>
  <c r="V151" i="11"/>
  <c r="W151" i="11"/>
  <c r="X151" i="11"/>
  <c r="Y151" i="11"/>
  <c r="AA150" i="11"/>
  <c r="AA130" i="11"/>
  <c r="V130" i="11"/>
  <c r="W130" i="11"/>
  <c r="X130" i="11"/>
  <c r="Y130" i="11"/>
  <c r="AA129" i="11"/>
  <c r="V129" i="11"/>
  <c r="W129" i="11"/>
  <c r="X129" i="11"/>
  <c r="Y129" i="11"/>
  <c r="AA128" i="11"/>
  <c r="AA127" i="11"/>
  <c r="AA126" i="11"/>
  <c r="AA118" i="11"/>
  <c r="AA117" i="11"/>
  <c r="AA116" i="11"/>
  <c r="AA115" i="11"/>
  <c r="AA114" i="11"/>
  <c r="AA106" i="11"/>
  <c r="AA105" i="11"/>
  <c r="AA104" i="11"/>
  <c r="AA103" i="11"/>
  <c r="V103" i="11"/>
  <c r="W103" i="11"/>
  <c r="X103" i="11"/>
  <c r="Y103" i="11"/>
  <c r="AA102" i="11"/>
  <c r="N43" i="17"/>
  <c r="M43" i="17"/>
  <c r="L43" i="17"/>
  <c r="K43" i="17"/>
  <c r="J43" i="17"/>
  <c r="T146" i="18"/>
  <c r="U146" i="18"/>
  <c r="T145" i="18"/>
  <c r="U145" i="18"/>
  <c r="T144" i="18"/>
  <c r="U144" i="18"/>
  <c r="V144" i="18"/>
  <c r="W144" i="18"/>
  <c r="X144" i="18"/>
  <c r="T143" i="18"/>
  <c r="U143" i="18"/>
  <c r="V143" i="18"/>
  <c r="W143" i="18"/>
  <c r="X143" i="18"/>
  <c r="T142" i="18"/>
  <c r="U142" i="18"/>
  <c r="V142" i="18"/>
  <c r="W142" i="18"/>
  <c r="X142" i="18"/>
  <c r="T140" i="18"/>
  <c r="U140" i="18"/>
  <c r="T139" i="18"/>
  <c r="U139" i="18"/>
  <c r="T138" i="18"/>
  <c r="U138" i="18"/>
  <c r="V138" i="18"/>
  <c r="W138" i="18"/>
  <c r="X138" i="18"/>
  <c r="T137" i="18"/>
  <c r="U137" i="18"/>
  <c r="V137" i="18"/>
  <c r="W137" i="18"/>
  <c r="X137" i="18"/>
  <c r="T136" i="18"/>
  <c r="U136" i="18"/>
  <c r="V136" i="18"/>
  <c r="W136" i="18"/>
  <c r="X136" i="18"/>
  <c r="T134" i="18"/>
  <c r="U134" i="18"/>
  <c r="T133" i="18"/>
  <c r="U133" i="18"/>
  <c r="T132" i="18"/>
  <c r="U132" i="18"/>
  <c r="V132" i="18"/>
  <c r="W132" i="18"/>
  <c r="X132" i="18"/>
  <c r="T131" i="18"/>
  <c r="U131" i="18"/>
  <c r="V131" i="18"/>
  <c r="W131" i="18"/>
  <c r="X131" i="18"/>
  <c r="T130" i="18"/>
  <c r="U130" i="18"/>
  <c r="V130" i="18"/>
  <c r="W130" i="18"/>
  <c r="X130" i="18"/>
  <c r="T128" i="18"/>
  <c r="U128" i="18"/>
  <c r="T127" i="18"/>
  <c r="U127" i="18"/>
  <c r="T126" i="18"/>
  <c r="U126" i="18"/>
  <c r="V126" i="18"/>
  <c r="W126" i="18"/>
  <c r="X126" i="18"/>
  <c r="T125" i="18"/>
  <c r="U125" i="18"/>
  <c r="V125" i="18"/>
  <c r="W125" i="18"/>
  <c r="X125" i="18"/>
  <c r="T124" i="18"/>
  <c r="U124" i="18"/>
  <c r="V124" i="18"/>
  <c r="W124" i="18"/>
  <c r="X124" i="18"/>
  <c r="T122" i="18"/>
  <c r="U122" i="18"/>
  <c r="T121" i="18"/>
  <c r="U121" i="18"/>
  <c r="T120" i="18"/>
  <c r="U120" i="18"/>
  <c r="V120" i="18"/>
  <c r="W120" i="18"/>
  <c r="X120" i="18"/>
  <c r="T119" i="18"/>
  <c r="U119" i="18"/>
  <c r="V119" i="18"/>
  <c r="W119" i="18"/>
  <c r="X119" i="18"/>
  <c r="T118" i="18"/>
  <c r="U118" i="18"/>
  <c r="V118" i="18"/>
  <c r="W118" i="18"/>
  <c r="X118" i="18"/>
  <c r="T116" i="18"/>
  <c r="U116" i="18"/>
  <c r="T115" i="18"/>
  <c r="U115" i="18"/>
  <c r="T114" i="18"/>
  <c r="U114" i="18"/>
  <c r="V114" i="18"/>
  <c r="W114" i="18"/>
  <c r="X114" i="18"/>
  <c r="T113" i="18"/>
  <c r="U113" i="18"/>
  <c r="V113" i="18"/>
  <c r="W113" i="18"/>
  <c r="X113" i="18"/>
  <c r="T112" i="18"/>
  <c r="U112" i="18"/>
  <c r="V112" i="18"/>
  <c r="W112" i="18"/>
  <c r="X112" i="18"/>
  <c r="T110" i="18"/>
  <c r="U110" i="18"/>
  <c r="T109" i="18"/>
  <c r="U109" i="18"/>
  <c r="T108" i="18"/>
  <c r="U108" i="18"/>
  <c r="V108" i="18"/>
  <c r="W108" i="18"/>
  <c r="X108" i="18"/>
  <c r="T107" i="18"/>
  <c r="U107" i="18"/>
  <c r="V107" i="18"/>
  <c r="W107" i="18"/>
  <c r="X107" i="18"/>
  <c r="T106" i="18"/>
  <c r="U106" i="18"/>
  <c r="V106" i="18"/>
  <c r="W106" i="18"/>
  <c r="X106" i="18"/>
  <c r="T104" i="18"/>
  <c r="U104" i="18"/>
  <c r="T103" i="18"/>
  <c r="U103" i="18"/>
  <c r="T102" i="18"/>
  <c r="U102" i="18"/>
  <c r="V102" i="18"/>
  <c r="W102" i="18"/>
  <c r="X102" i="18"/>
  <c r="T101" i="18"/>
  <c r="U101" i="18"/>
  <c r="V101" i="18"/>
  <c r="W101" i="18"/>
  <c r="X101" i="18"/>
  <c r="T100" i="18"/>
  <c r="U100" i="18"/>
  <c r="T98" i="18"/>
  <c r="U98" i="18"/>
  <c r="T97" i="18"/>
  <c r="U97" i="18"/>
  <c r="T96" i="18"/>
  <c r="U96" i="18"/>
  <c r="T95" i="18"/>
  <c r="U95" i="18"/>
  <c r="V95" i="18"/>
  <c r="W95" i="18"/>
  <c r="X95" i="18"/>
  <c r="T94" i="18"/>
  <c r="U94" i="18"/>
  <c r="V94" i="18"/>
  <c r="W94" i="18"/>
  <c r="X94" i="18"/>
  <c r="T208" i="18"/>
  <c r="T207" i="18"/>
  <c r="T206" i="18"/>
  <c r="T205" i="18"/>
  <c r="T204" i="18"/>
  <c r="T202" i="18"/>
  <c r="T201" i="18"/>
  <c r="T200" i="18"/>
  <c r="T199" i="18"/>
  <c r="T198" i="18"/>
  <c r="T196" i="18"/>
  <c r="T195" i="18"/>
  <c r="T194" i="18"/>
  <c r="T193" i="18"/>
  <c r="T192" i="18"/>
  <c r="T190" i="18"/>
  <c r="T189" i="18"/>
  <c r="T188" i="18"/>
  <c r="T187" i="18"/>
  <c r="T186" i="18"/>
  <c r="T184" i="18"/>
  <c r="T183" i="18"/>
  <c r="T182" i="18"/>
  <c r="T181" i="18"/>
  <c r="T180" i="18"/>
  <c r="T178" i="18"/>
  <c r="T177" i="18"/>
  <c r="T176" i="18"/>
  <c r="T175" i="18"/>
  <c r="T174" i="18"/>
  <c r="T172" i="18"/>
  <c r="T171" i="18"/>
  <c r="T170" i="18"/>
  <c r="T169" i="18"/>
  <c r="T168" i="18"/>
  <c r="T166" i="18"/>
  <c r="T165" i="18"/>
  <c r="T164" i="18"/>
  <c r="T163" i="18"/>
  <c r="T162" i="18"/>
  <c r="T160" i="18"/>
  <c r="T159" i="18"/>
  <c r="T158" i="18"/>
  <c r="T157" i="18"/>
  <c r="T156" i="18"/>
  <c r="T252" i="18"/>
  <c r="T251" i="18"/>
  <c r="T250" i="18"/>
  <c r="T249" i="18"/>
  <c r="T248" i="18"/>
  <c r="T240" i="18"/>
  <c r="T239" i="18"/>
  <c r="T238" i="18"/>
  <c r="T237" i="18"/>
  <c r="T236" i="18"/>
  <c r="T228" i="18"/>
  <c r="T227" i="18"/>
  <c r="T226" i="18"/>
  <c r="T225" i="18"/>
  <c r="U225" i="18"/>
  <c r="V225" i="18"/>
  <c r="W225" i="18"/>
  <c r="X225" i="18"/>
  <c r="T224" i="18"/>
  <c r="U224" i="18"/>
  <c r="V224" i="18"/>
  <c r="W224" i="18"/>
  <c r="X224" i="18"/>
  <c r="T216" i="18"/>
  <c r="T215" i="18"/>
  <c r="T214" i="18"/>
  <c r="T213" i="18"/>
  <c r="U213" i="18"/>
  <c r="V213" i="18"/>
  <c r="W213" i="18"/>
  <c r="X213" i="18"/>
  <c r="T212" i="18"/>
  <c r="T270" i="18"/>
  <c r="U270" i="18"/>
  <c r="T269" i="18"/>
  <c r="U269" i="18"/>
  <c r="T268" i="18"/>
  <c r="U268" i="18"/>
  <c r="T267" i="18"/>
  <c r="U267" i="18"/>
  <c r="T266" i="18"/>
  <c r="U266" i="18"/>
  <c r="T264" i="18"/>
  <c r="U264" i="18"/>
  <c r="T263" i="18"/>
  <c r="U263" i="18"/>
  <c r="T262" i="18"/>
  <c r="U262" i="18"/>
  <c r="T261" i="18"/>
  <c r="U261" i="18"/>
  <c r="T260" i="18"/>
  <c r="U260" i="18"/>
  <c r="T258" i="18"/>
  <c r="U258" i="18"/>
  <c r="T257" i="18"/>
  <c r="U257" i="18"/>
  <c r="T256" i="18"/>
  <c r="U256" i="18"/>
  <c r="T255" i="18"/>
  <c r="U255" i="18"/>
  <c r="T254" i="18"/>
  <c r="U254" i="18"/>
  <c r="U252" i="18"/>
  <c r="V252" i="18"/>
  <c r="W252" i="18"/>
  <c r="X252" i="18"/>
  <c r="U251" i="18"/>
  <c r="V251" i="18"/>
  <c r="W251" i="18"/>
  <c r="X251" i="18"/>
  <c r="U250" i="18"/>
  <c r="V250" i="18"/>
  <c r="W250" i="18"/>
  <c r="X250" i="18"/>
  <c r="U249" i="18"/>
  <c r="V249" i="18"/>
  <c r="W249" i="18"/>
  <c r="X249" i="18"/>
  <c r="U248" i="18"/>
  <c r="V248" i="18"/>
  <c r="W248" i="18"/>
  <c r="X248" i="18"/>
  <c r="T246" i="18"/>
  <c r="U246" i="18"/>
  <c r="T245" i="18"/>
  <c r="U245" i="18"/>
  <c r="T244" i="18"/>
  <c r="U244" i="18"/>
  <c r="T243" i="18"/>
  <c r="U243" i="18"/>
  <c r="T242" i="18"/>
  <c r="U242" i="18"/>
  <c r="U240" i="18"/>
  <c r="U239" i="18"/>
  <c r="U238" i="18"/>
  <c r="U237" i="18"/>
  <c r="U236" i="18"/>
  <c r="V236" i="18"/>
  <c r="W236" i="18"/>
  <c r="X236" i="18"/>
  <c r="T234" i="18"/>
  <c r="U234" i="18"/>
  <c r="T233" i="18"/>
  <c r="U233" i="18"/>
  <c r="T232" i="18"/>
  <c r="U232" i="18"/>
  <c r="T231" i="18"/>
  <c r="U231" i="18"/>
  <c r="T230" i="18"/>
  <c r="U230" i="18"/>
  <c r="U228" i="18"/>
  <c r="V228" i="18"/>
  <c r="W228" i="18"/>
  <c r="X228" i="18"/>
  <c r="U227" i="18"/>
  <c r="V227" i="18"/>
  <c r="W227" i="18"/>
  <c r="X227" i="18"/>
  <c r="U226" i="18"/>
  <c r="V226" i="18"/>
  <c r="W226" i="18"/>
  <c r="X226" i="18"/>
  <c r="T222" i="18"/>
  <c r="U222" i="18"/>
  <c r="T221" i="18"/>
  <c r="U221" i="18"/>
  <c r="T220" i="18"/>
  <c r="U220" i="18"/>
  <c r="T219" i="18"/>
  <c r="U219" i="18"/>
  <c r="T218" i="18"/>
  <c r="U218" i="18"/>
  <c r="U214" i="18"/>
  <c r="V214" i="18"/>
  <c r="W214" i="18"/>
  <c r="X214" i="18"/>
  <c r="U215" i="18"/>
  <c r="V215" i="18"/>
  <c r="W215" i="18"/>
  <c r="X215" i="18"/>
  <c r="U216" i="18"/>
  <c r="U212" i="18"/>
  <c r="V212" i="18"/>
  <c r="W212" i="18"/>
  <c r="X212" i="18"/>
  <c r="V231" i="18"/>
  <c r="W231" i="18"/>
  <c r="X231" i="18"/>
  <c r="V230" i="18"/>
  <c r="W230" i="18"/>
  <c r="X230" i="18"/>
  <c r="T154" i="18"/>
  <c r="T153" i="18"/>
  <c r="T152" i="18"/>
  <c r="T151" i="18"/>
  <c r="U151" i="18"/>
  <c r="V151" i="18"/>
  <c r="W151" i="18"/>
  <c r="X151" i="18"/>
  <c r="T150" i="18"/>
  <c r="U208" i="18"/>
  <c r="U207" i="18"/>
  <c r="U206" i="18"/>
  <c r="U205" i="18"/>
  <c r="U204" i="18"/>
  <c r="U202" i="18"/>
  <c r="V202" i="18"/>
  <c r="W202" i="18"/>
  <c r="X202" i="18"/>
  <c r="U201" i="18"/>
  <c r="V201" i="18"/>
  <c r="W201" i="18"/>
  <c r="X201" i="18"/>
  <c r="U200" i="18"/>
  <c r="V200" i="18"/>
  <c r="W200" i="18"/>
  <c r="X200" i="18"/>
  <c r="U199" i="18"/>
  <c r="V199" i="18"/>
  <c r="W199" i="18"/>
  <c r="X199" i="18"/>
  <c r="U198" i="18"/>
  <c r="V198" i="18"/>
  <c r="W198" i="18"/>
  <c r="X198" i="18"/>
  <c r="U196" i="18"/>
  <c r="V196" i="18"/>
  <c r="W196" i="18"/>
  <c r="X196" i="18"/>
  <c r="U195" i="18"/>
  <c r="V195" i="18"/>
  <c r="W195" i="18"/>
  <c r="X195" i="18"/>
  <c r="U194" i="18"/>
  <c r="V194" i="18"/>
  <c r="W194" i="18"/>
  <c r="X194" i="18"/>
  <c r="U193" i="18"/>
  <c r="U192" i="18"/>
  <c r="U190" i="18"/>
  <c r="U189" i="18"/>
  <c r="U188" i="18"/>
  <c r="U187" i="18"/>
  <c r="U186" i="18"/>
  <c r="U184" i="18"/>
  <c r="U183" i="18"/>
  <c r="U182" i="18"/>
  <c r="U181" i="18"/>
  <c r="U180" i="18"/>
  <c r="U178" i="18"/>
  <c r="U177" i="18"/>
  <c r="U176" i="18"/>
  <c r="U175" i="18"/>
  <c r="V175" i="18"/>
  <c r="W175" i="18"/>
  <c r="X175" i="18"/>
  <c r="U174" i="18"/>
  <c r="V174" i="18"/>
  <c r="W174" i="18"/>
  <c r="X174" i="18"/>
  <c r="U172" i="18"/>
  <c r="V172" i="18"/>
  <c r="W172" i="18"/>
  <c r="X172" i="18"/>
  <c r="U171" i="18"/>
  <c r="V171" i="18"/>
  <c r="W171" i="18"/>
  <c r="X171" i="18"/>
  <c r="U170" i="18"/>
  <c r="V170" i="18"/>
  <c r="W170" i="18"/>
  <c r="X170" i="18"/>
  <c r="U169" i="18"/>
  <c r="V169" i="18"/>
  <c r="W169" i="18"/>
  <c r="X169" i="18"/>
  <c r="U168" i="18"/>
  <c r="V168" i="18"/>
  <c r="W168" i="18"/>
  <c r="X168" i="18"/>
  <c r="U166" i="18"/>
  <c r="V166" i="18"/>
  <c r="W166" i="18"/>
  <c r="X166" i="18"/>
  <c r="U165" i="18"/>
  <c r="V165" i="18"/>
  <c r="W165" i="18"/>
  <c r="X165" i="18"/>
  <c r="U164" i="18"/>
  <c r="U163" i="18"/>
  <c r="U162" i="18"/>
  <c r="U160" i="18"/>
  <c r="U159" i="18"/>
  <c r="U158" i="18"/>
  <c r="V158" i="18"/>
  <c r="W158" i="18"/>
  <c r="X158" i="18"/>
  <c r="U157" i="18"/>
  <c r="U156" i="18"/>
  <c r="U152" i="18"/>
  <c r="V152" i="18"/>
  <c r="W152" i="18"/>
  <c r="X152" i="18"/>
  <c r="U153" i="18"/>
  <c r="V153" i="18"/>
  <c r="W153" i="18"/>
  <c r="X153" i="18"/>
  <c r="U154" i="18"/>
  <c r="U150" i="18"/>
  <c r="T84" i="18"/>
  <c r="T83" i="18"/>
  <c r="T82" i="18"/>
  <c r="T81" i="18"/>
  <c r="T80" i="18"/>
  <c r="T78" i="18"/>
  <c r="T77" i="18"/>
  <c r="T76" i="18"/>
  <c r="T75" i="18"/>
  <c r="T74" i="18"/>
  <c r="T72" i="18"/>
  <c r="T71" i="18"/>
  <c r="T70" i="18"/>
  <c r="T69" i="18"/>
  <c r="T68" i="18"/>
  <c r="T60" i="18"/>
  <c r="T59" i="18"/>
  <c r="T58" i="18"/>
  <c r="T57" i="18"/>
  <c r="T56" i="18"/>
  <c r="T48" i="18"/>
  <c r="T47" i="18"/>
  <c r="T46" i="18"/>
  <c r="T45" i="18"/>
  <c r="T44" i="18"/>
  <c r="T36" i="18"/>
  <c r="T35" i="18"/>
  <c r="T34" i="18"/>
  <c r="T33" i="18"/>
  <c r="T32" i="18"/>
  <c r="T30" i="18"/>
  <c r="T29" i="18"/>
  <c r="T28" i="18"/>
  <c r="T27" i="18"/>
  <c r="U27" i="18"/>
  <c r="T26" i="18"/>
  <c r="U26" i="18"/>
  <c r="T92" i="18"/>
  <c r="T91" i="18"/>
  <c r="T90" i="18"/>
  <c r="T89" i="18"/>
  <c r="T88" i="18"/>
  <c r="U89" i="18"/>
  <c r="U90" i="18"/>
  <c r="U91" i="18"/>
  <c r="U92" i="18"/>
  <c r="U88" i="18"/>
  <c r="T332" i="18"/>
  <c r="T331" i="18"/>
  <c r="T330" i="18"/>
  <c r="T329" i="18"/>
  <c r="U329" i="18"/>
  <c r="V329" i="18"/>
  <c r="W329" i="18"/>
  <c r="X329" i="18"/>
  <c r="T328" i="18"/>
  <c r="U328" i="18"/>
  <c r="V328" i="18"/>
  <c r="W328" i="18"/>
  <c r="X328" i="18"/>
  <c r="T326" i="18"/>
  <c r="T325" i="18"/>
  <c r="T324" i="18"/>
  <c r="T323" i="18"/>
  <c r="U323" i="18"/>
  <c r="V323" i="18"/>
  <c r="W323" i="18"/>
  <c r="X323" i="18"/>
  <c r="T322" i="18"/>
  <c r="U322" i="18"/>
  <c r="V322" i="18"/>
  <c r="W322" i="18"/>
  <c r="X322" i="18"/>
  <c r="T320" i="18"/>
  <c r="T319" i="18"/>
  <c r="T318" i="18"/>
  <c r="T317" i="18"/>
  <c r="U317" i="18"/>
  <c r="V317" i="18"/>
  <c r="W317" i="18"/>
  <c r="X317" i="18"/>
  <c r="T316" i="18"/>
  <c r="U316" i="18"/>
  <c r="V316" i="18"/>
  <c r="W316" i="18"/>
  <c r="X316" i="18"/>
  <c r="T314" i="18"/>
  <c r="T313" i="18"/>
  <c r="T312" i="18"/>
  <c r="T311" i="18"/>
  <c r="U311" i="18"/>
  <c r="V311" i="18"/>
  <c r="W311" i="18"/>
  <c r="X311" i="18"/>
  <c r="T310" i="18"/>
  <c r="U310" i="18"/>
  <c r="V310" i="18"/>
  <c r="W310" i="18"/>
  <c r="X310" i="18"/>
  <c r="T308" i="18"/>
  <c r="T307" i="18"/>
  <c r="T306" i="18"/>
  <c r="T305" i="18"/>
  <c r="U305" i="18"/>
  <c r="V305" i="18"/>
  <c r="W305" i="18"/>
  <c r="X305" i="18"/>
  <c r="T304" i="18"/>
  <c r="U304" i="18"/>
  <c r="V304" i="18"/>
  <c r="W304" i="18"/>
  <c r="X304" i="18"/>
  <c r="T302" i="18"/>
  <c r="T301" i="18"/>
  <c r="T300" i="18"/>
  <c r="T299" i="18"/>
  <c r="U299" i="18"/>
  <c r="V299" i="18"/>
  <c r="W299" i="18"/>
  <c r="X299" i="18"/>
  <c r="T298" i="18"/>
  <c r="U298" i="18"/>
  <c r="V298" i="18"/>
  <c r="W298" i="18"/>
  <c r="X298" i="18"/>
  <c r="T296" i="18"/>
  <c r="T295" i="18"/>
  <c r="T294" i="18"/>
  <c r="T293" i="18"/>
  <c r="U293" i="18"/>
  <c r="V293" i="18"/>
  <c r="W293" i="18"/>
  <c r="X293" i="18"/>
  <c r="T292" i="18"/>
  <c r="U292" i="18"/>
  <c r="V292" i="18"/>
  <c r="W292" i="18"/>
  <c r="X292" i="18"/>
  <c r="T290" i="18"/>
  <c r="T289" i="18"/>
  <c r="T288" i="18"/>
  <c r="T287" i="18"/>
  <c r="U287" i="18"/>
  <c r="V287" i="18"/>
  <c r="W287" i="18"/>
  <c r="X287" i="18"/>
  <c r="T286" i="18"/>
  <c r="U286" i="18"/>
  <c r="V286" i="18"/>
  <c r="W286" i="18"/>
  <c r="X286" i="18"/>
  <c r="T284" i="18"/>
  <c r="T283" i="18"/>
  <c r="T282" i="18"/>
  <c r="T281" i="18"/>
  <c r="U281" i="18"/>
  <c r="V281" i="18"/>
  <c r="W281" i="18"/>
  <c r="X281" i="18"/>
  <c r="T280" i="18"/>
  <c r="U280" i="18"/>
  <c r="V280" i="18"/>
  <c r="W280" i="18"/>
  <c r="X280" i="18"/>
  <c r="U332" i="18"/>
  <c r="V332" i="18"/>
  <c r="W332" i="18"/>
  <c r="X332" i="18"/>
  <c r="U331" i="18"/>
  <c r="V331" i="18"/>
  <c r="W331" i="18"/>
  <c r="X331" i="18"/>
  <c r="U330" i="18"/>
  <c r="V330" i="18"/>
  <c r="W330" i="18"/>
  <c r="X330" i="18"/>
  <c r="U326" i="18"/>
  <c r="V326" i="18"/>
  <c r="W326" i="18"/>
  <c r="X326" i="18"/>
  <c r="U325" i="18"/>
  <c r="V325" i="18"/>
  <c r="W325" i="18"/>
  <c r="X325" i="18"/>
  <c r="U324" i="18"/>
  <c r="V324" i="18"/>
  <c r="W324" i="18"/>
  <c r="X324" i="18"/>
  <c r="U320" i="18"/>
  <c r="V320" i="18"/>
  <c r="W320" i="18"/>
  <c r="X320" i="18"/>
  <c r="U319" i="18"/>
  <c r="V319" i="18"/>
  <c r="W319" i="18"/>
  <c r="X319" i="18"/>
  <c r="U318" i="18"/>
  <c r="V318" i="18"/>
  <c r="W318" i="18"/>
  <c r="X318" i="18"/>
  <c r="U314" i="18"/>
  <c r="V314" i="18"/>
  <c r="W314" i="18"/>
  <c r="X314" i="18"/>
  <c r="U313" i="18"/>
  <c r="V313" i="18"/>
  <c r="W313" i="18"/>
  <c r="X313" i="18"/>
  <c r="U312" i="18"/>
  <c r="V312" i="18"/>
  <c r="W312" i="18"/>
  <c r="X312" i="18"/>
  <c r="U308" i="18"/>
  <c r="U307" i="18"/>
  <c r="U306" i="18"/>
  <c r="V306" i="18"/>
  <c r="W306" i="18"/>
  <c r="X306" i="18"/>
  <c r="U302" i="18"/>
  <c r="V302" i="18"/>
  <c r="W302" i="18"/>
  <c r="X302" i="18"/>
  <c r="U301" i="18"/>
  <c r="V301" i="18"/>
  <c r="W301" i="18"/>
  <c r="X301" i="18"/>
  <c r="U300" i="18"/>
  <c r="V300" i="18"/>
  <c r="W300" i="18"/>
  <c r="X300" i="18"/>
  <c r="U296" i="18"/>
  <c r="V296" i="18"/>
  <c r="W296" i="18"/>
  <c r="X296" i="18"/>
  <c r="U295" i="18"/>
  <c r="V295" i="18"/>
  <c r="W295" i="18"/>
  <c r="X295" i="18"/>
  <c r="U294" i="18"/>
  <c r="V294" i="18"/>
  <c r="W294" i="18"/>
  <c r="X294" i="18"/>
  <c r="U290" i="18"/>
  <c r="V290" i="18"/>
  <c r="W290" i="18"/>
  <c r="X290" i="18"/>
  <c r="U289" i="18"/>
  <c r="V289" i="18"/>
  <c r="W289" i="18"/>
  <c r="X289" i="18"/>
  <c r="U288" i="18"/>
  <c r="U284" i="18"/>
  <c r="V284" i="18"/>
  <c r="W284" i="18"/>
  <c r="X284" i="18"/>
  <c r="U283" i="18"/>
  <c r="V283" i="18"/>
  <c r="W283" i="18"/>
  <c r="X283" i="18"/>
  <c r="U282" i="18"/>
  <c r="V282" i="18"/>
  <c r="W282" i="18"/>
  <c r="X282" i="18"/>
  <c r="T275" i="18"/>
  <c r="U275" i="18"/>
  <c r="T276" i="18"/>
  <c r="U276" i="18"/>
  <c r="T277" i="18"/>
  <c r="U277" i="18"/>
  <c r="T278" i="18"/>
  <c r="U278" i="18"/>
  <c r="T274" i="18"/>
  <c r="U274" i="18"/>
  <c r="V288" i="18"/>
  <c r="W288" i="18"/>
  <c r="X288" i="18"/>
  <c r="V278" i="18"/>
  <c r="W278" i="18"/>
  <c r="X278" i="18"/>
  <c r="V277" i="18"/>
  <c r="W277" i="18"/>
  <c r="X277" i="18"/>
  <c r="V276" i="18"/>
  <c r="W276" i="18"/>
  <c r="X276" i="18"/>
  <c r="V275" i="18"/>
  <c r="W275" i="18"/>
  <c r="X275" i="18"/>
  <c r="V274" i="18"/>
  <c r="W274" i="18"/>
  <c r="X274" i="18"/>
  <c r="V270" i="18"/>
  <c r="W270" i="18"/>
  <c r="X270" i="18"/>
  <c r="V269" i="18"/>
  <c r="W269" i="18"/>
  <c r="X269" i="18"/>
  <c r="V268" i="18"/>
  <c r="W268" i="18"/>
  <c r="X268" i="18"/>
  <c r="V267" i="18"/>
  <c r="W267" i="18"/>
  <c r="X267" i="18"/>
  <c r="V266" i="18"/>
  <c r="W266" i="18"/>
  <c r="X266" i="18"/>
  <c r="V264" i="18"/>
  <c r="W264" i="18"/>
  <c r="X264" i="18"/>
  <c r="V263" i="18"/>
  <c r="W263" i="18"/>
  <c r="X263" i="18"/>
  <c r="V262" i="18"/>
  <c r="W262" i="18"/>
  <c r="X262" i="18"/>
  <c r="V261" i="18"/>
  <c r="W261" i="18"/>
  <c r="X261" i="18"/>
  <c r="V260" i="18"/>
  <c r="W260" i="18"/>
  <c r="X260" i="18"/>
  <c r="V258" i="18"/>
  <c r="W258" i="18"/>
  <c r="X258" i="18"/>
  <c r="V257" i="18"/>
  <c r="W257" i="18"/>
  <c r="X257" i="18"/>
  <c r="V256" i="18"/>
  <c r="W256" i="18"/>
  <c r="X256" i="18"/>
  <c r="V255" i="18"/>
  <c r="W255" i="18"/>
  <c r="X255" i="18"/>
  <c r="V254" i="18"/>
  <c r="W254" i="18"/>
  <c r="X254" i="18"/>
  <c r="V246" i="18"/>
  <c r="W246" i="18"/>
  <c r="X246" i="18"/>
  <c r="V245" i="18"/>
  <c r="W245" i="18"/>
  <c r="X245" i="18"/>
  <c r="V244" i="18"/>
  <c r="W244" i="18"/>
  <c r="X244" i="18"/>
  <c r="V243" i="18"/>
  <c r="W243" i="18"/>
  <c r="X243" i="18"/>
  <c r="V242" i="18"/>
  <c r="W242" i="18"/>
  <c r="X242" i="18"/>
  <c r="V240" i="18"/>
  <c r="W240" i="18"/>
  <c r="X240" i="18"/>
  <c r="V239" i="18"/>
  <c r="W239" i="18"/>
  <c r="X239" i="18"/>
  <c r="V238" i="18"/>
  <c r="W238" i="18"/>
  <c r="X238" i="18"/>
  <c r="V237" i="18"/>
  <c r="W237" i="18"/>
  <c r="X237" i="18"/>
  <c r="V234" i="18"/>
  <c r="W234" i="18"/>
  <c r="X234" i="18"/>
  <c r="V233" i="18"/>
  <c r="W233" i="18"/>
  <c r="X233" i="18"/>
  <c r="V232" i="18"/>
  <c r="W232" i="18"/>
  <c r="X232" i="18"/>
  <c r="V222" i="18"/>
  <c r="W222" i="18"/>
  <c r="X222" i="18"/>
  <c r="V221" i="18"/>
  <c r="W221" i="18"/>
  <c r="X221" i="18"/>
  <c r="V220" i="18"/>
  <c r="W220" i="18"/>
  <c r="X220" i="18"/>
  <c r="V219" i="18"/>
  <c r="W219" i="18"/>
  <c r="X219" i="18"/>
  <c r="V218" i="18"/>
  <c r="W218" i="18"/>
  <c r="X218" i="18"/>
  <c r="V216" i="18"/>
  <c r="W216" i="18"/>
  <c r="X216" i="18"/>
  <c r="V208" i="18"/>
  <c r="W208" i="18"/>
  <c r="X208" i="18"/>
  <c r="V207" i="18"/>
  <c r="W207" i="18"/>
  <c r="X207" i="18"/>
  <c r="V206" i="18"/>
  <c r="W206" i="18"/>
  <c r="X206" i="18"/>
  <c r="V205" i="18"/>
  <c r="W205" i="18"/>
  <c r="X205" i="18"/>
  <c r="V204" i="18"/>
  <c r="W204" i="18"/>
  <c r="X204" i="18"/>
  <c r="V193" i="18"/>
  <c r="W193" i="18"/>
  <c r="X193" i="18"/>
  <c r="V192" i="18"/>
  <c r="W192" i="18"/>
  <c r="X192" i="18"/>
  <c r="V190" i="18"/>
  <c r="W190" i="18"/>
  <c r="X190" i="18"/>
  <c r="V189" i="18"/>
  <c r="W189" i="18"/>
  <c r="X189" i="18"/>
  <c r="V188" i="18"/>
  <c r="W188" i="18"/>
  <c r="X188" i="18"/>
  <c r="V187" i="18"/>
  <c r="W187" i="18"/>
  <c r="X187" i="18"/>
  <c r="V186" i="18"/>
  <c r="W186" i="18"/>
  <c r="X186" i="18"/>
  <c r="V184" i="18"/>
  <c r="W184" i="18"/>
  <c r="X184" i="18"/>
  <c r="V183" i="18"/>
  <c r="W183" i="18"/>
  <c r="X183" i="18"/>
  <c r="V182" i="18"/>
  <c r="W182" i="18"/>
  <c r="X182" i="18"/>
  <c r="V181" i="18"/>
  <c r="W181" i="18"/>
  <c r="X181" i="18"/>
  <c r="V180" i="18"/>
  <c r="W180" i="18"/>
  <c r="X180" i="18"/>
  <c r="V178" i="18"/>
  <c r="W178" i="18"/>
  <c r="X178" i="18"/>
  <c r="V177" i="18"/>
  <c r="W177" i="18"/>
  <c r="X177" i="18"/>
  <c r="V176" i="18"/>
  <c r="W176" i="18"/>
  <c r="X176" i="18"/>
  <c r="V164" i="18"/>
  <c r="W164" i="18"/>
  <c r="X164" i="18"/>
  <c r="V163" i="18"/>
  <c r="W163" i="18"/>
  <c r="X163" i="18"/>
  <c r="V162" i="18"/>
  <c r="W162" i="18"/>
  <c r="X162" i="18"/>
  <c r="V157" i="18"/>
  <c r="W157" i="18"/>
  <c r="X157" i="18"/>
  <c r="V156" i="18"/>
  <c r="W156" i="18"/>
  <c r="X156" i="18"/>
  <c r="V154" i="18"/>
  <c r="W154" i="18"/>
  <c r="X154" i="18"/>
  <c r="V150" i="18"/>
  <c r="W150" i="18"/>
  <c r="X150" i="18"/>
  <c r="V146" i="18"/>
  <c r="W146" i="18"/>
  <c r="X146" i="18"/>
  <c r="V145" i="18"/>
  <c r="W145" i="18"/>
  <c r="X145" i="18"/>
  <c r="V140" i="18"/>
  <c r="W140" i="18"/>
  <c r="X140" i="18"/>
  <c r="V139" i="18"/>
  <c r="W139" i="18"/>
  <c r="X139" i="18"/>
  <c r="V134" i="18"/>
  <c r="W134" i="18"/>
  <c r="X134" i="18"/>
  <c r="V133" i="18"/>
  <c r="W133" i="18"/>
  <c r="X133" i="18"/>
  <c r="V128" i="18"/>
  <c r="W128" i="18"/>
  <c r="X128" i="18"/>
  <c r="V127" i="18"/>
  <c r="W127" i="18"/>
  <c r="X127" i="18"/>
  <c r="V122" i="18"/>
  <c r="W122" i="18"/>
  <c r="X122" i="18"/>
  <c r="V121" i="18"/>
  <c r="W121" i="18"/>
  <c r="X121" i="18"/>
  <c r="V116" i="18"/>
  <c r="W116" i="18"/>
  <c r="X116" i="18"/>
  <c r="V115" i="18"/>
  <c r="W115" i="18"/>
  <c r="X115" i="18"/>
  <c r="V110" i="18"/>
  <c r="W110" i="18"/>
  <c r="X110" i="18"/>
  <c r="V109" i="18"/>
  <c r="W109" i="18"/>
  <c r="X109" i="18"/>
  <c r="V104" i="18"/>
  <c r="W104" i="18"/>
  <c r="X104" i="18"/>
  <c r="V103" i="18"/>
  <c r="W103" i="18"/>
  <c r="X103" i="18"/>
  <c r="V98" i="18"/>
  <c r="W98" i="18"/>
  <c r="X98" i="18"/>
  <c r="V97" i="18"/>
  <c r="W97" i="18"/>
  <c r="X97" i="18"/>
  <c r="V96" i="18"/>
  <c r="W96" i="18"/>
  <c r="X96" i="18"/>
  <c r="V92" i="18"/>
  <c r="W92" i="18"/>
  <c r="X92" i="18"/>
  <c r="V91" i="18"/>
  <c r="W91" i="18"/>
  <c r="X91" i="18"/>
  <c r="V90" i="18"/>
  <c r="W90" i="18"/>
  <c r="X90" i="18"/>
  <c r="V89" i="18"/>
  <c r="W89" i="18"/>
  <c r="X89" i="18"/>
  <c r="V88" i="18"/>
  <c r="W88" i="18"/>
  <c r="X88" i="18"/>
  <c r="F65" i="18"/>
  <c r="F64" i="18"/>
  <c r="F63" i="18"/>
  <c r="F62" i="18"/>
  <c r="F61" i="18"/>
  <c r="F60" i="18"/>
  <c r="F59" i="18"/>
  <c r="F58" i="18"/>
  <c r="F57" i="18"/>
  <c r="F56" i="18"/>
  <c r="F53" i="18"/>
  <c r="F52" i="18"/>
  <c r="F51" i="18"/>
  <c r="F50" i="18"/>
  <c r="F49" i="18"/>
  <c r="F48" i="18"/>
  <c r="F47" i="18"/>
  <c r="F46" i="18"/>
  <c r="F45" i="18"/>
  <c r="F44" i="18"/>
  <c r="F41" i="18"/>
  <c r="F40" i="18"/>
  <c r="F39" i="18"/>
  <c r="F38" i="18"/>
  <c r="F37" i="18"/>
  <c r="F36" i="18"/>
  <c r="F35" i="18"/>
  <c r="F34" i="18"/>
  <c r="F33" i="18"/>
  <c r="F32" i="18"/>
  <c r="F29" i="18"/>
  <c r="E29" i="18"/>
  <c r="D29" i="18"/>
  <c r="F28" i="18"/>
  <c r="E28" i="18"/>
  <c r="D28" i="18"/>
  <c r="F27" i="18"/>
  <c r="E27" i="18"/>
  <c r="D27" i="18"/>
  <c r="F26" i="18"/>
  <c r="E26" i="18"/>
  <c r="D26" i="18"/>
  <c r="F25" i="18"/>
  <c r="E25" i="18"/>
  <c r="D25" i="18"/>
  <c r="F24" i="18"/>
  <c r="E24" i="18"/>
  <c r="D24" i="18"/>
  <c r="F23" i="18"/>
  <c r="E23" i="18"/>
  <c r="D23" i="18"/>
  <c r="F22" i="18"/>
  <c r="E22" i="18"/>
  <c r="D22" i="18"/>
  <c r="F21" i="18"/>
  <c r="E21" i="18"/>
  <c r="D21" i="18"/>
  <c r="F20" i="18"/>
  <c r="E20" i="18"/>
  <c r="D20" i="18"/>
  <c r="T66" i="18"/>
  <c r="T65" i="18"/>
  <c r="T64" i="18"/>
  <c r="T63" i="18"/>
  <c r="T62" i="18"/>
  <c r="T54" i="18"/>
  <c r="T53" i="18"/>
  <c r="T52" i="18"/>
  <c r="U52" i="18"/>
  <c r="V52" i="18"/>
  <c r="W52" i="18"/>
  <c r="X52" i="18"/>
  <c r="T51" i="18"/>
  <c r="U51" i="18"/>
  <c r="V51" i="18"/>
  <c r="W51" i="18"/>
  <c r="X51" i="18"/>
  <c r="T50" i="18"/>
  <c r="U50" i="18"/>
  <c r="V50" i="18"/>
  <c r="W50" i="18"/>
  <c r="X50" i="18"/>
  <c r="T42" i="18"/>
  <c r="U42" i="18"/>
  <c r="V42" i="18"/>
  <c r="W42" i="18"/>
  <c r="X42" i="18"/>
  <c r="T41" i="18"/>
  <c r="U41" i="18"/>
  <c r="T40" i="18"/>
  <c r="U40" i="18"/>
  <c r="V40" i="18"/>
  <c r="W40" i="18"/>
  <c r="X40" i="18"/>
  <c r="T39" i="18"/>
  <c r="U39" i="18"/>
  <c r="V39" i="18"/>
  <c r="W39" i="18"/>
  <c r="X39" i="18"/>
  <c r="T38" i="18"/>
  <c r="U38" i="18"/>
  <c r="V38" i="18"/>
  <c r="W38" i="18"/>
  <c r="X38" i="18"/>
  <c r="U84" i="18"/>
  <c r="U83" i="18"/>
  <c r="U82" i="18"/>
  <c r="U66" i="18"/>
  <c r="V66" i="18"/>
  <c r="W66" i="18"/>
  <c r="X66" i="18"/>
  <c r="U65" i="18"/>
  <c r="V65" i="18"/>
  <c r="W65" i="18"/>
  <c r="X65" i="18"/>
  <c r="U64" i="18"/>
  <c r="V64" i="18"/>
  <c r="W64" i="18"/>
  <c r="X64" i="18"/>
  <c r="U63" i="18"/>
  <c r="V63" i="18"/>
  <c r="W63" i="18"/>
  <c r="X63" i="18"/>
  <c r="U62" i="18"/>
  <c r="V62" i="18"/>
  <c r="W62" i="18"/>
  <c r="X62" i="18"/>
  <c r="U60" i="18"/>
  <c r="U57" i="18"/>
  <c r="U56" i="18"/>
  <c r="U54" i="18"/>
  <c r="V54" i="18"/>
  <c r="W54" i="18"/>
  <c r="X54" i="18"/>
  <c r="U53" i="18"/>
  <c r="V53" i="18"/>
  <c r="W53" i="18"/>
  <c r="X53" i="18"/>
  <c r="U35" i="18"/>
  <c r="U34" i="18"/>
  <c r="U33" i="18"/>
  <c r="U32" i="18"/>
  <c r="F17" i="18"/>
  <c r="F16" i="18"/>
  <c r="F15" i="18"/>
  <c r="F14" i="18"/>
  <c r="F13" i="18"/>
  <c r="F12" i="18"/>
  <c r="F11" i="18"/>
  <c r="F10" i="18"/>
  <c r="F9" i="18"/>
  <c r="F8" i="18"/>
  <c r="U71" i="18"/>
  <c r="E65" i="18"/>
  <c r="D65" i="18"/>
  <c r="E64" i="18"/>
  <c r="D64" i="18"/>
  <c r="E63" i="18"/>
  <c r="D63" i="18"/>
  <c r="E62" i="18"/>
  <c r="D62" i="18"/>
  <c r="E61" i="18"/>
  <c r="D61" i="18"/>
  <c r="E60" i="18"/>
  <c r="D60" i="18"/>
  <c r="E59" i="18"/>
  <c r="D59" i="18"/>
  <c r="U58" i="18"/>
  <c r="E58" i="18"/>
  <c r="D58" i="18"/>
  <c r="E57" i="18"/>
  <c r="D57" i="18"/>
  <c r="E56" i="18"/>
  <c r="D56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AF43" i="18"/>
  <c r="AE43" i="18"/>
  <c r="AD43" i="18"/>
  <c r="AC43" i="18"/>
  <c r="AB43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U30" i="18"/>
  <c r="U29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N29" i="17"/>
  <c r="M29" i="17"/>
  <c r="L29" i="17"/>
  <c r="K29" i="17"/>
  <c r="J29" i="17"/>
  <c r="G29" i="17"/>
  <c r="F29" i="17"/>
  <c r="E29" i="17"/>
  <c r="D29" i="17"/>
  <c r="C29" i="17"/>
  <c r="E21" i="13"/>
  <c r="E22" i="13"/>
  <c r="E23" i="13"/>
  <c r="E24" i="13"/>
  <c r="E25" i="13"/>
  <c r="E26" i="13"/>
  <c r="E27" i="13"/>
  <c r="E28" i="13"/>
  <c r="E29" i="13"/>
  <c r="E30" i="13"/>
  <c r="E31" i="13"/>
  <c r="F4" i="13"/>
  <c r="T128" i="13"/>
  <c r="U128" i="13"/>
  <c r="V128" i="13"/>
  <c r="W128" i="13"/>
  <c r="T129" i="13"/>
  <c r="U129" i="13"/>
  <c r="V129" i="13"/>
  <c r="W129" i="13"/>
  <c r="T130" i="13"/>
  <c r="U130" i="13"/>
  <c r="V130" i="13"/>
  <c r="W130" i="13"/>
  <c r="T131" i="13"/>
  <c r="U131" i="13"/>
  <c r="V131" i="13"/>
  <c r="W131" i="13"/>
  <c r="T132" i="13"/>
  <c r="U132" i="13"/>
  <c r="V132" i="13"/>
  <c r="W132" i="13"/>
  <c r="X132" i="13"/>
  <c r="G16" i="17"/>
  <c r="F16" i="17"/>
  <c r="E16" i="17"/>
  <c r="D16" i="17"/>
  <c r="C16" i="17"/>
  <c r="T287" i="12"/>
  <c r="T286" i="12"/>
  <c r="T285" i="12"/>
  <c r="T284" i="12"/>
  <c r="T283" i="12"/>
  <c r="T281" i="12"/>
  <c r="T280" i="12"/>
  <c r="T279" i="12"/>
  <c r="T278" i="12"/>
  <c r="T277" i="12"/>
  <c r="T275" i="12"/>
  <c r="T274" i="12"/>
  <c r="T273" i="12"/>
  <c r="T272" i="12"/>
  <c r="T271" i="12"/>
  <c r="T263" i="12"/>
  <c r="T262" i="12"/>
  <c r="T261" i="12"/>
  <c r="T260" i="12"/>
  <c r="T259" i="12"/>
  <c r="T251" i="12"/>
  <c r="T250" i="12"/>
  <c r="T249" i="12"/>
  <c r="T248" i="12"/>
  <c r="T247" i="12"/>
  <c r="T253" i="12"/>
  <c r="T254" i="12"/>
  <c r="T255" i="12"/>
  <c r="T256" i="12"/>
  <c r="T237" i="12"/>
  <c r="T238" i="12"/>
  <c r="T239" i="12"/>
  <c r="T219" i="12"/>
  <c r="T218" i="12"/>
  <c r="T217" i="12"/>
  <c r="T216" i="12"/>
  <c r="T215" i="12"/>
  <c r="T213" i="12"/>
  <c r="T212" i="12"/>
  <c r="T211" i="12"/>
  <c r="T210" i="12"/>
  <c r="T209" i="12"/>
  <c r="T207" i="12"/>
  <c r="T206" i="12"/>
  <c r="T205" i="12"/>
  <c r="T204" i="12"/>
  <c r="T203" i="12"/>
  <c r="T195" i="12"/>
  <c r="T194" i="12"/>
  <c r="T193" i="12"/>
  <c r="T192" i="12"/>
  <c r="T191" i="12"/>
  <c r="T183" i="12"/>
  <c r="T182" i="12"/>
  <c r="T181" i="12"/>
  <c r="T180" i="12"/>
  <c r="T179" i="12"/>
  <c r="T171" i="12"/>
  <c r="T170" i="12"/>
  <c r="T169" i="12"/>
  <c r="T168" i="12"/>
  <c r="T167" i="12"/>
  <c r="T173" i="12"/>
  <c r="T174" i="12"/>
  <c r="T175" i="12"/>
  <c r="T176" i="12"/>
  <c r="T185" i="12"/>
  <c r="T186" i="12"/>
  <c r="T187" i="12"/>
  <c r="T188" i="12"/>
  <c r="AE31" i="16"/>
  <c r="AF31" i="16"/>
  <c r="AG31" i="16"/>
  <c r="AD31" i="16"/>
  <c r="AF52" i="12"/>
  <c r="AB52" i="12"/>
  <c r="AC52" i="12"/>
  <c r="AE52" i="12"/>
  <c r="T103" i="12"/>
  <c r="T102" i="12"/>
  <c r="T101" i="12"/>
  <c r="T100" i="12"/>
  <c r="T99" i="12"/>
  <c r="T115" i="12"/>
  <c r="T114" i="12"/>
  <c r="T113" i="12"/>
  <c r="T112" i="12"/>
  <c r="T111" i="12"/>
  <c r="T127" i="12"/>
  <c r="T126" i="12"/>
  <c r="T125" i="12"/>
  <c r="T124" i="12"/>
  <c r="T123" i="12"/>
  <c r="T151" i="12"/>
  <c r="T150" i="12"/>
  <c r="T149" i="12"/>
  <c r="T148" i="12"/>
  <c r="T147" i="12"/>
  <c r="T145" i="12"/>
  <c r="T144" i="12"/>
  <c r="T143" i="12"/>
  <c r="T142" i="12"/>
  <c r="T141" i="12"/>
  <c r="T139" i="12"/>
  <c r="T138" i="12"/>
  <c r="T137" i="12"/>
  <c r="T136" i="12"/>
  <c r="T135" i="12"/>
  <c r="N16" i="17"/>
  <c r="M16" i="17"/>
  <c r="L16" i="17"/>
  <c r="K16" i="17"/>
  <c r="J16" i="17"/>
  <c r="AD43" i="16"/>
  <c r="AE43" i="16"/>
  <c r="AF43" i="16"/>
  <c r="AG43" i="16"/>
  <c r="AC43" i="16"/>
  <c r="U355" i="16"/>
  <c r="U354" i="16"/>
  <c r="U353" i="16"/>
  <c r="U352" i="16"/>
  <c r="U351" i="16"/>
  <c r="U349" i="16"/>
  <c r="U348" i="16"/>
  <c r="U347" i="16"/>
  <c r="U346" i="16"/>
  <c r="U345" i="16"/>
  <c r="U343" i="16"/>
  <c r="U342" i="16"/>
  <c r="U341" i="16"/>
  <c r="U340" i="16"/>
  <c r="U339" i="16"/>
  <c r="U337" i="16"/>
  <c r="U336" i="16"/>
  <c r="U335" i="16"/>
  <c r="U334" i="16"/>
  <c r="U333" i="16"/>
  <c r="U331" i="16"/>
  <c r="U330" i="16"/>
  <c r="U329" i="16"/>
  <c r="U328" i="16"/>
  <c r="U327" i="16"/>
  <c r="U325" i="16"/>
  <c r="U324" i="16"/>
  <c r="U323" i="16"/>
  <c r="U322" i="16"/>
  <c r="U321" i="16"/>
  <c r="U319" i="16"/>
  <c r="U318" i="16"/>
  <c r="U317" i="16"/>
  <c r="U316" i="16"/>
  <c r="U315" i="16"/>
  <c r="U313" i="16"/>
  <c r="U312" i="16"/>
  <c r="U311" i="16"/>
  <c r="U310" i="16"/>
  <c r="U309" i="16"/>
  <c r="U307" i="16"/>
  <c r="U306" i="16"/>
  <c r="U305" i="16"/>
  <c r="U304" i="16"/>
  <c r="U303" i="16"/>
  <c r="U301" i="16"/>
  <c r="U300" i="16"/>
  <c r="U299" i="16"/>
  <c r="U298" i="16"/>
  <c r="V298" i="16"/>
  <c r="W298" i="16"/>
  <c r="X298" i="16"/>
  <c r="Y298" i="16"/>
  <c r="U297" i="16"/>
  <c r="V355" i="16"/>
  <c r="V354" i="16"/>
  <c r="V353" i="16"/>
  <c r="W353" i="16"/>
  <c r="X353" i="16"/>
  <c r="Y353" i="16"/>
  <c r="V352" i="16"/>
  <c r="W352" i="16"/>
  <c r="X352" i="16"/>
  <c r="Y352" i="16"/>
  <c r="V351" i="16"/>
  <c r="V349" i="16"/>
  <c r="W349" i="16"/>
  <c r="X349" i="16"/>
  <c r="Y349" i="16"/>
  <c r="V348" i="16"/>
  <c r="W348" i="16"/>
  <c r="X348" i="16"/>
  <c r="Y348" i="16"/>
  <c r="V347" i="16"/>
  <c r="W347" i="16"/>
  <c r="X347" i="16"/>
  <c r="Y347" i="16"/>
  <c r="V346" i="16"/>
  <c r="W346" i="16"/>
  <c r="X346" i="16"/>
  <c r="Y346" i="16"/>
  <c r="V345" i="16"/>
  <c r="W345" i="16"/>
  <c r="X345" i="16"/>
  <c r="Y345" i="16"/>
  <c r="Y350" i="16"/>
  <c r="V343" i="16"/>
  <c r="W343" i="16"/>
  <c r="X343" i="16"/>
  <c r="Y343" i="16"/>
  <c r="V342" i="16"/>
  <c r="W342" i="16"/>
  <c r="X342" i="16"/>
  <c r="Y342" i="16"/>
  <c r="V341" i="16"/>
  <c r="W341" i="16"/>
  <c r="X341" i="16"/>
  <c r="Y341" i="16"/>
  <c r="V340" i="16"/>
  <c r="W340" i="16"/>
  <c r="X340" i="16"/>
  <c r="Y340" i="16"/>
  <c r="V339" i="16"/>
  <c r="W339" i="16"/>
  <c r="X339" i="16"/>
  <c r="Y339" i="16"/>
  <c r="V337" i="16"/>
  <c r="W337" i="16"/>
  <c r="X337" i="16"/>
  <c r="Y337" i="16"/>
  <c r="V336" i="16"/>
  <c r="W336" i="16"/>
  <c r="X336" i="16"/>
  <c r="Y336" i="16"/>
  <c r="V335" i="16"/>
  <c r="W335" i="16"/>
  <c r="X335" i="16"/>
  <c r="Y335" i="16"/>
  <c r="V334" i="16"/>
  <c r="W334" i="16"/>
  <c r="X334" i="16"/>
  <c r="Y334" i="16"/>
  <c r="V333" i="16"/>
  <c r="V331" i="16"/>
  <c r="V330" i="16"/>
  <c r="V329" i="16"/>
  <c r="V328" i="16"/>
  <c r="V327" i="16"/>
  <c r="V325" i="16"/>
  <c r="V324" i="16"/>
  <c r="W324" i="16"/>
  <c r="X324" i="16"/>
  <c r="Y324" i="16"/>
  <c r="V323" i="16"/>
  <c r="W323" i="16"/>
  <c r="X323" i="16"/>
  <c r="Y323" i="16"/>
  <c r="V322" i="16"/>
  <c r="W322" i="16"/>
  <c r="X322" i="16"/>
  <c r="Y322" i="16"/>
  <c r="V321" i="16"/>
  <c r="W321" i="16"/>
  <c r="X321" i="16"/>
  <c r="Y321" i="16"/>
  <c r="V319" i="16"/>
  <c r="W319" i="16"/>
  <c r="X319" i="16"/>
  <c r="Y319" i="16"/>
  <c r="V318" i="16"/>
  <c r="W318" i="16"/>
  <c r="X318" i="16"/>
  <c r="Y318" i="16"/>
  <c r="V317" i="16"/>
  <c r="W317" i="16"/>
  <c r="X317" i="16"/>
  <c r="Y317" i="16"/>
  <c r="V316" i="16"/>
  <c r="W316" i="16"/>
  <c r="X316" i="16"/>
  <c r="Y316" i="16"/>
  <c r="V315" i="16"/>
  <c r="W315" i="16"/>
  <c r="X315" i="16"/>
  <c r="Y315" i="16"/>
  <c r="V313" i="16"/>
  <c r="W313" i="16"/>
  <c r="X313" i="16"/>
  <c r="Y313" i="16"/>
  <c r="V312" i="16"/>
  <c r="W312" i="16"/>
  <c r="X312" i="16"/>
  <c r="Y312" i="16"/>
  <c r="V311" i="16"/>
  <c r="W311" i="16"/>
  <c r="X311" i="16"/>
  <c r="Y311" i="16"/>
  <c r="V310" i="16"/>
  <c r="W310" i="16"/>
  <c r="X310" i="16"/>
  <c r="Y310" i="16"/>
  <c r="V309" i="16"/>
  <c r="W309" i="16"/>
  <c r="X309" i="16"/>
  <c r="Y309" i="16"/>
  <c r="V307" i="16"/>
  <c r="W307" i="16"/>
  <c r="X307" i="16"/>
  <c r="Y307" i="16"/>
  <c r="V306" i="16"/>
  <c r="W306" i="16"/>
  <c r="X306" i="16"/>
  <c r="Y306" i="16"/>
  <c r="V305" i="16"/>
  <c r="W305" i="16"/>
  <c r="X305" i="16"/>
  <c r="Y305" i="16"/>
  <c r="V304" i="16"/>
  <c r="V303" i="16"/>
  <c r="V299" i="16"/>
  <c r="W299" i="16"/>
  <c r="X299" i="16"/>
  <c r="Y299" i="16"/>
  <c r="V300" i="16"/>
  <c r="W300" i="16"/>
  <c r="X300" i="16"/>
  <c r="Y300" i="16"/>
  <c r="V301" i="16"/>
  <c r="V297" i="16"/>
  <c r="H65" i="16"/>
  <c r="H64" i="16"/>
  <c r="H63" i="16"/>
  <c r="H62" i="16"/>
  <c r="H61" i="16"/>
  <c r="H60" i="16"/>
  <c r="H59" i="16"/>
  <c r="H58" i="16"/>
  <c r="H57" i="16"/>
  <c r="H56" i="16"/>
  <c r="F65" i="16"/>
  <c r="G65" i="16"/>
  <c r="E65" i="16"/>
  <c r="D65" i="16"/>
  <c r="F64" i="16"/>
  <c r="G64" i="16"/>
  <c r="E64" i="16"/>
  <c r="D64" i="16"/>
  <c r="F63" i="16"/>
  <c r="G63" i="16"/>
  <c r="E63" i="16"/>
  <c r="D63" i="16"/>
  <c r="F62" i="16"/>
  <c r="G62" i="16"/>
  <c r="E62" i="16"/>
  <c r="D62" i="16"/>
  <c r="F61" i="16"/>
  <c r="G61" i="16"/>
  <c r="E61" i="16"/>
  <c r="D61" i="16"/>
  <c r="F60" i="16"/>
  <c r="G60" i="16"/>
  <c r="E60" i="16"/>
  <c r="D60" i="16"/>
  <c r="F59" i="16"/>
  <c r="G59" i="16"/>
  <c r="E59" i="16"/>
  <c r="D59" i="16"/>
  <c r="F58" i="16"/>
  <c r="G58" i="16"/>
  <c r="E58" i="16"/>
  <c r="D58" i="16"/>
  <c r="F57" i="16"/>
  <c r="G57" i="16"/>
  <c r="E57" i="16"/>
  <c r="D57" i="16"/>
  <c r="F56" i="16"/>
  <c r="G56" i="16"/>
  <c r="E56" i="16"/>
  <c r="D56" i="16"/>
  <c r="W355" i="16"/>
  <c r="X355" i="16"/>
  <c r="Y355" i="16"/>
  <c r="W354" i="16"/>
  <c r="X354" i="16"/>
  <c r="Y354" i="16"/>
  <c r="W333" i="16"/>
  <c r="X333" i="16"/>
  <c r="Y333" i="16"/>
  <c r="W331" i="16"/>
  <c r="X331" i="16"/>
  <c r="Y331" i="16"/>
  <c r="W330" i="16"/>
  <c r="X330" i="16"/>
  <c r="Y330" i="16"/>
  <c r="W329" i="16"/>
  <c r="X329" i="16"/>
  <c r="Y329" i="16"/>
  <c r="W328" i="16"/>
  <c r="X328" i="16"/>
  <c r="Y328" i="16"/>
  <c r="W327" i="16"/>
  <c r="X327" i="16"/>
  <c r="Y327" i="16"/>
  <c r="W325" i="16"/>
  <c r="X325" i="16"/>
  <c r="Y325" i="16"/>
  <c r="W304" i="16"/>
  <c r="X304" i="16"/>
  <c r="Y304" i="16"/>
  <c r="W303" i="16"/>
  <c r="X303" i="16"/>
  <c r="Y303" i="16"/>
  <c r="W301" i="16"/>
  <c r="X301" i="16"/>
  <c r="Y301" i="16"/>
  <c r="W297" i="16"/>
  <c r="X297" i="16"/>
  <c r="Y297" i="16"/>
  <c r="U287" i="16"/>
  <c r="V287" i="16"/>
  <c r="W287" i="16"/>
  <c r="X287" i="16"/>
  <c r="Y287" i="16"/>
  <c r="U286" i="16"/>
  <c r="V286" i="16"/>
  <c r="W286" i="16"/>
  <c r="X286" i="16"/>
  <c r="Y286" i="16"/>
  <c r="U285" i="16"/>
  <c r="V285" i="16"/>
  <c r="W285" i="16"/>
  <c r="X285" i="16"/>
  <c r="Y285" i="16"/>
  <c r="U284" i="16"/>
  <c r="U283" i="16"/>
  <c r="U281" i="16"/>
  <c r="U280" i="16"/>
  <c r="U279" i="16"/>
  <c r="U278" i="16"/>
  <c r="U277" i="16"/>
  <c r="U275" i="16"/>
  <c r="V275" i="16"/>
  <c r="W275" i="16"/>
  <c r="X275" i="16"/>
  <c r="Y275" i="16"/>
  <c r="U274" i="16"/>
  <c r="V274" i="16"/>
  <c r="W274" i="16"/>
  <c r="X274" i="16"/>
  <c r="Y274" i="16"/>
  <c r="U273" i="16"/>
  <c r="V273" i="16"/>
  <c r="W273" i="16"/>
  <c r="X273" i="16"/>
  <c r="Y273" i="16"/>
  <c r="U272" i="16"/>
  <c r="V272" i="16"/>
  <c r="W272" i="16"/>
  <c r="X272" i="16"/>
  <c r="Y272" i="16"/>
  <c r="U271" i="16"/>
  <c r="V271" i="16"/>
  <c r="W271" i="16"/>
  <c r="X271" i="16"/>
  <c r="Y271" i="16"/>
  <c r="U263" i="16"/>
  <c r="U262" i="16"/>
  <c r="U261" i="16"/>
  <c r="U260" i="16"/>
  <c r="V260" i="16"/>
  <c r="W260" i="16"/>
  <c r="X260" i="16"/>
  <c r="Y260" i="16"/>
  <c r="U259" i="16"/>
  <c r="V259" i="16"/>
  <c r="W259" i="16"/>
  <c r="X259" i="16"/>
  <c r="Y259" i="16"/>
  <c r="V261" i="16"/>
  <c r="W261" i="16"/>
  <c r="X261" i="16"/>
  <c r="Y261" i="16"/>
  <c r="V262" i="16"/>
  <c r="W262" i="16"/>
  <c r="X262" i="16"/>
  <c r="Y262" i="16"/>
  <c r="V263" i="16"/>
  <c r="W263" i="16"/>
  <c r="X263" i="16"/>
  <c r="Y263" i="16"/>
  <c r="Y264" i="16"/>
  <c r="U251" i="16"/>
  <c r="V251" i="16"/>
  <c r="W251" i="16"/>
  <c r="X251" i="16"/>
  <c r="Y251" i="16"/>
  <c r="U250" i="16"/>
  <c r="V250" i="16"/>
  <c r="W250" i="16"/>
  <c r="X250" i="16"/>
  <c r="Y250" i="16"/>
  <c r="U249" i="16"/>
  <c r="V249" i="16"/>
  <c r="W249" i="16"/>
  <c r="X249" i="16"/>
  <c r="Y249" i="16"/>
  <c r="U248" i="16"/>
  <c r="V248" i="16"/>
  <c r="W248" i="16"/>
  <c r="X248" i="16"/>
  <c r="Y248" i="16"/>
  <c r="U247" i="16"/>
  <c r="V247" i="16"/>
  <c r="W247" i="16"/>
  <c r="X247" i="16"/>
  <c r="Y247" i="16"/>
  <c r="U239" i="16"/>
  <c r="V239" i="16"/>
  <c r="W239" i="16"/>
  <c r="X239" i="16"/>
  <c r="Y239" i="16"/>
  <c r="U238" i="16"/>
  <c r="V238" i="16"/>
  <c r="W238" i="16"/>
  <c r="X238" i="16"/>
  <c r="Y238" i="16"/>
  <c r="U237" i="16"/>
  <c r="V237" i="16"/>
  <c r="W237" i="16"/>
  <c r="X237" i="16"/>
  <c r="Y237" i="16"/>
  <c r="U236" i="16"/>
  <c r="U235" i="16"/>
  <c r="V281" i="16"/>
  <c r="W281" i="16"/>
  <c r="X281" i="16"/>
  <c r="Y281" i="16"/>
  <c r="V280" i="16"/>
  <c r="W280" i="16"/>
  <c r="X280" i="16"/>
  <c r="Y280" i="16"/>
  <c r="V279" i="16"/>
  <c r="W279" i="16"/>
  <c r="X279" i="16"/>
  <c r="Y279" i="16"/>
  <c r="V278" i="16"/>
  <c r="W278" i="16"/>
  <c r="X278" i="16"/>
  <c r="Y278" i="16"/>
  <c r="V277" i="16"/>
  <c r="W277" i="16"/>
  <c r="X277" i="16"/>
  <c r="Y277" i="16"/>
  <c r="Y282" i="16"/>
  <c r="V284" i="16"/>
  <c r="W284" i="16"/>
  <c r="X284" i="16"/>
  <c r="Y284" i="16"/>
  <c r="V283" i="16"/>
  <c r="W283" i="16"/>
  <c r="X283" i="16"/>
  <c r="Y283" i="16"/>
  <c r="Y288" i="16"/>
  <c r="V236" i="16"/>
  <c r="W236" i="16"/>
  <c r="X236" i="16"/>
  <c r="Y236" i="16"/>
  <c r="V235" i="16"/>
  <c r="W235" i="16"/>
  <c r="X235" i="16"/>
  <c r="Y235" i="16"/>
  <c r="U219" i="16"/>
  <c r="U218" i="16"/>
  <c r="U217" i="16"/>
  <c r="U216" i="16"/>
  <c r="U215" i="16"/>
  <c r="U213" i="16"/>
  <c r="V213" i="16"/>
  <c r="W213" i="16"/>
  <c r="X213" i="16"/>
  <c r="Y213" i="16"/>
  <c r="U212" i="16"/>
  <c r="V212" i="16"/>
  <c r="W212" i="16"/>
  <c r="X212" i="16"/>
  <c r="Y212" i="16"/>
  <c r="U211" i="16"/>
  <c r="V211" i="16"/>
  <c r="W211" i="16"/>
  <c r="X211" i="16"/>
  <c r="Y211" i="16"/>
  <c r="U210" i="16"/>
  <c r="V210" i="16"/>
  <c r="W210" i="16"/>
  <c r="X210" i="16"/>
  <c r="Y210" i="16"/>
  <c r="U209" i="16"/>
  <c r="V209" i="16"/>
  <c r="W209" i="16"/>
  <c r="X209" i="16"/>
  <c r="Y209" i="16"/>
  <c r="U207" i="16"/>
  <c r="V207" i="16"/>
  <c r="W207" i="16"/>
  <c r="X207" i="16"/>
  <c r="Y207" i="16"/>
  <c r="U206" i="16"/>
  <c r="V206" i="16"/>
  <c r="W206" i="16"/>
  <c r="X206" i="16"/>
  <c r="Y206" i="16"/>
  <c r="U205" i="16"/>
  <c r="V205" i="16"/>
  <c r="W205" i="16"/>
  <c r="X205" i="16"/>
  <c r="Y205" i="16"/>
  <c r="U204" i="16"/>
  <c r="V204" i="16"/>
  <c r="W204" i="16"/>
  <c r="X204" i="16"/>
  <c r="Y204" i="16"/>
  <c r="U203" i="16"/>
  <c r="V203" i="16"/>
  <c r="W203" i="16"/>
  <c r="X203" i="16"/>
  <c r="Y203" i="16"/>
  <c r="U195" i="16"/>
  <c r="V195" i="16"/>
  <c r="W195" i="16"/>
  <c r="X195" i="16"/>
  <c r="Y195" i="16"/>
  <c r="U194" i="16"/>
  <c r="V194" i="16"/>
  <c r="W194" i="16"/>
  <c r="X194" i="16"/>
  <c r="Y194" i="16"/>
  <c r="U193" i="16"/>
  <c r="V193" i="16"/>
  <c r="W193" i="16"/>
  <c r="X193" i="16"/>
  <c r="Y193" i="16"/>
  <c r="U192" i="16"/>
  <c r="V192" i="16"/>
  <c r="W192" i="16"/>
  <c r="X192" i="16"/>
  <c r="Y192" i="16"/>
  <c r="U191" i="16"/>
  <c r="V191" i="16"/>
  <c r="W191" i="16"/>
  <c r="X191" i="16"/>
  <c r="Y191" i="16"/>
  <c r="U183" i="16"/>
  <c r="V183" i="16"/>
  <c r="W183" i="16"/>
  <c r="X183" i="16"/>
  <c r="Y183" i="16"/>
  <c r="U182" i="16"/>
  <c r="V182" i="16"/>
  <c r="W182" i="16"/>
  <c r="X182" i="16"/>
  <c r="Y182" i="16"/>
  <c r="U181" i="16"/>
  <c r="V181" i="16"/>
  <c r="W181" i="16"/>
  <c r="X181" i="16"/>
  <c r="Y181" i="16"/>
  <c r="U180" i="16"/>
  <c r="V180" i="16"/>
  <c r="W180" i="16"/>
  <c r="X180" i="16"/>
  <c r="Y180" i="16"/>
  <c r="U179" i="16"/>
  <c r="V179" i="16"/>
  <c r="W179" i="16"/>
  <c r="X179" i="16"/>
  <c r="Y179" i="16"/>
  <c r="U171" i="16"/>
  <c r="V171" i="16"/>
  <c r="W171" i="16"/>
  <c r="X171" i="16"/>
  <c r="Y171" i="16"/>
  <c r="U170" i="16"/>
  <c r="V170" i="16"/>
  <c r="W170" i="16"/>
  <c r="X170" i="16"/>
  <c r="Y170" i="16"/>
  <c r="U169" i="16"/>
  <c r="V169" i="16"/>
  <c r="W169" i="16"/>
  <c r="X169" i="16"/>
  <c r="Y169" i="16"/>
  <c r="U168" i="16"/>
  <c r="V168" i="16"/>
  <c r="W168" i="16"/>
  <c r="X168" i="16"/>
  <c r="Y168" i="16"/>
  <c r="U167" i="16"/>
  <c r="V167" i="16"/>
  <c r="W167" i="16"/>
  <c r="X167" i="16"/>
  <c r="Y167" i="16"/>
  <c r="U201" i="16"/>
  <c r="V201" i="16"/>
  <c r="W201" i="16"/>
  <c r="X201" i="16"/>
  <c r="Y201" i="16"/>
  <c r="U200" i="16"/>
  <c r="V200" i="16"/>
  <c r="W200" i="16"/>
  <c r="X200" i="16"/>
  <c r="Y200" i="16"/>
  <c r="U199" i="16"/>
  <c r="V199" i="16"/>
  <c r="W199" i="16"/>
  <c r="X199" i="16"/>
  <c r="Y199" i="16"/>
  <c r="U198" i="16"/>
  <c r="V198" i="16"/>
  <c r="W198" i="16"/>
  <c r="X198" i="16"/>
  <c r="Y198" i="16"/>
  <c r="U197" i="16"/>
  <c r="V197" i="16"/>
  <c r="W197" i="16"/>
  <c r="X197" i="16"/>
  <c r="Y197" i="16"/>
  <c r="U103" i="16"/>
  <c r="V103" i="16"/>
  <c r="W103" i="16"/>
  <c r="X103" i="16"/>
  <c r="Y103" i="16"/>
  <c r="U102" i="16"/>
  <c r="V102" i="16"/>
  <c r="W102" i="16"/>
  <c r="X102" i="16"/>
  <c r="Y102" i="16"/>
  <c r="U101" i="16"/>
  <c r="V101" i="16"/>
  <c r="W101" i="16"/>
  <c r="X101" i="16"/>
  <c r="Y101" i="16"/>
  <c r="U100" i="16"/>
  <c r="V100" i="16"/>
  <c r="W100" i="16"/>
  <c r="X100" i="16"/>
  <c r="Y100" i="16"/>
  <c r="U99" i="16"/>
  <c r="V99" i="16"/>
  <c r="W99" i="16"/>
  <c r="X99" i="16"/>
  <c r="Y99" i="16"/>
  <c r="U115" i="16"/>
  <c r="V115" i="16"/>
  <c r="W115" i="16"/>
  <c r="X115" i="16"/>
  <c r="Y115" i="16"/>
  <c r="U114" i="16"/>
  <c r="V114" i="16"/>
  <c r="W114" i="16"/>
  <c r="X114" i="16"/>
  <c r="Y114" i="16"/>
  <c r="U113" i="16"/>
  <c r="V113" i="16"/>
  <c r="W113" i="16"/>
  <c r="X113" i="16"/>
  <c r="Y113" i="16"/>
  <c r="U112" i="16"/>
  <c r="V112" i="16"/>
  <c r="W112" i="16"/>
  <c r="X112" i="16"/>
  <c r="Y112" i="16"/>
  <c r="U111" i="16"/>
  <c r="V111" i="16"/>
  <c r="W111" i="16"/>
  <c r="X111" i="16"/>
  <c r="Y111" i="16"/>
  <c r="U127" i="16"/>
  <c r="V127" i="16"/>
  <c r="W127" i="16"/>
  <c r="X127" i="16"/>
  <c r="Y127" i="16"/>
  <c r="U126" i="16"/>
  <c r="V126" i="16"/>
  <c r="W126" i="16"/>
  <c r="X126" i="16"/>
  <c r="Y126" i="16"/>
  <c r="U125" i="16"/>
  <c r="V125" i="16"/>
  <c r="W125" i="16"/>
  <c r="X125" i="16"/>
  <c r="Y125" i="16"/>
  <c r="U124" i="16"/>
  <c r="V124" i="16"/>
  <c r="W124" i="16"/>
  <c r="X124" i="16"/>
  <c r="Y124" i="16"/>
  <c r="U123" i="16"/>
  <c r="V123" i="16"/>
  <c r="W123" i="16"/>
  <c r="X123" i="16"/>
  <c r="Y123" i="16"/>
  <c r="U151" i="16"/>
  <c r="V151" i="16"/>
  <c r="W151" i="16"/>
  <c r="X151" i="16"/>
  <c r="Y151" i="16"/>
  <c r="U150" i="16"/>
  <c r="V150" i="16"/>
  <c r="W150" i="16"/>
  <c r="X150" i="16"/>
  <c r="Y150" i="16"/>
  <c r="U149" i="16"/>
  <c r="V149" i="16"/>
  <c r="W149" i="16"/>
  <c r="X149" i="16"/>
  <c r="Y149" i="16"/>
  <c r="U148" i="16"/>
  <c r="V148" i="16"/>
  <c r="W148" i="16"/>
  <c r="X148" i="16"/>
  <c r="Y148" i="16"/>
  <c r="U147" i="16"/>
  <c r="V147" i="16"/>
  <c r="W147" i="16"/>
  <c r="X147" i="16"/>
  <c r="Y147" i="16"/>
  <c r="U145" i="16"/>
  <c r="V145" i="16"/>
  <c r="W145" i="16"/>
  <c r="X145" i="16"/>
  <c r="Y145" i="16"/>
  <c r="U144" i="16"/>
  <c r="V144" i="16"/>
  <c r="W144" i="16"/>
  <c r="X144" i="16"/>
  <c r="Y144" i="16"/>
  <c r="U143" i="16"/>
  <c r="V143" i="16"/>
  <c r="W143" i="16"/>
  <c r="X143" i="16"/>
  <c r="Y143" i="16"/>
  <c r="U142" i="16"/>
  <c r="V142" i="16"/>
  <c r="W142" i="16"/>
  <c r="X142" i="16"/>
  <c r="Y142" i="16"/>
  <c r="U141" i="16"/>
  <c r="V141" i="16"/>
  <c r="W141" i="16"/>
  <c r="X141" i="16"/>
  <c r="Y141" i="16"/>
  <c r="U139" i="16"/>
  <c r="V139" i="16"/>
  <c r="W139" i="16"/>
  <c r="X139" i="16"/>
  <c r="Y139" i="16"/>
  <c r="U138" i="16"/>
  <c r="V138" i="16"/>
  <c r="W138" i="16"/>
  <c r="X138" i="16"/>
  <c r="Y138" i="16"/>
  <c r="U137" i="16"/>
  <c r="V137" i="16"/>
  <c r="W137" i="16"/>
  <c r="X137" i="16"/>
  <c r="Y137" i="16"/>
  <c r="U136" i="16"/>
  <c r="V136" i="16"/>
  <c r="W136" i="16"/>
  <c r="X136" i="16"/>
  <c r="Y136" i="16"/>
  <c r="U135" i="16"/>
  <c r="V135" i="16"/>
  <c r="W135" i="16"/>
  <c r="X135" i="16"/>
  <c r="Y135" i="16"/>
  <c r="U84" i="16"/>
  <c r="U83" i="16"/>
  <c r="U82" i="16"/>
  <c r="U81" i="16"/>
  <c r="U80" i="16"/>
  <c r="U78" i="16"/>
  <c r="U77" i="16"/>
  <c r="U76" i="16"/>
  <c r="U75" i="16"/>
  <c r="U74" i="16"/>
  <c r="U36" i="16"/>
  <c r="U35" i="16"/>
  <c r="U34" i="16"/>
  <c r="U33" i="16"/>
  <c r="U32" i="16"/>
  <c r="U48" i="16"/>
  <c r="U47" i="16"/>
  <c r="U46" i="16"/>
  <c r="U45" i="16"/>
  <c r="U44" i="16"/>
  <c r="U60" i="16"/>
  <c r="U59" i="16"/>
  <c r="U58" i="16"/>
  <c r="U57" i="16"/>
  <c r="U56" i="16"/>
  <c r="U72" i="16"/>
  <c r="U71" i="16"/>
  <c r="U70" i="16"/>
  <c r="U69" i="16"/>
  <c r="U68" i="16"/>
  <c r="W31" i="19"/>
  <c r="V31" i="19"/>
  <c r="W67" i="19"/>
  <c r="V67" i="19"/>
  <c r="W25" i="19"/>
  <c r="V25" i="19"/>
  <c r="V55" i="19"/>
  <c r="W55" i="19"/>
  <c r="W61" i="19"/>
  <c r="V61" i="19"/>
  <c r="V37" i="19"/>
  <c r="W37" i="19"/>
  <c r="V43" i="19"/>
  <c r="W43" i="19"/>
  <c r="W73" i="19"/>
  <c r="V73" i="19"/>
  <c r="W19" i="19"/>
  <c r="V19" i="19"/>
  <c r="V49" i="19"/>
  <c r="W49" i="19"/>
  <c r="Z302" i="11"/>
  <c r="Y302" i="11"/>
  <c r="Z308" i="11"/>
  <c r="Y308" i="11"/>
  <c r="Z314" i="11"/>
  <c r="Y314" i="11"/>
  <c r="Z290" i="11"/>
  <c r="Y290" i="11"/>
  <c r="Z278" i="11"/>
  <c r="Y278" i="11"/>
  <c r="Z260" i="11"/>
  <c r="Y260" i="11"/>
  <c r="Z212" i="11"/>
  <c r="Y212" i="11"/>
  <c r="Z218" i="11"/>
  <c r="Y218" i="11"/>
  <c r="Z224" i="11"/>
  <c r="Y224" i="11"/>
  <c r="Z200" i="11"/>
  <c r="Y200" i="11"/>
  <c r="Z188" i="11"/>
  <c r="Y188" i="11"/>
  <c r="Z176" i="11"/>
  <c r="Y176" i="11"/>
  <c r="Z143" i="11"/>
  <c r="Y143" i="11"/>
  <c r="Z149" i="11"/>
  <c r="Y149" i="11"/>
  <c r="Z155" i="11"/>
  <c r="Y155" i="11"/>
  <c r="Z131" i="11"/>
  <c r="Y131" i="11"/>
  <c r="Z119" i="11"/>
  <c r="Y119" i="11"/>
  <c r="Z107" i="11"/>
  <c r="Y107" i="11"/>
  <c r="V100" i="18"/>
  <c r="W100" i="18"/>
  <c r="X100" i="18"/>
  <c r="V159" i="18"/>
  <c r="W159" i="18"/>
  <c r="X159" i="18"/>
  <c r="V160" i="18"/>
  <c r="W160" i="18"/>
  <c r="X160" i="18"/>
  <c r="V307" i="18"/>
  <c r="W307" i="18"/>
  <c r="X307" i="18"/>
  <c r="V308" i="18"/>
  <c r="W308" i="18"/>
  <c r="X308" i="18"/>
  <c r="Z302" i="18"/>
  <c r="Y302" i="18"/>
  <c r="Z290" i="18"/>
  <c r="Y290" i="18"/>
  <c r="Z296" i="18"/>
  <c r="Y296" i="18"/>
  <c r="Z326" i="18"/>
  <c r="Y326" i="18"/>
  <c r="Z278" i="18"/>
  <c r="Y278" i="18"/>
  <c r="Z308" i="18"/>
  <c r="Y308" i="18"/>
  <c r="Z284" i="18"/>
  <c r="Y284" i="18"/>
  <c r="Y314" i="18"/>
  <c r="Z314" i="18"/>
  <c r="Z320" i="18"/>
  <c r="Y320" i="18"/>
  <c r="Z332" i="18"/>
  <c r="Y332" i="18"/>
  <c r="Z252" i="18"/>
  <c r="Y252" i="18"/>
  <c r="Y228" i="18"/>
  <c r="Z228" i="18"/>
  <c r="Z240" i="18"/>
  <c r="Y240" i="18"/>
  <c r="Y216" i="18"/>
  <c r="Z216" i="18"/>
  <c r="Z270" i="18"/>
  <c r="Y270" i="18"/>
  <c r="Z258" i="18"/>
  <c r="Y258" i="18"/>
  <c r="Z246" i="18"/>
  <c r="Y246" i="18"/>
  <c r="Z222" i="18"/>
  <c r="Y222" i="18"/>
  <c r="Y234" i="18"/>
  <c r="Z234" i="18"/>
  <c r="Z264" i="18"/>
  <c r="Y264" i="18"/>
  <c r="Y178" i="18"/>
  <c r="Z178" i="18"/>
  <c r="Y166" i="18"/>
  <c r="Z166" i="18"/>
  <c r="Y172" i="18"/>
  <c r="Z172" i="18"/>
  <c r="Z208" i="18"/>
  <c r="Y208" i="18"/>
  <c r="Z160" i="18"/>
  <c r="Y160" i="18"/>
  <c r="Z154" i="18"/>
  <c r="Y154" i="18"/>
  <c r="Z184" i="18"/>
  <c r="Y184" i="18"/>
  <c r="Z196" i="18"/>
  <c r="Y196" i="18"/>
  <c r="Z190" i="18"/>
  <c r="Y190" i="18"/>
  <c r="Z202" i="18"/>
  <c r="Y202" i="18"/>
  <c r="Z98" i="18"/>
  <c r="Y98" i="18"/>
  <c r="Z134" i="18"/>
  <c r="Y134" i="18"/>
  <c r="Z140" i="18"/>
  <c r="Y140" i="18"/>
  <c r="Z128" i="18"/>
  <c r="Y128" i="18"/>
  <c r="Y116" i="18"/>
  <c r="Z116" i="18"/>
  <c r="Z92" i="18"/>
  <c r="Y92" i="18"/>
  <c r="Z110" i="18"/>
  <c r="Y110" i="18"/>
  <c r="Z122" i="18"/>
  <c r="Y122" i="18"/>
  <c r="Z104" i="18"/>
  <c r="Y104" i="18"/>
  <c r="Z146" i="18"/>
  <c r="Y146" i="18"/>
  <c r="V60" i="18"/>
  <c r="W60" i="18"/>
  <c r="X60" i="18"/>
  <c r="U69" i="18"/>
  <c r="V69" i="18"/>
  <c r="W69" i="18"/>
  <c r="X69" i="18"/>
  <c r="V29" i="18"/>
  <c r="W29" i="18"/>
  <c r="X29" i="18"/>
  <c r="V32" i="18"/>
  <c r="W32" i="18"/>
  <c r="X32" i="18"/>
  <c r="V33" i="18"/>
  <c r="W33" i="18"/>
  <c r="X33" i="18"/>
  <c r="V34" i="18"/>
  <c r="W34" i="18"/>
  <c r="X34" i="18"/>
  <c r="V35" i="18"/>
  <c r="W35" i="18"/>
  <c r="X35" i="18"/>
  <c r="U36" i="18"/>
  <c r="V36" i="18"/>
  <c r="W36" i="18"/>
  <c r="X36" i="18"/>
  <c r="Z36" i="18"/>
  <c r="U70" i="18"/>
  <c r="V70" i="18"/>
  <c r="W70" i="18"/>
  <c r="X70" i="18"/>
  <c r="U44" i="18"/>
  <c r="V44" i="18"/>
  <c r="W44" i="18"/>
  <c r="X44" i="18"/>
  <c r="U74" i="18"/>
  <c r="V74" i="18"/>
  <c r="W74" i="18"/>
  <c r="X74" i="18"/>
  <c r="V58" i="18"/>
  <c r="W58" i="18"/>
  <c r="X58" i="18"/>
  <c r="V71" i="18"/>
  <c r="W71" i="18"/>
  <c r="X71" i="18"/>
  <c r="U59" i="18"/>
  <c r="V59" i="18"/>
  <c r="W59" i="18"/>
  <c r="X59" i="18"/>
  <c r="V82" i="18"/>
  <c r="W82" i="18"/>
  <c r="X82" i="18"/>
  <c r="U76" i="18"/>
  <c r="V76" i="18"/>
  <c r="W76" i="18"/>
  <c r="X76" i="18"/>
  <c r="V30" i="18"/>
  <c r="W30" i="18"/>
  <c r="X30" i="18"/>
  <c r="U28" i="18"/>
  <c r="V28" i="18"/>
  <c r="W28" i="18"/>
  <c r="X28" i="18"/>
  <c r="U68" i="18"/>
  <c r="V68" i="18"/>
  <c r="W68" i="18"/>
  <c r="X68" i="18"/>
  <c r="V83" i="18"/>
  <c r="W83" i="18"/>
  <c r="X83" i="18"/>
  <c r="V84" i="18"/>
  <c r="W84" i="18"/>
  <c r="X84" i="18"/>
  <c r="U72" i="18"/>
  <c r="V72" i="18"/>
  <c r="W72" i="18"/>
  <c r="X72" i="18"/>
  <c r="U45" i="18"/>
  <c r="V45" i="18"/>
  <c r="W45" i="18"/>
  <c r="X45" i="18"/>
  <c r="U46" i="18"/>
  <c r="V46" i="18"/>
  <c r="W46" i="18"/>
  <c r="X46" i="18"/>
  <c r="U75" i="18"/>
  <c r="V75" i="18"/>
  <c r="W75" i="18"/>
  <c r="X75" i="18"/>
  <c r="U47" i="18"/>
  <c r="V47" i="18"/>
  <c r="W47" i="18"/>
  <c r="X47" i="18"/>
  <c r="V57" i="18"/>
  <c r="W57" i="18"/>
  <c r="X57" i="18"/>
  <c r="U48" i="18"/>
  <c r="V48" i="18"/>
  <c r="W48" i="18"/>
  <c r="X48" i="18"/>
  <c r="U77" i="18"/>
  <c r="V77" i="18"/>
  <c r="W77" i="18"/>
  <c r="X77" i="18"/>
  <c r="U78" i="18"/>
  <c r="V78" i="18"/>
  <c r="W78" i="18"/>
  <c r="X78" i="18"/>
  <c r="V26" i="18"/>
  <c r="W26" i="18"/>
  <c r="X26" i="18"/>
  <c r="U80" i="18"/>
  <c r="V80" i="18"/>
  <c r="W80" i="18"/>
  <c r="X80" i="18"/>
  <c r="V27" i="18"/>
  <c r="W27" i="18"/>
  <c r="X27" i="18"/>
  <c r="U81" i="18"/>
  <c r="V81" i="18"/>
  <c r="W81" i="18"/>
  <c r="X81" i="18"/>
  <c r="V56" i="18"/>
  <c r="W56" i="18"/>
  <c r="X56" i="18"/>
  <c r="V41" i="18"/>
  <c r="W41" i="18"/>
  <c r="X41" i="18"/>
  <c r="Z42" i="18"/>
  <c r="Y42" i="18"/>
  <c r="Z54" i="18"/>
  <c r="Y54" i="18"/>
  <c r="Y66" i="18"/>
  <c r="Z66" i="18"/>
  <c r="W351" i="16"/>
  <c r="X351" i="16"/>
  <c r="Y351" i="16"/>
  <c r="Y356" i="16"/>
  <c r="Y314" i="16"/>
  <c r="Y308" i="16"/>
  <c r="Y302" i="16"/>
  <c r="Y344" i="16"/>
  <c r="Y332" i="16"/>
  <c r="Y320" i="16"/>
  <c r="Y326" i="16"/>
  <c r="Y338" i="16"/>
  <c r="Y276" i="16"/>
  <c r="Y240" i="16"/>
  <c r="Y252" i="16"/>
  <c r="Y196" i="16"/>
  <c r="Y184" i="16"/>
  <c r="Y202" i="16"/>
  <c r="Y214" i="16"/>
  <c r="Y172" i="16"/>
  <c r="Y208" i="16"/>
  <c r="Y140" i="16"/>
  <c r="Y104" i="16"/>
  <c r="Y128" i="16"/>
  <c r="Y146" i="16"/>
  <c r="Y152" i="16"/>
  <c r="Y116" i="16"/>
  <c r="Z84" i="18"/>
  <c r="Z60" i="18"/>
  <c r="Y60" i="18"/>
  <c r="Y30" i="18"/>
  <c r="Y36" i="18"/>
  <c r="Z30" i="18"/>
  <c r="Z72" i="18"/>
  <c r="Y72" i="18"/>
  <c r="Z78" i="18"/>
  <c r="Y78" i="18"/>
  <c r="Z48" i="18"/>
  <c r="Y48" i="18"/>
  <c r="Y84" i="18"/>
  <c r="V36" i="16"/>
  <c r="W36" i="16"/>
  <c r="X36" i="16"/>
  <c r="Y36" i="16"/>
  <c r="V35" i="16"/>
  <c r="W35" i="16"/>
  <c r="X35" i="16"/>
  <c r="Y35" i="16"/>
  <c r="V34" i="16"/>
  <c r="W34" i="16"/>
  <c r="X34" i="16"/>
  <c r="Y34" i="16"/>
  <c r="V33" i="16"/>
  <c r="W33" i="16"/>
  <c r="X33" i="16"/>
  <c r="Y33" i="16"/>
  <c r="V32" i="16"/>
  <c r="W32" i="16"/>
  <c r="X32" i="16"/>
  <c r="Y32" i="16"/>
  <c r="V48" i="16"/>
  <c r="W48" i="16"/>
  <c r="X48" i="16"/>
  <c r="Y48" i="16"/>
  <c r="V47" i="16"/>
  <c r="W47" i="16"/>
  <c r="X47" i="16"/>
  <c r="Y47" i="16"/>
  <c r="V46" i="16"/>
  <c r="W46" i="16"/>
  <c r="X46" i="16"/>
  <c r="Y46" i="16"/>
  <c r="V45" i="16"/>
  <c r="W45" i="16"/>
  <c r="X45" i="16"/>
  <c r="Y45" i="16"/>
  <c r="V44" i="16"/>
  <c r="W44" i="16"/>
  <c r="X44" i="16"/>
  <c r="Y44" i="16"/>
  <c r="V60" i="16"/>
  <c r="W60" i="16"/>
  <c r="X60" i="16"/>
  <c r="Y60" i="16"/>
  <c r="V59" i="16"/>
  <c r="W59" i="16"/>
  <c r="X59" i="16"/>
  <c r="Y59" i="16"/>
  <c r="V58" i="16"/>
  <c r="W58" i="16"/>
  <c r="X58" i="16"/>
  <c r="Y58" i="16"/>
  <c r="V57" i="16"/>
  <c r="W57" i="16"/>
  <c r="X57" i="16"/>
  <c r="Y57" i="16"/>
  <c r="V56" i="16"/>
  <c r="W56" i="16"/>
  <c r="X56" i="16"/>
  <c r="Y56" i="16"/>
  <c r="U66" i="16"/>
  <c r="V66" i="16"/>
  <c r="W66" i="16"/>
  <c r="X66" i="16"/>
  <c r="Y66" i="16"/>
  <c r="U65" i="16"/>
  <c r="V65" i="16"/>
  <c r="W65" i="16"/>
  <c r="X65" i="16"/>
  <c r="Y65" i="16"/>
  <c r="U64" i="16"/>
  <c r="V64" i="16"/>
  <c r="W64" i="16"/>
  <c r="X64" i="16"/>
  <c r="Y64" i="16"/>
  <c r="U63" i="16"/>
  <c r="V63" i="16"/>
  <c r="W63" i="16"/>
  <c r="X63" i="16"/>
  <c r="Y63" i="16"/>
  <c r="U62" i="16"/>
  <c r="V62" i="16"/>
  <c r="W62" i="16"/>
  <c r="X62" i="16"/>
  <c r="Y62" i="16"/>
  <c r="V72" i="16"/>
  <c r="W72" i="16"/>
  <c r="X72" i="16"/>
  <c r="Y72" i="16"/>
  <c r="V71" i="16"/>
  <c r="W71" i="16"/>
  <c r="X71" i="16"/>
  <c r="Y71" i="16"/>
  <c r="V70" i="16"/>
  <c r="W70" i="16"/>
  <c r="X70" i="16"/>
  <c r="Y70" i="16"/>
  <c r="V69" i="16"/>
  <c r="W69" i="16"/>
  <c r="X69" i="16"/>
  <c r="Y69" i="16"/>
  <c r="V68" i="16"/>
  <c r="W68" i="16"/>
  <c r="X68" i="16"/>
  <c r="Y68" i="16"/>
  <c r="V78" i="16"/>
  <c r="W78" i="16"/>
  <c r="X78" i="16"/>
  <c r="Y78" i="16"/>
  <c r="V77" i="16"/>
  <c r="W77" i="16"/>
  <c r="X77" i="16"/>
  <c r="Y77" i="16"/>
  <c r="V76" i="16"/>
  <c r="W76" i="16"/>
  <c r="X76" i="16"/>
  <c r="Y76" i="16"/>
  <c r="V75" i="16"/>
  <c r="W75" i="16"/>
  <c r="X75" i="16"/>
  <c r="Y75" i="16"/>
  <c r="V74" i="16"/>
  <c r="W74" i="16"/>
  <c r="X74" i="16"/>
  <c r="Y74" i="16"/>
  <c r="V84" i="16"/>
  <c r="W84" i="16"/>
  <c r="X84" i="16"/>
  <c r="Y84" i="16"/>
  <c r="V83" i="16"/>
  <c r="W83" i="16"/>
  <c r="X83" i="16"/>
  <c r="Y83" i="16"/>
  <c r="V82" i="16"/>
  <c r="W82" i="16"/>
  <c r="X82" i="16"/>
  <c r="Y82" i="16"/>
  <c r="V81" i="16"/>
  <c r="W81" i="16"/>
  <c r="X81" i="16"/>
  <c r="Y81" i="16"/>
  <c r="V80" i="16"/>
  <c r="W80" i="16"/>
  <c r="X80" i="16"/>
  <c r="Y80" i="16"/>
  <c r="AD52" i="12"/>
  <c r="AC31" i="12"/>
  <c r="AD31" i="12"/>
  <c r="AE31" i="12"/>
  <c r="AB31" i="12"/>
  <c r="T36" i="12"/>
  <c r="T35" i="12"/>
  <c r="T34" i="12"/>
  <c r="T33" i="12"/>
  <c r="T32" i="12"/>
  <c r="T48" i="12"/>
  <c r="T47" i="12"/>
  <c r="T46" i="12"/>
  <c r="T45" i="12"/>
  <c r="T44" i="12"/>
  <c r="T60" i="12"/>
  <c r="T59" i="12"/>
  <c r="T58" i="12"/>
  <c r="T57" i="12"/>
  <c r="T56" i="12"/>
  <c r="T84" i="12"/>
  <c r="T83" i="12"/>
  <c r="T82" i="12"/>
  <c r="T81" i="12"/>
  <c r="T80" i="12"/>
  <c r="T78" i="12"/>
  <c r="T77" i="12"/>
  <c r="T76" i="12"/>
  <c r="T75" i="12"/>
  <c r="T74" i="12"/>
  <c r="T72" i="12"/>
  <c r="T71" i="12"/>
  <c r="T70" i="12"/>
  <c r="T69" i="12"/>
  <c r="T68" i="12"/>
  <c r="AA36" i="16"/>
  <c r="Z36" i="16"/>
  <c r="AA48" i="16"/>
  <c r="Z48" i="16"/>
  <c r="AA60" i="16"/>
  <c r="Z60" i="16"/>
  <c r="AA66" i="16"/>
  <c r="Z66" i="16"/>
  <c r="AA72" i="16"/>
  <c r="Z72" i="16"/>
  <c r="AA78" i="16"/>
  <c r="Z78" i="16"/>
  <c r="AA84" i="16"/>
  <c r="Z84" i="16"/>
  <c r="U139" i="12"/>
  <c r="V139" i="12"/>
  <c r="W139" i="12"/>
  <c r="X139" i="12"/>
  <c r="U138" i="12"/>
  <c r="V138" i="12"/>
  <c r="W138" i="12"/>
  <c r="X138" i="12"/>
  <c r="U137" i="12"/>
  <c r="V137" i="12"/>
  <c r="W137" i="12"/>
  <c r="X137" i="12"/>
  <c r="U136" i="12"/>
  <c r="V136" i="12"/>
  <c r="W136" i="12"/>
  <c r="X136" i="12"/>
  <c r="U135" i="12"/>
  <c r="V135" i="12"/>
  <c r="W135" i="12"/>
  <c r="X135" i="12"/>
  <c r="U145" i="12"/>
  <c r="V145" i="12"/>
  <c r="W145" i="12"/>
  <c r="X145" i="12"/>
  <c r="U144" i="12"/>
  <c r="V144" i="12"/>
  <c r="W144" i="12"/>
  <c r="X144" i="12"/>
  <c r="U143" i="12"/>
  <c r="V143" i="12"/>
  <c r="W143" i="12"/>
  <c r="X143" i="12"/>
  <c r="U142" i="12"/>
  <c r="V142" i="12"/>
  <c r="W142" i="12"/>
  <c r="X142" i="12"/>
  <c r="U141" i="12"/>
  <c r="V141" i="12"/>
  <c r="W141" i="12"/>
  <c r="X141" i="12"/>
  <c r="U151" i="12"/>
  <c r="V151" i="12"/>
  <c r="W151" i="12"/>
  <c r="X151" i="12"/>
  <c r="U150" i="12"/>
  <c r="V150" i="12"/>
  <c r="W150" i="12"/>
  <c r="X150" i="12"/>
  <c r="U149" i="12"/>
  <c r="V149" i="12"/>
  <c r="W149" i="12"/>
  <c r="X149" i="12"/>
  <c r="U148" i="12"/>
  <c r="V148" i="12"/>
  <c r="W148" i="12"/>
  <c r="X148" i="12"/>
  <c r="U147" i="12"/>
  <c r="V147" i="12"/>
  <c r="W147" i="12"/>
  <c r="X147" i="12"/>
  <c r="U127" i="12"/>
  <c r="V127" i="12"/>
  <c r="W127" i="12"/>
  <c r="X127" i="12"/>
  <c r="U126" i="12"/>
  <c r="V126" i="12"/>
  <c r="W126" i="12"/>
  <c r="X126" i="12"/>
  <c r="U125" i="12"/>
  <c r="V125" i="12"/>
  <c r="W125" i="12"/>
  <c r="X125" i="12"/>
  <c r="U124" i="12"/>
  <c r="V124" i="12"/>
  <c r="W124" i="12"/>
  <c r="X124" i="12"/>
  <c r="U123" i="12"/>
  <c r="V123" i="12"/>
  <c r="W123" i="12"/>
  <c r="X123" i="12"/>
  <c r="U115" i="12"/>
  <c r="V115" i="12"/>
  <c r="W115" i="12"/>
  <c r="X115" i="12"/>
  <c r="U114" i="12"/>
  <c r="V114" i="12"/>
  <c r="W114" i="12"/>
  <c r="X114" i="12"/>
  <c r="U113" i="12"/>
  <c r="V113" i="12"/>
  <c r="W113" i="12"/>
  <c r="X113" i="12"/>
  <c r="U112" i="12"/>
  <c r="V112" i="12"/>
  <c r="W112" i="12"/>
  <c r="X112" i="12"/>
  <c r="U111" i="12"/>
  <c r="V111" i="12"/>
  <c r="W111" i="12"/>
  <c r="X111" i="12"/>
  <c r="U103" i="12"/>
  <c r="V103" i="12"/>
  <c r="W103" i="12"/>
  <c r="X103" i="12"/>
  <c r="U102" i="12"/>
  <c r="V102" i="12"/>
  <c r="W102" i="12"/>
  <c r="X102" i="12"/>
  <c r="U101" i="12"/>
  <c r="V101" i="12"/>
  <c r="W101" i="12"/>
  <c r="X101" i="12"/>
  <c r="U100" i="12"/>
  <c r="V100" i="12"/>
  <c r="W100" i="12"/>
  <c r="X100" i="12"/>
  <c r="U99" i="12"/>
  <c r="V99" i="12"/>
  <c r="W99" i="12"/>
  <c r="X99" i="12"/>
  <c r="U171" i="12"/>
  <c r="V171" i="12"/>
  <c r="W171" i="12"/>
  <c r="X171" i="12"/>
  <c r="U170" i="12"/>
  <c r="V170" i="12"/>
  <c r="W170" i="12"/>
  <c r="X170" i="12"/>
  <c r="U169" i="12"/>
  <c r="V169" i="12"/>
  <c r="W169" i="12"/>
  <c r="X169" i="12"/>
  <c r="U168" i="12"/>
  <c r="V168" i="12"/>
  <c r="W168" i="12"/>
  <c r="X168" i="12"/>
  <c r="U167" i="12"/>
  <c r="V167" i="12"/>
  <c r="W167" i="12"/>
  <c r="X167" i="12"/>
  <c r="U32" i="12"/>
  <c r="V32" i="12"/>
  <c r="W32" i="12"/>
  <c r="X32" i="12"/>
  <c r="U33" i="12"/>
  <c r="V33" i="12"/>
  <c r="W33" i="12"/>
  <c r="X33" i="12"/>
  <c r="U34" i="12"/>
  <c r="V34" i="12"/>
  <c r="W34" i="12"/>
  <c r="X34" i="12"/>
  <c r="U35" i="12"/>
  <c r="V35" i="12"/>
  <c r="W35" i="12"/>
  <c r="X35" i="12"/>
  <c r="U36" i="12"/>
  <c r="V36" i="12"/>
  <c r="W36" i="12"/>
  <c r="X36" i="12"/>
  <c r="U84" i="12"/>
  <c r="V84" i="12"/>
  <c r="W84" i="12"/>
  <c r="X84" i="12"/>
  <c r="U83" i="12"/>
  <c r="V83" i="12"/>
  <c r="W83" i="12"/>
  <c r="X83" i="12"/>
  <c r="U82" i="12"/>
  <c r="V82" i="12"/>
  <c r="W82" i="12"/>
  <c r="X82" i="12"/>
  <c r="U81" i="12"/>
  <c r="V81" i="12"/>
  <c r="W81" i="12"/>
  <c r="X81" i="12"/>
  <c r="U80" i="12"/>
  <c r="V80" i="12"/>
  <c r="W80" i="12"/>
  <c r="X80" i="12"/>
  <c r="U78" i="12"/>
  <c r="V78" i="12"/>
  <c r="W78" i="12"/>
  <c r="X78" i="12"/>
  <c r="U77" i="12"/>
  <c r="V77" i="12"/>
  <c r="W77" i="12"/>
  <c r="X77" i="12"/>
  <c r="U76" i="12"/>
  <c r="V76" i="12"/>
  <c r="W76" i="12"/>
  <c r="X76" i="12"/>
  <c r="U75" i="12"/>
  <c r="V75" i="12"/>
  <c r="W75" i="12"/>
  <c r="X75" i="12"/>
  <c r="U74" i="12"/>
  <c r="V74" i="12"/>
  <c r="W74" i="12"/>
  <c r="X74" i="12"/>
  <c r="U72" i="12"/>
  <c r="V72" i="12"/>
  <c r="W72" i="12"/>
  <c r="X72" i="12"/>
  <c r="U71" i="12"/>
  <c r="V71" i="12"/>
  <c r="W71" i="12"/>
  <c r="X71" i="12"/>
  <c r="U70" i="12"/>
  <c r="V70" i="12"/>
  <c r="W70" i="12"/>
  <c r="X70" i="12"/>
  <c r="U69" i="12"/>
  <c r="V69" i="12"/>
  <c r="W69" i="12"/>
  <c r="X69" i="12"/>
  <c r="U68" i="12"/>
  <c r="V68" i="12"/>
  <c r="W68" i="12"/>
  <c r="X68" i="12"/>
  <c r="T66" i="12"/>
  <c r="U66" i="12"/>
  <c r="V66" i="12"/>
  <c r="W66" i="12"/>
  <c r="X66" i="12"/>
  <c r="T65" i="12"/>
  <c r="U65" i="12"/>
  <c r="V65" i="12"/>
  <c r="W65" i="12"/>
  <c r="X65" i="12"/>
  <c r="T64" i="12"/>
  <c r="U64" i="12"/>
  <c r="V64" i="12"/>
  <c r="W64" i="12"/>
  <c r="X64" i="12"/>
  <c r="T63" i="12"/>
  <c r="U63" i="12"/>
  <c r="V63" i="12"/>
  <c r="W63" i="12"/>
  <c r="X63" i="12"/>
  <c r="T62" i="12"/>
  <c r="U62" i="12"/>
  <c r="V62" i="12"/>
  <c r="W62" i="12"/>
  <c r="X62" i="12"/>
  <c r="U60" i="12"/>
  <c r="V60" i="12"/>
  <c r="W60" i="12"/>
  <c r="X60" i="12"/>
  <c r="U59" i="12"/>
  <c r="V59" i="12"/>
  <c r="W59" i="12"/>
  <c r="X59" i="12"/>
  <c r="U58" i="12"/>
  <c r="V58" i="12"/>
  <c r="W58" i="12"/>
  <c r="X58" i="12"/>
  <c r="U57" i="12"/>
  <c r="V57" i="12"/>
  <c r="W57" i="12"/>
  <c r="X57" i="12"/>
  <c r="U56" i="12"/>
  <c r="V56" i="12"/>
  <c r="W56" i="12"/>
  <c r="X56" i="12"/>
  <c r="U183" i="12"/>
  <c r="V183" i="12"/>
  <c r="W183" i="12"/>
  <c r="X183" i="12"/>
  <c r="U182" i="12"/>
  <c r="V182" i="12"/>
  <c r="W182" i="12"/>
  <c r="X182" i="12"/>
  <c r="U181" i="12"/>
  <c r="V181" i="12"/>
  <c r="W181" i="12"/>
  <c r="X181" i="12"/>
  <c r="U180" i="12"/>
  <c r="V180" i="12"/>
  <c r="W180" i="12"/>
  <c r="X180" i="12"/>
  <c r="U179" i="12"/>
  <c r="V179" i="12"/>
  <c r="W179" i="12"/>
  <c r="X179" i="12"/>
  <c r="T201" i="12"/>
  <c r="U201" i="12"/>
  <c r="V201" i="12"/>
  <c r="W201" i="12"/>
  <c r="X201" i="12"/>
  <c r="T200" i="12"/>
  <c r="U200" i="12"/>
  <c r="V200" i="12"/>
  <c r="W200" i="12"/>
  <c r="X200" i="12"/>
  <c r="T199" i="12"/>
  <c r="U199" i="12"/>
  <c r="V199" i="12"/>
  <c r="W199" i="12"/>
  <c r="X199" i="12"/>
  <c r="T198" i="12"/>
  <c r="U198" i="12"/>
  <c r="V198" i="12"/>
  <c r="W198" i="12"/>
  <c r="X198" i="12"/>
  <c r="T197" i="12"/>
  <c r="U197" i="12"/>
  <c r="V197" i="12"/>
  <c r="W197" i="12"/>
  <c r="X197" i="12"/>
  <c r="U207" i="12"/>
  <c r="V207" i="12"/>
  <c r="W207" i="12"/>
  <c r="X207" i="12"/>
  <c r="U206" i="12"/>
  <c r="V206" i="12"/>
  <c r="W206" i="12"/>
  <c r="X206" i="12"/>
  <c r="U205" i="12"/>
  <c r="V205" i="12"/>
  <c r="W205" i="12"/>
  <c r="X205" i="12"/>
  <c r="U204" i="12"/>
  <c r="V204" i="12"/>
  <c r="W204" i="12"/>
  <c r="X204" i="12"/>
  <c r="U203" i="12"/>
  <c r="V203" i="12"/>
  <c r="W203" i="12"/>
  <c r="X203" i="12"/>
  <c r="U213" i="12"/>
  <c r="V213" i="12"/>
  <c r="W213" i="12"/>
  <c r="X213" i="12"/>
  <c r="U212" i="12"/>
  <c r="V212" i="12"/>
  <c r="W212" i="12"/>
  <c r="X212" i="12"/>
  <c r="U211" i="12"/>
  <c r="V211" i="12"/>
  <c r="W211" i="12"/>
  <c r="X211" i="12"/>
  <c r="U210" i="12"/>
  <c r="V210" i="12"/>
  <c r="W210" i="12"/>
  <c r="X210" i="12"/>
  <c r="U209" i="12"/>
  <c r="V209" i="12"/>
  <c r="W209" i="12"/>
  <c r="X209" i="12"/>
  <c r="U219" i="12"/>
  <c r="V219" i="12"/>
  <c r="W219" i="12"/>
  <c r="X219" i="12"/>
  <c r="U218" i="12"/>
  <c r="V218" i="12"/>
  <c r="W218" i="12"/>
  <c r="X218" i="12"/>
  <c r="U217" i="12"/>
  <c r="V217" i="12"/>
  <c r="W217" i="12"/>
  <c r="X217" i="12"/>
  <c r="U216" i="12"/>
  <c r="V216" i="12"/>
  <c r="W216" i="12"/>
  <c r="X216" i="12"/>
  <c r="U215" i="12"/>
  <c r="V215" i="12"/>
  <c r="W215" i="12"/>
  <c r="X215" i="12"/>
  <c r="U191" i="12"/>
  <c r="V191" i="12"/>
  <c r="W191" i="12"/>
  <c r="X191" i="12"/>
  <c r="U192" i="12"/>
  <c r="V192" i="12"/>
  <c r="W192" i="12"/>
  <c r="X192" i="12"/>
  <c r="U193" i="12"/>
  <c r="V193" i="12"/>
  <c r="W193" i="12"/>
  <c r="X193" i="12"/>
  <c r="U194" i="12"/>
  <c r="V194" i="12"/>
  <c r="W194" i="12"/>
  <c r="X194" i="12"/>
  <c r="U195" i="12"/>
  <c r="V195" i="12"/>
  <c r="W195" i="12"/>
  <c r="X195" i="12"/>
  <c r="U287" i="12"/>
  <c r="V287" i="12"/>
  <c r="W287" i="12"/>
  <c r="X287" i="12"/>
  <c r="U286" i="12"/>
  <c r="V286" i="12"/>
  <c r="W286" i="12"/>
  <c r="X286" i="12"/>
  <c r="U285" i="12"/>
  <c r="V285" i="12"/>
  <c r="W285" i="12"/>
  <c r="X285" i="12"/>
  <c r="U284" i="12"/>
  <c r="V284" i="12"/>
  <c r="W284" i="12"/>
  <c r="X284" i="12"/>
  <c r="U283" i="12"/>
  <c r="V283" i="12"/>
  <c r="W283" i="12"/>
  <c r="X283" i="12"/>
  <c r="U239" i="12"/>
  <c r="V239" i="12"/>
  <c r="W239" i="12"/>
  <c r="X239" i="12"/>
  <c r="U238" i="12"/>
  <c r="V238" i="12"/>
  <c r="W238" i="12"/>
  <c r="X238" i="12"/>
  <c r="U237" i="12"/>
  <c r="V237" i="12"/>
  <c r="W237" i="12"/>
  <c r="X237" i="12"/>
  <c r="T236" i="12"/>
  <c r="U236" i="12"/>
  <c r="V236" i="12"/>
  <c r="W236" i="12"/>
  <c r="X236" i="12"/>
  <c r="T235" i="12"/>
  <c r="U235" i="12"/>
  <c r="V235" i="12"/>
  <c r="W235" i="12"/>
  <c r="X235" i="12"/>
  <c r="U251" i="12"/>
  <c r="V251" i="12"/>
  <c r="W251" i="12"/>
  <c r="X251" i="12"/>
  <c r="U250" i="12"/>
  <c r="V250" i="12"/>
  <c r="W250" i="12"/>
  <c r="X250" i="12"/>
  <c r="U249" i="12"/>
  <c r="V249" i="12"/>
  <c r="W249" i="12"/>
  <c r="X249" i="12"/>
  <c r="U248" i="12"/>
  <c r="V248" i="12"/>
  <c r="W248" i="12"/>
  <c r="X248" i="12"/>
  <c r="U247" i="12"/>
  <c r="V247" i="12"/>
  <c r="W247" i="12"/>
  <c r="X247" i="12"/>
  <c r="U263" i="12"/>
  <c r="V263" i="12"/>
  <c r="W263" i="12"/>
  <c r="X263" i="12"/>
  <c r="U262" i="12"/>
  <c r="V262" i="12"/>
  <c r="W262" i="12"/>
  <c r="X262" i="12"/>
  <c r="U261" i="12"/>
  <c r="V261" i="12"/>
  <c r="W261" i="12"/>
  <c r="X261" i="12"/>
  <c r="U260" i="12"/>
  <c r="V260" i="12"/>
  <c r="W260" i="12"/>
  <c r="X260" i="12"/>
  <c r="U259" i="12"/>
  <c r="V259" i="12"/>
  <c r="W259" i="12"/>
  <c r="X259" i="12"/>
  <c r="U275" i="12"/>
  <c r="V275" i="12"/>
  <c r="W275" i="12"/>
  <c r="X275" i="12"/>
  <c r="U274" i="12"/>
  <c r="V274" i="12"/>
  <c r="W274" i="12"/>
  <c r="X274" i="12"/>
  <c r="U273" i="12"/>
  <c r="V273" i="12"/>
  <c r="W273" i="12"/>
  <c r="X273" i="12"/>
  <c r="U272" i="12"/>
  <c r="V272" i="12"/>
  <c r="W272" i="12"/>
  <c r="X272" i="12"/>
  <c r="U271" i="12"/>
  <c r="V271" i="12"/>
  <c r="W271" i="12"/>
  <c r="X271" i="12"/>
  <c r="U281" i="12"/>
  <c r="V281" i="12"/>
  <c r="W281" i="12"/>
  <c r="X281" i="12"/>
  <c r="U280" i="12"/>
  <c r="V280" i="12"/>
  <c r="W280" i="12"/>
  <c r="X280" i="12"/>
  <c r="U279" i="12"/>
  <c r="V279" i="12"/>
  <c r="W279" i="12"/>
  <c r="X279" i="12"/>
  <c r="U278" i="12"/>
  <c r="V278" i="12"/>
  <c r="W278" i="12"/>
  <c r="X278" i="12"/>
  <c r="U277" i="12"/>
  <c r="V277" i="12"/>
  <c r="W277" i="12"/>
  <c r="X277" i="12"/>
  <c r="T355" i="12"/>
  <c r="U355" i="12"/>
  <c r="V355" i="12"/>
  <c r="W355" i="12"/>
  <c r="X355" i="12"/>
  <c r="T354" i="12"/>
  <c r="U354" i="12"/>
  <c r="V354" i="12"/>
  <c r="W354" i="12"/>
  <c r="X354" i="12"/>
  <c r="T353" i="12"/>
  <c r="U353" i="12"/>
  <c r="V353" i="12"/>
  <c r="W353" i="12"/>
  <c r="X353" i="12"/>
  <c r="T352" i="12"/>
  <c r="U352" i="12"/>
  <c r="V352" i="12"/>
  <c r="W352" i="12"/>
  <c r="X352" i="12"/>
  <c r="T351" i="12"/>
  <c r="U351" i="12"/>
  <c r="V351" i="12"/>
  <c r="W351" i="12"/>
  <c r="X351" i="12"/>
  <c r="T349" i="12"/>
  <c r="U349" i="12"/>
  <c r="V349" i="12"/>
  <c r="W349" i="12"/>
  <c r="X349" i="12"/>
  <c r="T348" i="12"/>
  <c r="U348" i="12"/>
  <c r="V348" i="12"/>
  <c r="W348" i="12"/>
  <c r="X348" i="12"/>
  <c r="T347" i="12"/>
  <c r="U347" i="12"/>
  <c r="V347" i="12"/>
  <c r="W347" i="12"/>
  <c r="X347" i="12"/>
  <c r="T346" i="12"/>
  <c r="U346" i="12"/>
  <c r="V346" i="12"/>
  <c r="W346" i="12"/>
  <c r="X346" i="12"/>
  <c r="T345" i="12"/>
  <c r="U345" i="12"/>
  <c r="V345" i="12"/>
  <c r="W345" i="12"/>
  <c r="X345" i="12"/>
  <c r="T343" i="12"/>
  <c r="U343" i="12"/>
  <c r="V343" i="12"/>
  <c r="W343" i="12"/>
  <c r="X343" i="12"/>
  <c r="T342" i="12"/>
  <c r="U342" i="12"/>
  <c r="V342" i="12"/>
  <c r="W342" i="12"/>
  <c r="X342" i="12"/>
  <c r="T341" i="12"/>
  <c r="U341" i="12"/>
  <c r="V341" i="12"/>
  <c r="W341" i="12"/>
  <c r="X341" i="12"/>
  <c r="T340" i="12"/>
  <c r="U340" i="12"/>
  <c r="V340" i="12"/>
  <c r="W340" i="12"/>
  <c r="X340" i="12"/>
  <c r="T339" i="12"/>
  <c r="U339" i="12"/>
  <c r="V339" i="12"/>
  <c r="W339" i="12"/>
  <c r="X339" i="12"/>
  <c r="T337" i="12"/>
  <c r="U337" i="12"/>
  <c r="V337" i="12"/>
  <c r="W337" i="12"/>
  <c r="X337" i="12"/>
  <c r="T336" i="12"/>
  <c r="U336" i="12"/>
  <c r="V336" i="12"/>
  <c r="W336" i="12"/>
  <c r="X336" i="12"/>
  <c r="T335" i="12"/>
  <c r="U335" i="12"/>
  <c r="V335" i="12"/>
  <c r="W335" i="12"/>
  <c r="X335" i="12"/>
  <c r="T334" i="12"/>
  <c r="U334" i="12"/>
  <c r="V334" i="12"/>
  <c r="W334" i="12"/>
  <c r="X334" i="12"/>
  <c r="T333" i="12"/>
  <c r="U333" i="12"/>
  <c r="V333" i="12"/>
  <c r="W333" i="12"/>
  <c r="X333" i="12"/>
  <c r="T331" i="12"/>
  <c r="U331" i="12"/>
  <c r="V331" i="12"/>
  <c r="W331" i="12"/>
  <c r="X331" i="12"/>
  <c r="T330" i="12"/>
  <c r="U330" i="12"/>
  <c r="V330" i="12"/>
  <c r="W330" i="12"/>
  <c r="X330" i="12"/>
  <c r="T329" i="12"/>
  <c r="U329" i="12"/>
  <c r="V329" i="12"/>
  <c r="W329" i="12"/>
  <c r="X329" i="12"/>
  <c r="T328" i="12"/>
  <c r="U328" i="12"/>
  <c r="V328" i="12"/>
  <c r="W328" i="12"/>
  <c r="X328" i="12"/>
  <c r="T327" i="12"/>
  <c r="U327" i="12"/>
  <c r="V327" i="12"/>
  <c r="W327" i="12"/>
  <c r="X327" i="12"/>
  <c r="T325" i="12"/>
  <c r="U325" i="12"/>
  <c r="V325" i="12"/>
  <c r="W325" i="12"/>
  <c r="X325" i="12"/>
  <c r="T324" i="12"/>
  <c r="U324" i="12"/>
  <c r="V324" i="12"/>
  <c r="W324" i="12"/>
  <c r="X324" i="12"/>
  <c r="T323" i="12"/>
  <c r="U323" i="12"/>
  <c r="V323" i="12"/>
  <c r="W323" i="12"/>
  <c r="X323" i="12"/>
  <c r="T322" i="12"/>
  <c r="U322" i="12"/>
  <c r="V322" i="12"/>
  <c r="W322" i="12"/>
  <c r="X322" i="12"/>
  <c r="T321" i="12"/>
  <c r="U321" i="12"/>
  <c r="V321" i="12"/>
  <c r="W321" i="12"/>
  <c r="X321" i="12"/>
  <c r="T313" i="12"/>
  <c r="U313" i="12"/>
  <c r="V313" i="12"/>
  <c r="W313" i="12"/>
  <c r="X313" i="12"/>
  <c r="T312" i="12"/>
  <c r="U312" i="12"/>
  <c r="V312" i="12"/>
  <c r="W312" i="12"/>
  <c r="X312" i="12"/>
  <c r="T311" i="12"/>
  <c r="U311" i="12"/>
  <c r="V311" i="12"/>
  <c r="W311" i="12"/>
  <c r="X311" i="12"/>
  <c r="T310" i="12"/>
  <c r="U310" i="12"/>
  <c r="V310" i="12"/>
  <c r="W310" i="12"/>
  <c r="X310" i="12"/>
  <c r="T309" i="12"/>
  <c r="U309" i="12"/>
  <c r="V309" i="12"/>
  <c r="W309" i="12"/>
  <c r="X309" i="12"/>
  <c r="T319" i="12"/>
  <c r="U319" i="12"/>
  <c r="V319" i="12"/>
  <c r="W319" i="12"/>
  <c r="X319" i="12"/>
  <c r="T318" i="12"/>
  <c r="U318" i="12"/>
  <c r="V318" i="12"/>
  <c r="W318" i="12"/>
  <c r="X318" i="12"/>
  <c r="T317" i="12"/>
  <c r="U317" i="12"/>
  <c r="V317" i="12"/>
  <c r="W317" i="12"/>
  <c r="X317" i="12"/>
  <c r="T316" i="12"/>
  <c r="U316" i="12"/>
  <c r="V316" i="12"/>
  <c r="W316" i="12"/>
  <c r="X316" i="12"/>
  <c r="T315" i="12"/>
  <c r="U315" i="12"/>
  <c r="V315" i="12"/>
  <c r="W315" i="12"/>
  <c r="X315" i="12"/>
  <c r="T307" i="12"/>
  <c r="U307" i="12"/>
  <c r="V307" i="12"/>
  <c r="W307" i="12"/>
  <c r="X307" i="12"/>
  <c r="T306" i="12"/>
  <c r="U306" i="12"/>
  <c r="V306" i="12"/>
  <c r="W306" i="12"/>
  <c r="X306" i="12"/>
  <c r="T305" i="12"/>
  <c r="U305" i="12"/>
  <c r="V305" i="12"/>
  <c r="W305" i="12"/>
  <c r="X305" i="12"/>
  <c r="T304" i="12"/>
  <c r="U304" i="12"/>
  <c r="V304" i="12"/>
  <c r="W304" i="12"/>
  <c r="X304" i="12"/>
  <c r="T303" i="12"/>
  <c r="U303" i="12"/>
  <c r="V303" i="12"/>
  <c r="W303" i="12"/>
  <c r="X303" i="12"/>
  <c r="T301" i="12"/>
  <c r="U301" i="12"/>
  <c r="V301" i="12"/>
  <c r="W301" i="12"/>
  <c r="X301" i="12"/>
  <c r="T300" i="12"/>
  <c r="U300" i="12"/>
  <c r="V300" i="12"/>
  <c r="W300" i="12"/>
  <c r="X300" i="12"/>
  <c r="T299" i="12"/>
  <c r="U299" i="12"/>
  <c r="V299" i="12"/>
  <c r="W299" i="12"/>
  <c r="X299" i="12"/>
  <c r="T298" i="12"/>
  <c r="U298" i="12"/>
  <c r="V298" i="12"/>
  <c r="W298" i="12"/>
  <c r="X298" i="12"/>
  <c r="T297" i="12"/>
  <c r="U297" i="12"/>
  <c r="V297" i="12"/>
  <c r="W297" i="12"/>
  <c r="X297" i="12"/>
  <c r="H65" i="12"/>
  <c r="F65" i="12"/>
  <c r="G65" i="12"/>
  <c r="H64" i="12"/>
  <c r="F64" i="12"/>
  <c r="G64" i="12"/>
  <c r="H63" i="12"/>
  <c r="F63" i="12"/>
  <c r="G63" i="12"/>
  <c r="H62" i="12"/>
  <c r="F62" i="12"/>
  <c r="G62" i="12"/>
  <c r="H61" i="12"/>
  <c r="F61" i="12"/>
  <c r="G61" i="12"/>
  <c r="H60" i="12"/>
  <c r="F60" i="12"/>
  <c r="G60" i="12"/>
  <c r="H59" i="12"/>
  <c r="F59" i="12"/>
  <c r="G59" i="12"/>
  <c r="H58" i="12"/>
  <c r="F58" i="12"/>
  <c r="G58" i="12"/>
  <c r="H57" i="12"/>
  <c r="F57" i="12"/>
  <c r="G57" i="12"/>
  <c r="H56" i="12"/>
  <c r="F56" i="12"/>
  <c r="G5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H79" i="11"/>
  <c r="F79" i="11"/>
  <c r="G79" i="11"/>
  <c r="E79" i="11"/>
  <c r="D79" i="11"/>
  <c r="H78" i="11"/>
  <c r="F78" i="11"/>
  <c r="G78" i="11"/>
  <c r="E78" i="11"/>
  <c r="D78" i="11"/>
  <c r="H77" i="11"/>
  <c r="F77" i="11"/>
  <c r="G77" i="11"/>
  <c r="E77" i="11"/>
  <c r="D77" i="11"/>
  <c r="H76" i="11"/>
  <c r="F76" i="11"/>
  <c r="G76" i="11"/>
  <c r="E76" i="11"/>
  <c r="D76" i="11"/>
  <c r="H75" i="11"/>
  <c r="F75" i="11"/>
  <c r="G75" i="11"/>
  <c r="E75" i="11"/>
  <c r="D75" i="11"/>
  <c r="H74" i="11"/>
  <c r="F74" i="11"/>
  <c r="G74" i="11"/>
  <c r="E74" i="11"/>
  <c r="D74" i="11"/>
  <c r="H73" i="11"/>
  <c r="F73" i="11"/>
  <c r="G73" i="11"/>
  <c r="E73" i="11"/>
  <c r="D73" i="11"/>
  <c r="H72" i="11"/>
  <c r="F72" i="11"/>
  <c r="G72" i="11"/>
  <c r="E72" i="11"/>
  <c r="D72" i="11"/>
  <c r="H71" i="11"/>
  <c r="F71" i="11"/>
  <c r="G71" i="11"/>
  <c r="E71" i="11"/>
  <c r="D71" i="11"/>
  <c r="H70" i="11"/>
  <c r="F70" i="11"/>
  <c r="G70" i="11"/>
  <c r="E70" i="11"/>
  <c r="D70" i="11"/>
  <c r="Y37" i="12"/>
  <c r="Y140" i="12"/>
  <c r="X140" i="12"/>
  <c r="Y146" i="12"/>
  <c r="X146" i="12"/>
  <c r="Y152" i="12"/>
  <c r="X152" i="12"/>
  <c r="Y128" i="12"/>
  <c r="X128" i="12"/>
  <c r="Y116" i="12"/>
  <c r="X116" i="12"/>
  <c r="Y104" i="12"/>
  <c r="X104" i="12"/>
  <c r="Y172" i="12"/>
  <c r="X172" i="12"/>
  <c r="Y36" i="12"/>
  <c r="Y85" i="12"/>
  <c r="Y84" i="12"/>
  <c r="Y79" i="12"/>
  <c r="Y78" i="12"/>
  <c r="Y73" i="12"/>
  <c r="Y72" i="12"/>
  <c r="Y67" i="12"/>
  <c r="Y66" i="12"/>
  <c r="Y61" i="12"/>
  <c r="Y60" i="12"/>
  <c r="Y184" i="12"/>
  <c r="X184" i="12"/>
  <c r="Y202" i="12"/>
  <c r="X202" i="12"/>
  <c r="Y208" i="12"/>
  <c r="X208" i="12"/>
  <c r="Y214" i="12"/>
  <c r="X214" i="12"/>
  <c r="Y220" i="12"/>
  <c r="X220" i="12"/>
  <c r="Y196" i="12"/>
  <c r="X196" i="12"/>
  <c r="Y288" i="12"/>
  <c r="X288" i="12"/>
  <c r="Y240" i="12"/>
  <c r="X240" i="12"/>
  <c r="Y252" i="12"/>
  <c r="X252" i="12"/>
  <c r="Y264" i="12"/>
  <c r="X264" i="12"/>
  <c r="Y276" i="12"/>
  <c r="X276" i="12"/>
  <c r="Y282" i="12"/>
  <c r="X282" i="12"/>
  <c r="Y356" i="12"/>
  <c r="X356" i="12"/>
  <c r="Y350" i="12"/>
  <c r="X350" i="12"/>
  <c r="Y344" i="12"/>
  <c r="X344" i="12"/>
  <c r="Y338" i="12"/>
  <c r="X338" i="12"/>
  <c r="Y332" i="12"/>
  <c r="X332" i="12"/>
  <c r="Y326" i="12"/>
  <c r="X326" i="12"/>
  <c r="Y302" i="12"/>
  <c r="X302" i="12"/>
  <c r="X308" i="12"/>
  <c r="Y308" i="12"/>
  <c r="X314" i="12"/>
  <c r="Y314" i="12"/>
  <c r="Y320" i="12"/>
  <c r="X320" i="12"/>
  <c r="G80" i="11"/>
  <c r="AD65" i="15"/>
  <c r="AA65" i="15"/>
  <c r="U63" i="11"/>
  <c r="V63" i="11"/>
  <c r="W63" i="11"/>
  <c r="X63" i="11"/>
  <c r="Y63" i="11"/>
  <c r="AA63" i="11"/>
  <c r="U64" i="11"/>
  <c r="V64" i="11"/>
  <c r="W64" i="11"/>
  <c r="X64" i="11"/>
  <c r="Y64" i="11"/>
  <c r="AA64" i="11"/>
  <c r="U65" i="11"/>
  <c r="V65" i="11"/>
  <c r="W65" i="11"/>
  <c r="X65" i="11"/>
  <c r="Y65" i="11"/>
  <c r="AA65" i="11"/>
  <c r="U66" i="11"/>
  <c r="V66" i="11"/>
  <c r="W66" i="11"/>
  <c r="X66" i="11"/>
  <c r="Y66" i="11"/>
  <c r="AA66" i="11"/>
  <c r="U67" i="11"/>
  <c r="V67" i="11"/>
  <c r="W67" i="11"/>
  <c r="X67" i="11"/>
  <c r="Y67" i="11"/>
  <c r="AA67" i="11"/>
  <c r="AA85" i="11"/>
  <c r="V85" i="11"/>
  <c r="W85" i="11"/>
  <c r="X85" i="11"/>
  <c r="Y85" i="11"/>
  <c r="AA84" i="11"/>
  <c r="V84" i="11"/>
  <c r="W84" i="11"/>
  <c r="X84" i="11"/>
  <c r="Y84" i="11"/>
  <c r="AA83" i="11"/>
  <c r="V83" i="11"/>
  <c r="W83" i="11"/>
  <c r="X83" i="11"/>
  <c r="Y83" i="11"/>
  <c r="AA82" i="11"/>
  <c r="V82" i="11"/>
  <c r="W82" i="11"/>
  <c r="X82" i="11"/>
  <c r="Y82" i="11"/>
  <c r="AA81" i="11"/>
  <c r="V81" i="11"/>
  <c r="W81" i="11"/>
  <c r="X81" i="11"/>
  <c r="Y81" i="11"/>
  <c r="AA79" i="11"/>
  <c r="V79" i="11"/>
  <c r="W79" i="11"/>
  <c r="X79" i="11"/>
  <c r="Y79" i="11"/>
  <c r="AA78" i="11"/>
  <c r="V78" i="11"/>
  <c r="W78" i="11"/>
  <c r="X78" i="11"/>
  <c r="Y78" i="11"/>
  <c r="AA77" i="11"/>
  <c r="V77" i="11"/>
  <c r="W77" i="11"/>
  <c r="X77" i="11"/>
  <c r="Y77" i="11"/>
  <c r="AA76" i="11"/>
  <c r="V76" i="11"/>
  <c r="W76" i="11"/>
  <c r="X76" i="11"/>
  <c r="Y76" i="11"/>
  <c r="AA75" i="11"/>
  <c r="V75" i="11"/>
  <c r="W75" i="11"/>
  <c r="X75" i="11"/>
  <c r="Y75" i="11"/>
  <c r="AA73" i="11"/>
  <c r="V73" i="11"/>
  <c r="W73" i="11"/>
  <c r="X73" i="11"/>
  <c r="Y73" i="11"/>
  <c r="AA72" i="11"/>
  <c r="V72" i="11"/>
  <c r="W72" i="11"/>
  <c r="X72" i="11"/>
  <c r="Y72" i="11"/>
  <c r="AA71" i="11"/>
  <c r="V71" i="11"/>
  <c r="W71" i="11"/>
  <c r="X71" i="11"/>
  <c r="Y71" i="11"/>
  <c r="AA70" i="11"/>
  <c r="V70" i="11"/>
  <c r="W70" i="11"/>
  <c r="X70" i="11"/>
  <c r="Y70" i="11"/>
  <c r="AA69" i="11"/>
  <c r="V69" i="11"/>
  <c r="W69" i="11"/>
  <c r="X69" i="11"/>
  <c r="Y69" i="11"/>
  <c r="AA61" i="11"/>
  <c r="V61" i="11"/>
  <c r="W61" i="11"/>
  <c r="X61" i="11"/>
  <c r="Y61" i="11"/>
  <c r="AA60" i="11"/>
  <c r="V60" i="11"/>
  <c r="W60" i="11"/>
  <c r="X60" i="11"/>
  <c r="Y60" i="11"/>
  <c r="AA59" i="11"/>
  <c r="V59" i="11"/>
  <c r="W59" i="11"/>
  <c r="X59" i="11"/>
  <c r="Y59" i="11"/>
  <c r="AA58" i="11"/>
  <c r="V58" i="11"/>
  <c r="W58" i="11"/>
  <c r="X58" i="11"/>
  <c r="Y58" i="11"/>
  <c r="AA57" i="11"/>
  <c r="V57" i="11"/>
  <c r="W57" i="11"/>
  <c r="X57" i="11"/>
  <c r="Y57" i="11"/>
  <c r="AA49" i="11"/>
  <c r="V49" i="11"/>
  <c r="W49" i="11"/>
  <c r="X49" i="11"/>
  <c r="Y49" i="11"/>
  <c r="AA48" i="11"/>
  <c r="V48" i="11"/>
  <c r="W48" i="11"/>
  <c r="X48" i="11"/>
  <c r="Y48" i="11"/>
  <c r="AA47" i="11"/>
  <c r="V47" i="11"/>
  <c r="W47" i="11"/>
  <c r="X47" i="11"/>
  <c r="Y47" i="11"/>
  <c r="AA46" i="11"/>
  <c r="V46" i="11"/>
  <c r="W46" i="11"/>
  <c r="X46" i="11"/>
  <c r="Y46" i="11"/>
  <c r="AA45" i="11"/>
  <c r="V45" i="11"/>
  <c r="W45" i="11"/>
  <c r="X45" i="11"/>
  <c r="Y45" i="11"/>
  <c r="AA37" i="11"/>
  <c r="V37" i="11"/>
  <c r="W37" i="11"/>
  <c r="X37" i="11"/>
  <c r="Y37" i="11"/>
  <c r="AA36" i="11"/>
  <c r="V36" i="11"/>
  <c r="W36" i="11"/>
  <c r="X36" i="11"/>
  <c r="Y36" i="11"/>
  <c r="AA35" i="11"/>
  <c r="V35" i="11"/>
  <c r="W35" i="11"/>
  <c r="X35" i="11"/>
  <c r="Y35" i="11"/>
  <c r="AA34" i="11"/>
  <c r="V34" i="11"/>
  <c r="W34" i="11"/>
  <c r="X34" i="11"/>
  <c r="Y34" i="11"/>
  <c r="AA33" i="11"/>
  <c r="V33" i="11"/>
  <c r="W33" i="11"/>
  <c r="X33" i="11"/>
  <c r="Y33" i="11"/>
  <c r="Y68" i="11"/>
  <c r="Z68" i="11"/>
  <c r="Z86" i="11"/>
  <c r="Y86" i="11"/>
  <c r="Z80" i="11"/>
  <c r="Y80" i="11"/>
  <c r="Z74" i="11"/>
  <c r="Y74" i="11"/>
  <c r="Z62" i="11"/>
  <c r="Y62" i="11"/>
  <c r="Z50" i="11"/>
  <c r="Y50" i="11"/>
  <c r="Z38" i="11"/>
  <c r="Y38" i="11"/>
  <c r="H443" i="11"/>
  <c r="H442" i="11"/>
  <c r="H441" i="11"/>
  <c r="H440" i="11"/>
  <c r="H439" i="11"/>
  <c r="H438" i="11"/>
  <c r="H437" i="11"/>
  <c r="H436" i="11"/>
  <c r="H435" i="11"/>
  <c r="H434" i="11"/>
  <c r="D435" i="11"/>
  <c r="E435" i="11"/>
  <c r="D436" i="11"/>
  <c r="E436" i="11"/>
  <c r="D437" i="11"/>
  <c r="E437" i="11"/>
  <c r="D438" i="11"/>
  <c r="E438" i="11"/>
  <c r="D439" i="11"/>
  <c r="E439" i="11"/>
  <c r="D440" i="11"/>
  <c r="E440" i="11"/>
  <c r="D441" i="11"/>
  <c r="E441" i="11"/>
  <c r="D442" i="11"/>
  <c r="E442" i="11"/>
  <c r="D443" i="11"/>
  <c r="E443" i="11"/>
  <c r="E434" i="11"/>
  <c r="D434" i="11"/>
  <c r="T553" i="11"/>
  <c r="U553" i="11"/>
  <c r="V553" i="11"/>
  <c r="T581" i="11"/>
  <c r="T580" i="11"/>
  <c r="T579" i="11"/>
  <c r="T578" i="11"/>
  <c r="T577" i="11"/>
  <c r="T575" i="11"/>
  <c r="T574" i="11"/>
  <c r="T573" i="11"/>
  <c r="U573" i="11"/>
  <c r="V573" i="11"/>
  <c r="W573" i="11"/>
  <c r="X573" i="11"/>
  <c r="T572" i="11"/>
  <c r="T571" i="11"/>
  <c r="T569" i="11"/>
  <c r="T568" i="11"/>
  <c r="U568" i="11"/>
  <c r="V568" i="11"/>
  <c r="W568" i="11"/>
  <c r="X568" i="11"/>
  <c r="T567" i="11"/>
  <c r="T566" i="11"/>
  <c r="T565" i="11"/>
  <c r="T563" i="11"/>
  <c r="T562" i="11"/>
  <c r="T561" i="11"/>
  <c r="T560" i="11"/>
  <c r="T559" i="11"/>
  <c r="T557" i="11"/>
  <c r="U557" i="11"/>
  <c r="T556" i="11"/>
  <c r="T555" i="11"/>
  <c r="T554" i="11"/>
  <c r="U559" i="11"/>
  <c r="V559" i="11"/>
  <c r="W559" i="11"/>
  <c r="X559" i="11"/>
  <c r="U581" i="11"/>
  <c r="V581" i="11"/>
  <c r="W581" i="11"/>
  <c r="X581" i="11"/>
  <c r="U580" i="11"/>
  <c r="V580" i="11"/>
  <c r="W580" i="11"/>
  <c r="X580" i="11"/>
  <c r="U579" i="11"/>
  <c r="V579" i="11"/>
  <c r="W579" i="11"/>
  <c r="X579" i="11"/>
  <c r="U578" i="11"/>
  <c r="V578" i="11"/>
  <c r="W578" i="11"/>
  <c r="X578" i="11"/>
  <c r="U577" i="11"/>
  <c r="V577" i="11"/>
  <c r="W577" i="11"/>
  <c r="X577" i="11"/>
  <c r="U575" i="11"/>
  <c r="V575" i="11"/>
  <c r="W575" i="11"/>
  <c r="X575" i="11"/>
  <c r="U574" i="11"/>
  <c r="V574" i="11"/>
  <c r="W574" i="11"/>
  <c r="X574" i="11"/>
  <c r="U572" i="11"/>
  <c r="V572" i="11"/>
  <c r="W572" i="11"/>
  <c r="X572" i="11"/>
  <c r="U571" i="11"/>
  <c r="V571" i="11"/>
  <c r="W571" i="11"/>
  <c r="X571" i="11"/>
  <c r="U569" i="11"/>
  <c r="V569" i="11"/>
  <c r="W569" i="11"/>
  <c r="X569" i="11"/>
  <c r="U567" i="11"/>
  <c r="V567" i="11"/>
  <c r="W567" i="11"/>
  <c r="X567" i="11"/>
  <c r="U566" i="11"/>
  <c r="V566" i="11"/>
  <c r="W566" i="11"/>
  <c r="X566" i="11"/>
  <c r="U565" i="11"/>
  <c r="V565" i="11"/>
  <c r="W565" i="11"/>
  <c r="X565" i="11"/>
  <c r="U563" i="11"/>
  <c r="V563" i="11"/>
  <c r="W563" i="11"/>
  <c r="X563" i="11"/>
  <c r="U562" i="11"/>
  <c r="V562" i="11"/>
  <c r="W562" i="11"/>
  <c r="X562" i="11"/>
  <c r="U561" i="11"/>
  <c r="V561" i="11"/>
  <c r="W561" i="11"/>
  <c r="X561" i="11"/>
  <c r="U560" i="11"/>
  <c r="V560" i="11"/>
  <c r="W560" i="11"/>
  <c r="X560" i="11"/>
  <c r="V557" i="11"/>
  <c r="W557" i="11"/>
  <c r="X557" i="11"/>
  <c r="U556" i="11"/>
  <c r="V556" i="11"/>
  <c r="W556" i="11"/>
  <c r="X556" i="11"/>
  <c r="U555" i="11"/>
  <c r="V555" i="11"/>
  <c r="W555" i="11"/>
  <c r="X555" i="11"/>
  <c r="U554" i="11"/>
  <c r="V554" i="11"/>
  <c r="W554" i="11"/>
  <c r="X554" i="11"/>
  <c r="W553" i="11"/>
  <c r="X553" i="11"/>
  <c r="AN84" i="15"/>
  <c r="T113" i="15"/>
  <c r="U113" i="15"/>
  <c r="V113" i="15"/>
  <c r="W113" i="15"/>
  <c r="X113" i="15"/>
  <c r="T114" i="15"/>
  <c r="U114" i="15"/>
  <c r="V114" i="15"/>
  <c r="W114" i="15"/>
  <c r="X114" i="15"/>
  <c r="T115" i="15"/>
  <c r="U115" i="15"/>
  <c r="V115" i="15"/>
  <c r="W115" i="15"/>
  <c r="X115" i="15"/>
  <c r="T116" i="15"/>
  <c r="U116" i="15"/>
  <c r="V116" i="15"/>
  <c r="W116" i="15"/>
  <c r="X116" i="15"/>
  <c r="T117" i="15"/>
  <c r="U117" i="15"/>
  <c r="V117" i="15"/>
  <c r="W117" i="15"/>
  <c r="X117" i="15"/>
  <c r="S114" i="15"/>
  <c r="S115" i="15"/>
  <c r="S116" i="15"/>
  <c r="S117" i="15"/>
  <c r="S113" i="15"/>
  <c r="S119" i="15"/>
  <c r="S120" i="15"/>
  <c r="S121" i="15"/>
  <c r="S122" i="15"/>
  <c r="T119" i="15"/>
  <c r="U119" i="15"/>
  <c r="V119" i="15"/>
  <c r="W119" i="15"/>
  <c r="X119" i="15"/>
  <c r="T120" i="15"/>
  <c r="U120" i="15"/>
  <c r="V120" i="15"/>
  <c r="W120" i="15"/>
  <c r="X120" i="15"/>
  <c r="T121" i="15"/>
  <c r="U121" i="15"/>
  <c r="V121" i="15"/>
  <c r="W121" i="15"/>
  <c r="X121" i="15"/>
  <c r="T122" i="15"/>
  <c r="U122" i="15"/>
  <c r="V122" i="15"/>
  <c r="W122" i="15"/>
  <c r="X122" i="15"/>
  <c r="U124" i="15"/>
  <c r="AN85" i="15"/>
  <c r="AN92" i="15"/>
  <c r="AO85" i="15"/>
  <c r="AO92" i="15"/>
  <c r="AP85" i="15"/>
  <c r="AP92" i="15"/>
  <c r="AQ85" i="15"/>
  <c r="AQ92" i="15"/>
  <c r="AR85" i="15"/>
  <c r="AR92" i="15"/>
  <c r="AS85" i="15"/>
  <c r="AS92" i="15"/>
  <c r="AN86" i="15"/>
  <c r="AN93" i="15"/>
  <c r="AO86" i="15"/>
  <c r="AO93" i="15"/>
  <c r="AP86" i="15"/>
  <c r="AP93" i="15"/>
  <c r="AQ86" i="15"/>
  <c r="AQ93" i="15"/>
  <c r="AR86" i="15"/>
  <c r="AR93" i="15"/>
  <c r="AS86" i="15"/>
  <c r="AS93" i="15"/>
  <c r="AN87" i="15"/>
  <c r="AN94" i="15"/>
  <c r="AO87" i="15"/>
  <c r="AO94" i="15"/>
  <c r="AP87" i="15"/>
  <c r="AP94" i="15"/>
  <c r="AQ87" i="15"/>
  <c r="AQ94" i="15"/>
  <c r="AR87" i="15"/>
  <c r="AR94" i="15"/>
  <c r="AS87" i="15"/>
  <c r="AS94" i="15"/>
  <c r="AN88" i="15"/>
  <c r="AN95" i="15"/>
  <c r="AO88" i="15"/>
  <c r="AO95" i="15"/>
  <c r="AP88" i="15"/>
  <c r="AP95" i="15"/>
  <c r="AQ88" i="15"/>
  <c r="AQ95" i="15"/>
  <c r="AR88" i="15"/>
  <c r="AR95" i="15"/>
  <c r="AS88" i="15"/>
  <c r="AS95" i="15"/>
  <c r="AP97" i="15"/>
  <c r="T126" i="15"/>
  <c r="S126" i="15"/>
  <c r="T127" i="15"/>
  <c r="U126" i="15"/>
  <c r="U127" i="15"/>
  <c r="V126" i="15"/>
  <c r="V127" i="15"/>
  <c r="W126" i="15"/>
  <c r="W127" i="15"/>
  <c r="X126" i="15"/>
  <c r="X127" i="15"/>
  <c r="S127" i="15"/>
  <c r="AP64" i="15"/>
  <c r="AN64" i="15"/>
  <c r="AP65" i="15"/>
  <c r="AN65" i="15"/>
  <c r="AO64" i="15"/>
  <c r="AO65" i="15"/>
  <c r="AS64" i="15"/>
  <c r="S124" i="15"/>
  <c r="T124" i="15"/>
  <c r="AN97" i="15"/>
  <c r="Z108" i="15"/>
  <c r="AA108" i="15"/>
  <c r="AV85" i="15"/>
  <c r="AW85" i="15"/>
  <c r="AX85" i="15"/>
  <c r="AY85" i="15"/>
  <c r="AZ85" i="15"/>
  <c r="BA85" i="15"/>
  <c r="AV86" i="15"/>
  <c r="AW86" i="15"/>
  <c r="AX86" i="15"/>
  <c r="AY86" i="15"/>
  <c r="AZ86" i="15"/>
  <c r="BA86" i="15"/>
  <c r="AV87" i="15"/>
  <c r="AW87" i="15"/>
  <c r="AX87" i="15"/>
  <c r="AY87" i="15"/>
  <c r="AZ87" i="15"/>
  <c r="BA87" i="15"/>
  <c r="AV88" i="15"/>
  <c r="AW88" i="15"/>
  <c r="AX88" i="15"/>
  <c r="AY88" i="15"/>
  <c r="AZ88" i="15"/>
  <c r="BA88" i="15"/>
  <c r="AW84" i="15"/>
  <c r="AX84" i="15"/>
  <c r="AY84" i="15"/>
  <c r="AZ84" i="15"/>
  <c r="BA84" i="15"/>
  <c r="AV84" i="15"/>
  <c r="AV77" i="15"/>
  <c r="X89" i="10"/>
  <c r="T110" i="13"/>
  <c r="U110" i="13"/>
  <c r="V110" i="13"/>
  <c r="W110" i="13"/>
  <c r="T111" i="13"/>
  <c r="U111" i="13"/>
  <c r="V111" i="13"/>
  <c r="W111" i="13"/>
  <c r="T112" i="13"/>
  <c r="U112" i="13"/>
  <c r="V112" i="13"/>
  <c r="W112" i="13"/>
  <c r="T113" i="13"/>
  <c r="U113" i="13"/>
  <c r="V113" i="13"/>
  <c r="W113" i="13"/>
  <c r="T114" i="13"/>
  <c r="U114" i="13"/>
  <c r="V114" i="13"/>
  <c r="W114" i="13"/>
  <c r="Y114" i="13"/>
  <c r="T117" i="13"/>
  <c r="U117" i="13"/>
  <c r="V117" i="13"/>
  <c r="W117" i="13"/>
  <c r="T118" i="13"/>
  <c r="U118" i="13"/>
  <c r="V118" i="13"/>
  <c r="W118" i="13"/>
  <c r="T119" i="13"/>
  <c r="U119" i="13"/>
  <c r="V119" i="13"/>
  <c r="W119" i="13"/>
  <c r="T120" i="13"/>
  <c r="U120" i="13"/>
  <c r="V120" i="13"/>
  <c r="W120" i="13"/>
  <c r="T121" i="13"/>
  <c r="U121" i="13"/>
  <c r="V121" i="13"/>
  <c r="W121" i="13"/>
  <c r="Y121" i="13"/>
  <c r="Y132" i="13"/>
  <c r="T133" i="13"/>
  <c r="U133" i="13"/>
  <c r="V133" i="13"/>
  <c r="W133" i="13"/>
  <c r="T134" i="13"/>
  <c r="U134" i="13"/>
  <c r="V134" i="13"/>
  <c r="W134" i="13"/>
  <c r="T135" i="13"/>
  <c r="U135" i="13"/>
  <c r="V135" i="13"/>
  <c r="W135" i="13"/>
  <c r="T136" i="13"/>
  <c r="U136" i="13"/>
  <c r="V136" i="13"/>
  <c r="W136" i="13"/>
  <c r="T137" i="13"/>
  <c r="U137" i="13"/>
  <c r="V137" i="13"/>
  <c r="W137" i="13"/>
  <c r="Y137" i="13"/>
  <c r="T138" i="13"/>
  <c r="U138" i="13"/>
  <c r="V138" i="13"/>
  <c r="W138" i="13"/>
  <c r="T139" i="13"/>
  <c r="U139" i="13"/>
  <c r="V139" i="13"/>
  <c r="W139" i="13"/>
  <c r="T140" i="13"/>
  <c r="U140" i="13"/>
  <c r="V140" i="13"/>
  <c r="W140" i="13"/>
  <c r="T141" i="13"/>
  <c r="U141" i="13"/>
  <c r="V141" i="13"/>
  <c r="W141" i="13"/>
  <c r="T142" i="13"/>
  <c r="U142" i="13"/>
  <c r="V142" i="13"/>
  <c r="W142" i="13"/>
  <c r="Y142" i="13"/>
  <c r="T143" i="13"/>
  <c r="U143" i="13"/>
  <c r="V143" i="13"/>
  <c r="W143" i="13"/>
  <c r="T144" i="13"/>
  <c r="U144" i="13"/>
  <c r="V144" i="13"/>
  <c r="W144" i="13"/>
  <c r="T145" i="13"/>
  <c r="U145" i="13"/>
  <c r="V145" i="13"/>
  <c r="W145" i="13"/>
  <c r="T146" i="13"/>
  <c r="U146" i="13"/>
  <c r="V146" i="13"/>
  <c r="W146" i="13"/>
  <c r="T147" i="13"/>
  <c r="U147" i="13"/>
  <c r="V147" i="13"/>
  <c r="W147" i="13"/>
  <c r="Y147" i="13"/>
  <c r="T148" i="13"/>
  <c r="U148" i="13"/>
  <c r="V148" i="13"/>
  <c r="W148" i="13"/>
  <c r="T149" i="13"/>
  <c r="U149" i="13"/>
  <c r="V149" i="13"/>
  <c r="W149" i="13"/>
  <c r="T150" i="13"/>
  <c r="U150" i="13"/>
  <c r="V150" i="13"/>
  <c r="W150" i="13"/>
  <c r="T151" i="13"/>
  <c r="U151" i="13"/>
  <c r="V151" i="13"/>
  <c r="W151" i="13"/>
  <c r="T152" i="13"/>
  <c r="U152" i="13"/>
  <c r="V152" i="13"/>
  <c r="W152" i="13"/>
  <c r="Y152" i="13"/>
  <c r="T153" i="13"/>
  <c r="U153" i="13"/>
  <c r="V153" i="13"/>
  <c r="W153" i="13"/>
  <c r="T154" i="13"/>
  <c r="U154" i="13"/>
  <c r="V154" i="13"/>
  <c r="W154" i="13"/>
  <c r="T155" i="13"/>
  <c r="U155" i="13"/>
  <c r="V155" i="13"/>
  <c r="W155" i="13"/>
  <c r="T156" i="13"/>
  <c r="U156" i="13"/>
  <c r="V156" i="13"/>
  <c r="W156" i="13"/>
  <c r="T157" i="13"/>
  <c r="U157" i="13"/>
  <c r="V157" i="13"/>
  <c r="W157" i="13"/>
  <c r="Y157" i="13"/>
  <c r="T158" i="13"/>
  <c r="U158" i="13"/>
  <c r="V158" i="13"/>
  <c r="W158" i="13"/>
  <c r="T159" i="13"/>
  <c r="U159" i="13"/>
  <c r="V159" i="13"/>
  <c r="W159" i="13"/>
  <c r="T160" i="13"/>
  <c r="U160" i="13"/>
  <c r="V160" i="13"/>
  <c r="W160" i="13"/>
  <c r="T161" i="13"/>
  <c r="U161" i="13"/>
  <c r="V161" i="13"/>
  <c r="W161" i="13"/>
  <c r="T162" i="13"/>
  <c r="U162" i="13"/>
  <c r="V162" i="13"/>
  <c r="W162" i="13"/>
  <c r="Y162" i="13"/>
  <c r="T163" i="13"/>
  <c r="U163" i="13"/>
  <c r="V163" i="13"/>
  <c r="W163" i="13"/>
  <c r="T164" i="13"/>
  <c r="U164" i="13"/>
  <c r="V164" i="13"/>
  <c r="W164" i="13"/>
  <c r="T165" i="13"/>
  <c r="U165" i="13"/>
  <c r="V165" i="13"/>
  <c r="W165" i="13"/>
  <c r="T166" i="13"/>
  <c r="U166" i="13"/>
  <c r="V166" i="13"/>
  <c r="W166" i="13"/>
  <c r="T167" i="13"/>
  <c r="U167" i="13"/>
  <c r="V167" i="13"/>
  <c r="W167" i="13"/>
  <c r="Y167" i="13"/>
  <c r="AB156" i="13"/>
  <c r="F4" i="10"/>
  <c r="AO84" i="15"/>
  <c r="AP84" i="15"/>
  <c r="AQ84" i="15"/>
  <c r="AR84" i="15"/>
  <c r="AS84" i="15"/>
  <c r="AV75" i="15"/>
  <c r="AV73" i="15"/>
  <c r="AX66" i="15"/>
  <c r="AV71" i="15"/>
  <c r="AV92" i="15"/>
  <c r="AV93" i="15"/>
  <c r="AV94" i="15"/>
  <c r="AV95" i="15"/>
  <c r="AW92" i="15"/>
  <c r="AX92" i="15"/>
  <c r="AY92" i="15"/>
  <c r="AZ92" i="15"/>
  <c r="BA92" i="15"/>
  <c r="AW93" i="15"/>
  <c r="AX93" i="15"/>
  <c r="AY93" i="15"/>
  <c r="AZ93" i="15"/>
  <c r="BA93" i="15"/>
  <c r="AW94" i="15"/>
  <c r="AX94" i="15"/>
  <c r="AY94" i="15"/>
  <c r="AZ94" i="15"/>
  <c r="BA94" i="15"/>
  <c r="AW95" i="15"/>
  <c r="AX95" i="15"/>
  <c r="AY95" i="15"/>
  <c r="AZ95" i="15"/>
  <c r="BA95" i="15"/>
  <c r="AW97" i="15"/>
  <c r="AV97" i="15"/>
  <c r="AO97" i="15"/>
  <c r="AQ64" i="15"/>
  <c r="AQ65" i="15"/>
  <c r="AR64" i="15"/>
  <c r="AR65" i="15"/>
  <c r="AO61" i="15"/>
  <c r="AP61" i="15"/>
  <c r="AQ61" i="15"/>
  <c r="AR61" i="15"/>
  <c r="AS61" i="15"/>
  <c r="AO62" i="15"/>
  <c r="AP62" i="15"/>
  <c r="AQ62" i="15"/>
  <c r="AR62" i="15"/>
  <c r="AS62" i="15"/>
  <c r="AO63" i="15"/>
  <c r="AP63" i="15"/>
  <c r="AQ63" i="15"/>
  <c r="AR63" i="15"/>
  <c r="AS63" i="15"/>
  <c r="AN62" i="15"/>
  <c r="AN63" i="15"/>
  <c r="AN61" i="15"/>
  <c r="S78" i="15"/>
  <c r="S77" i="15"/>
  <c r="S76" i="15"/>
  <c r="S75" i="15"/>
  <c r="S74" i="15"/>
  <c r="S73" i="15"/>
  <c r="S72" i="15"/>
  <c r="S43" i="15"/>
  <c r="S44" i="15"/>
  <c r="S45" i="15"/>
  <c r="S46" i="15"/>
  <c r="S47" i="15"/>
  <c r="S48" i="15"/>
  <c r="S42" i="15"/>
  <c r="R79" i="15"/>
  <c r="Q79" i="15"/>
  <c r="P79" i="15"/>
  <c r="O79" i="15"/>
  <c r="N79" i="15"/>
  <c r="M79" i="15"/>
  <c r="R69" i="15"/>
  <c r="Q69" i="15"/>
  <c r="P69" i="15"/>
  <c r="O69" i="15"/>
  <c r="N69" i="15"/>
  <c r="M69" i="15"/>
  <c r="R59" i="15"/>
  <c r="Q59" i="15"/>
  <c r="P59" i="15"/>
  <c r="O59" i="15"/>
  <c r="N59" i="15"/>
  <c r="M59" i="15"/>
  <c r="N49" i="15"/>
  <c r="O49" i="15"/>
  <c r="P49" i="15"/>
  <c r="Q49" i="15"/>
  <c r="R49" i="15"/>
  <c r="M49" i="15"/>
  <c r="X152" i="13"/>
  <c r="N39" i="15"/>
  <c r="O39" i="15"/>
  <c r="P39" i="15"/>
  <c r="Q39" i="15"/>
  <c r="R39" i="15"/>
  <c r="M39" i="15"/>
  <c r="R26" i="15"/>
  <c r="Q26" i="15"/>
  <c r="P26" i="15"/>
  <c r="O26" i="15"/>
  <c r="N26" i="15"/>
  <c r="M26" i="15"/>
  <c r="R18" i="15"/>
  <c r="Q18" i="15"/>
  <c r="P18" i="15"/>
  <c r="O18" i="15"/>
  <c r="N18" i="15"/>
  <c r="M18" i="15"/>
  <c r="N10" i="15"/>
  <c r="O10" i="15"/>
  <c r="P10" i="15"/>
  <c r="Q10" i="15"/>
  <c r="S22" i="10"/>
  <c r="T22" i="10"/>
  <c r="U22" i="10"/>
  <c r="V22" i="10"/>
  <c r="W22" i="10"/>
  <c r="S23" i="10"/>
  <c r="T23" i="10"/>
  <c r="U23" i="10"/>
  <c r="V23" i="10"/>
  <c r="W23" i="10"/>
  <c r="S24" i="10"/>
  <c r="T24" i="10"/>
  <c r="U24" i="10"/>
  <c r="V24" i="10"/>
  <c r="W24" i="10"/>
  <c r="S25" i="10"/>
  <c r="T25" i="10"/>
  <c r="U25" i="10"/>
  <c r="V25" i="10"/>
  <c r="W25" i="10"/>
  <c r="S26" i="10"/>
  <c r="T26" i="10"/>
  <c r="U26" i="10"/>
  <c r="V26" i="10"/>
  <c r="W26" i="10"/>
  <c r="U289" i="16"/>
  <c r="V289" i="16"/>
  <c r="W289" i="16"/>
  <c r="X289" i="16"/>
  <c r="Y289" i="16"/>
  <c r="U290" i="16"/>
  <c r="V290" i="16"/>
  <c r="W290" i="16"/>
  <c r="X290" i="16"/>
  <c r="Y290" i="16"/>
  <c r="U291" i="16"/>
  <c r="V291" i="16"/>
  <c r="W291" i="16"/>
  <c r="X291" i="16"/>
  <c r="Y291" i="16"/>
  <c r="U292" i="16"/>
  <c r="V292" i="16"/>
  <c r="W292" i="16"/>
  <c r="X292" i="16"/>
  <c r="Y292" i="16"/>
  <c r="U293" i="16"/>
  <c r="V293" i="16"/>
  <c r="W293" i="16"/>
  <c r="X293" i="16"/>
  <c r="Y293" i="16"/>
  <c r="U229" i="16"/>
  <c r="V229" i="16"/>
  <c r="W229" i="16"/>
  <c r="X229" i="16"/>
  <c r="Y229" i="16"/>
  <c r="U230" i="16"/>
  <c r="V230" i="16"/>
  <c r="W230" i="16"/>
  <c r="X230" i="16"/>
  <c r="Y230" i="16"/>
  <c r="U231" i="16"/>
  <c r="V231" i="16"/>
  <c r="W231" i="16"/>
  <c r="X231" i="16"/>
  <c r="Y231" i="16"/>
  <c r="U232" i="16"/>
  <c r="V232" i="16"/>
  <c r="W232" i="16"/>
  <c r="X232" i="16"/>
  <c r="Y232" i="16"/>
  <c r="U233" i="16"/>
  <c r="V233" i="16"/>
  <c r="W233" i="16"/>
  <c r="X233" i="16"/>
  <c r="Y233" i="16"/>
  <c r="U241" i="16"/>
  <c r="V241" i="16"/>
  <c r="W241" i="16"/>
  <c r="X241" i="16"/>
  <c r="Y241" i="16"/>
  <c r="U242" i="16"/>
  <c r="V242" i="16"/>
  <c r="W242" i="16"/>
  <c r="X242" i="16"/>
  <c r="Y242" i="16"/>
  <c r="U243" i="16"/>
  <c r="V243" i="16"/>
  <c r="W243" i="16"/>
  <c r="X243" i="16"/>
  <c r="Y243" i="16"/>
  <c r="U244" i="16"/>
  <c r="V244" i="16"/>
  <c r="W244" i="16"/>
  <c r="X244" i="16"/>
  <c r="Y244" i="16"/>
  <c r="U245" i="16"/>
  <c r="V245" i="16"/>
  <c r="W245" i="16"/>
  <c r="X245" i="16"/>
  <c r="Y245" i="16"/>
  <c r="U253" i="16"/>
  <c r="V253" i="16"/>
  <c r="W253" i="16"/>
  <c r="X253" i="16"/>
  <c r="Y253" i="16"/>
  <c r="U254" i="16"/>
  <c r="V254" i="16"/>
  <c r="W254" i="16"/>
  <c r="X254" i="16"/>
  <c r="Y254" i="16"/>
  <c r="U255" i="16"/>
  <c r="V255" i="16"/>
  <c r="W255" i="16"/>
  <c r="X255" i="16"/>
  <c r="Y255" i="16"/>
  <c r="U256" i="16"/>
  <c r="V256" i="16"/>
  <c r="W256" i="16"/>
  <c r="X256" i="16"/>
  <c r="Y256" i="16"/>
  <c r="U257" i="16"/>
  <c r="V257" i="16"/>
  <c r="W257" i="16"/>
  <c r="X257" i="16"/>
  <c r="Y257" i="16"/>
  <c r="U265" i="16"/>
  <c r="V265" i="16"/>
  <c r="W265" i="16"/>
  <c r="X265" i="16"/>
  <c r="Y265" i="16"/>
  <c r="U266" i="16"/>
  <c r="V266" i="16"/>
  <c r="W266" i="16"/>
  <c r="X266" i="16"/>
  <c r="Y266" i="16"/>
  <c r="U267" i="16"/>
  <c r="V267" i="16"/>
  <c r="W267" i="16"/>
  <c r="X267" i="16"/>
  <c r="Y267" i="16"/>
  <c r="U268" i="16"/>
  <c r="V268" i="16"/>
  <c r="W268" i="16"/>
  <c r="X268" i="16"/>
  <c r="Y268" i="16"/>
  <c r="U269" i="16"/>
  <c r="V269" i="16"/>
  <c r="W269" i="16"/>
  <c r="X269" i="16"/>
  <c r="Y269" i="16"/>
  <c r="T289" i="12"/>
  <c r="U289" i="12"/>
  <c r="V289" i="12"/>
  <c r="W289" i="12"/>
  <c r="X289" i="12"/>
  <c r="T290" i="12"/>
  <c r="U290" i="12"/>
  <c r="V290" i="12"/>
  <c r="W290" i="12"/>
  <c r="X290" i="12"/>
  <c r="T291" i="12"/>
  <c r="U291" i="12"/>
  <c r="V291" i="12"/>
  <c r="W291" i="12"/>
  <c r="X291" i="12"/>
  <c r="T292" i="12"/>
  <c r="U292" i="12"/>
  <c r="V292" i="12"/>
  <c r="W292" i="12"/>
  <c r="X292" i="12"/>
  <c r="T293" i="12"/>
  <c r="U293" i="12"/>
  <c r="V293" i="12"/>
  <c r="W293" i="12"/>
  <c r="X293" i="12"/>
  <c r="T229" i="12"/>
  <c r="U229" i="12"/>
  <c r="V229" i="12"/>
  <c r="W229" i="12"/>
  <c r="X229" i="12"/>
  <c r="T230" i="12"/>
  <c r="U230" i="12"/>
  <c r="V230" i="12"/>
  <c r="W230" i="12"/>
  <c r="X230" i="12"/>
  <c r="T231" i="12"/>
  <c r="U231" i="12"/>
  <c r="V231" i="12"/>
  <c r="W231" i="12"/>
  <c r="X231" i="12"/>
  <c r="T232" i="12"/>
  <c r="U232" i="12"/>
  <c r="V232" i="12"/>
  <c r="W232" i="12"/>
  <c r="X232" i="12"/>
  <c r="T233" i="12"/>
  <c r="U233" i="12"/>
  <c r="V233" i="12"/>
  <c r="W233" i="12"/>
  <c r="X233" i="12"/>
  <c r="T241" i="12"/>
  <c r="U241" i="12"/>
  <c r="V241" i="12"/>
  <c r="W241" i="12"/>
  <c r="X241" i="12"/>
  <c r="T242" i="12"/>
  <c r="U242" i="12"/>
  <c r="V242" i="12"/>
  <c r="W242" i="12"/>
  <c r="X242" i="12"/>
  <c r="T243" i="12"/>
  <c r="U243" i="12"/>
  <c r="V243" i="12"/>
  <c r="W243" i="12"/>
  <c r="X243" i="12"/>
  <c r="T244" i="12"/>
  <c r="U244" i="12"/>
  <c r="V244" i="12"/>
  <c r="W244" i="12"/>
  <c r="X244" i="12"/>
  <c r="T245" i="12"/>
  <c r="U245" i="12"/>
  <c r="V245" i="12"/>
  <c r="W245" i="12"/>
  <c r="X245" i="12"/>
  <c r="U253" i="12"/>
  <c r="V253" i="12"/>
  <c r="W253" i="12"/>
  <c r="X253" i="12"/>
  <c r="U254" i="12"/>
  <c r="V254" i="12"/>
  <c r="W254" i="12"/>
  <c r="X254" i="12"/>
  <c r="U255" i="12"/>
  <c r="V255" i="12"/>
  <c r="W255" i="12"/>
  <c r="X255" i="12"/>
  <c r="U256" i="12"/>
  <c r="V256" i="12"/>
  <c r="W256" i="12"/>
  <c r="X256" i="12"/>
  <c r="T257" i="12"/>
  <c r="U257" i="12"/>
  <c r="V257" i="12"/>
  <c r="W257" i="12"/>
  <c r="X257" i="12"/>
  <c r="T265" i="12"/>
  <c r="U265" i="12"/>
  <c r="V265" i="12"/>
  <c r="W265" i="12"/>
  <c r="X265" i="12"/>
  <c r="T266" i="12"/>
  <c r="U266" i="12"/>
  <c r="V266" i="12"/>
  <c r="W266" i="12"/>
  <c r="X266" i="12"/>
  <c r="T267" i="12"/>
  <c r="U267" i="12"/>
  <c r="V267" i="12"/>
  <c r="W267" i="12"/>
  <c r="X267" i="12"/>
  <c r="T268" i="12"/>
  <c r="U268" i="12"/>
  <c r="V268" i="12"/>
  <c r="W268" i="12"/>
  <c r="X268" i="12"/>
  <c r="T269" i="12"/>
  <c r="U269" i="12"/>
  <c r="V269" i="12"/>
  <c r="W269" i="12"/>
  <c r="X269" i="12"/>
  <c r="T221" i="12"/>
  <c r="U221" i="12"/>
  <c r="V221" i="12"/>
  <c r="W221" i="12"/>
  <c r="X221" i="12"/>
  <c r="T222" i="12"/>
  <c r="U222" i="12"/>
  <c r="V222" i="12"/>
  <c r="W222" i="12"/>
  <c r="X222" i="12"/>
  <c r="T223" i="12"/>
  <c r="U223" i="12"/>
  <c r="V223" i="12"/>
  <c r="W223" i="12"/>
  <c r="X223" i="12"/>
  <c r="T224" i="12"/>
  <c r="U224" i="12"/>
  <c r="V224" i="12"/>
  <c r="W224" i="12"/>
  <c r="X224" i="12"/>
  <c r="T225" i="12"/>
  <c r="U225" i="12"/>
  <c r="V225" i="12"/>
  <c r="W225" i="12"/>
  <c r="X225" i="12"/>
  <c r="T161" i="12"/>
  <c r="U161" i="12"/>
  <c r="V161" i="12"/>
  <c r="W161" i="12"/>
  <c r="X161" i="12"/>
  <c r="T162" i="12"/>
  <c r="U162" i="12"/>
  <c r="V162" i="12"/>
  <c r="W162" i="12"/>
  <c r="X162" i="12"/>
  <c r="T163" i="12"/>
  <c r="U163" i="12"/>
  <c r="V163" i="12"/>
  <c r="W163" i="12"/>
  <c r="X163" i="12"/>
  <c r="T164" i="12"/>
  <c r="U164" i="12"/>
  <c r="V164" i="12"/>
  <c r="W164" i="12"/>
  <c r="X164" i="12"/>
  <c r="T165" i="12"/>
  <c r="U165" i="12"/>
  <c r="V165" i="12"/>
  <c r="W165" i="12"/>
  <c r="X165" i="12"/>
  <c r="U173" i="12"/>
  <c r="V173" i="12"/>
  <c r="W173" i="12"/>
  <c r="X173" i="12"/>
  <c r="U174" i="12"/>
  <c r="V174" i="12"/>
  <c r="W174" i="12"/>
  <c r="X174" i="12"/>
  <c r="U175" i="12"/>
  <c r="V175" i="12"/>
  <c r="W175" i="12"/>
  <c r="X175" i="12"/>
  <c r="U176" i="12"/>
  <c r="V176" i="12"/>
  <c r="W176" i="12"/>
  <c r="X176" i="12"/>
  <c r="T177" i="12"/>
  <c r="U177" i="12"/>
  <c r="V177" i="12"/>
  <c r="W177" i="12"/>
  <c r="X177" i="12"/>
  <c r="U185" i="12"/>
  <c r="V185" i="12"/>
  <c r="W185" i="12"/>
  <c r="X185" i="12"/>
  <c r="U186" i="12"/>
  <c r="V186" i="12"/>
  <c r="W186" i="12"/>
  <c r="X186" i="12"/>
  <c r="U187" i="12"/>
  <c r="V187" i="12"/>
  <c r="W187" i="12"/>
  <c r="X187" i="12"/>
  <c r="U188" i="12"/>
  <c r="V188" i="12"/>
  <c r="W188" i="12"/>
  <c r="X188" i="12"/>
  <c r="T189" i="12"/>
  <c r="U189" i="12"/>
  <c r="V189" i="12"/>
  <c r="W189" i="12"/>
  <c r="X189" i="12"/>
  <c r="T153" i="12"/>
  <c r="U153" i="12"/>
  <c r="V153" i="12"/>
  <c r="W153" i="12"/>
  <c r="X153" i="12"/>
  <c r="T154" i="12"/>
  <c r="U154" i="12"/>
  <c r="V154" i="12"/>
  <c r="W154" i="12"/>
  <c r="X154" i="12"/>
  <c r="T155" i="12"/>
  <c r="U155" i="12"/>
  <c r="V155" i="12"/>
  <c r="W155" i="12"/>
  <c r="X155" i="12"/>
  <c r="T156" i="12"/>
  <c r="U156" i="12"/>
  <c r="V156" i="12"/>
  <c r="W156" i="12"/>
  <c r="X156" i="12"/>
  <c r="T157" i="12"/>
  <c r="U157" i="12"/>
  <c r="V157" i="12"/>
  <c r="W157" i="12"/>
  <c r="X157" i="12"/>
  <c r="T93" i="12"/>
  <c r="U93" i="12"/>
  <c r="V93" i="12"/>
  <c r="W93" i="12"/>
  <c r="X93" i="12"/>
  <c r="T94" i="12"/>
  <c r="U94" i="12"/>
  <c r="V94" i="12"/>
  <c r="W94" i="12"/>
  <c r="X94" i="12"/>
  <c r="T95" i="12"/>
  <c r="U95" i="12"/>
  <c r="V95" i="12"/>
  <c r="W95" i="12"/>
  <c r="X95" i="12"/>
  <c r="T96" i="12"/>
  <c r="U96" i="12"/>
  <c r="V96" i="12"/>
  <c r="W96" i="12"/>
  <c r="X96" i="12"/>
  <c r="T97" i="12"/>
  <c r="U97" i="12"/>
  <c r="V97" i="12"/>
  <c r="W97" i="12"/>
  <c r="X97" i="12"/>
  <c r="T105" i="12"/>
  <c r="U105" i="12"/>
  <c r="V105" i="12"/>
  <c r="W105" i="12"/>
  <c r="X105" i="12"/>
  <c r="T106" i="12"/>
  <c r="U106" i="12"/>
  <c r="V106" i="12"/>
  <c r="W106" i="12"/>
  <c r="X106" i="12"/>
  <c r="T107" i="12"/>
  <c r="U107" i="12"/>
  <c r="V107" i="12"/>
  <c r="W107" i="12"/>
  <c r="X107" i="12"/>
  <c r="T108" i="12"/>
  <c r="U108" i="12"/>
  <c r="V108" i="12"/>
  <c r="W108" i="12"/>
  <c r="X108" i="12"/>
  <c r="T109" i="12"/>
  <c r="U109" i="12"/>
  <c r="V109" i="12"/>
  <c r="W109" i="12"/>
  <c r="X109" i="12"/>
  <c r="T117" i="12"/>
  <c r="U117" i="12"/>
  <c r="V117" i="12"/>
  <c r="W117" i="12"/>
  <c r="X117" i="12"/>
  <c r="T118" i="12"/>
  <c r="U118" i="12"/>
  <c r="V118" i="12"/>
  <c r="W118" i="12"/>
  <c r="X118" i="12"/>
  <c r="T119" i="12"/>
  <c r="U119" i="12"/>
  <c r="V119" i="12"/>
  <c r="W119" i="12"/>
  <c r="X119" i="12"/>
  <c r="T120" i="12"/>
  <c r="U120" i="12"/>
  <c r="V120" i="12"/>
  <c r="W120" i="12"/>
  <c r="X120" i="12"/>
  <c r="T121" i="12"/>
  <c r="U121" i="12"/>
  <c r="V121" i="12"/>
  <c r="W121" i="12"/>
  <c r="X121" i="12"/>
  <c r="T129" i="12"/>
  <c r="U129" i="12"/>
  <c r="V129" i="12"/>
  <c r="W129" i="12"/>
  <c r="X129" i="12"/>
  <c r="T130" i="12"/>
  <c r="U130" i="12"/>
  <c r="V130" i="12"/>
  <c r="W130" i="12"/>
  <c r="X130" i="12"/>
  <c r="T131" i="12"/>
  <c r="U131" i="12"/>
  <c r="V131" i="12"/>
  <c r="W131" i="12"/>
  <c r="X131" i="12"/>
  <c r="T132" i="12"/>
  <c r="U132" i="12"/>
  <c r="V132" i="12"/>
  <c r="W132" i="12"/>
  <c r="X132" i="12"/>
  <c r="T133" i="12"/>
  <c r="U133" i="12"/>
  <c r="V133" i="12"/>
  <c r="W133" i="12"/>
  <c r="X133" i="12"/>
  <c r="T86" i="12"/>
  <c r="U86" i="12"/>
  <c r="V86" i="12"/>
  <c r="W86" i="12"/>
  <c r="X86" i="12"/>
  <c r="T87" i="12"/>
  <c r="U87" i="12"/>
  <c r="V87" i="12"/>
  <c r="W87" i="12"/>
  <c r="X87" i="12"/>
  <c r="T88" i="12"/>
  <c r="U88" i="12"/>
  <c r="V88" i="12"/>
  <c r="W88" i="12"/>
  <c r="X88" i="12"/>
  <c r="T89" i="12"/>
  <c r="U89" i="12"/>
  <c r="V89" i="12"/>
  <c r="W89" i="12"/>
  <c r="X89" i="12"/>
  <c r="T90" i="12"/>
  <c r="U90" i="12"/>
  <c r="V90" i="12"/>
  <c r="W90" i="12"/>
  <c r="X90" i="12"/>
  <c r="T26" i="12"/>
  <c r="U26" i="12"/>
  <c r="V26" i="12"/>
  <c r="W26" i="12"/>
  <c r="X26" i="12"/>
  <c r="T27" i="12"/>
  <c r="U27" i="12"/>
  <c r="V27" i="12"/>
  <c r="W27" i="12"/>
  <c r="X27" i="12"/>
  <c r="T28" i="12"/>
  <c r="U28" i="12"/>
  <c r="V28" i="12"/>
  <c r="W28" i="12"/>
  <c r="X28" i="12"/>
  <c r="T29" i="12"/>
  <c r="U29" i="12"/>
  <c r="V29" i="12"/>
  <c r="W29" i="12"/>
  <c r="X29" i="12"/>
  <c r="T30" i="12"/>
  <c r="U30" i="12"/>
  <c r="V30" i="12"/>
  <c r="W30" i="12"/>
  <c r="X30" i="12"/>
  <c r="T38" i="12"/>
  <c r="U38" i="12"/>
  <c r="V38" i="12"/>
  <c r="W38" i="12"/>
  <c r="X38" i="12"/>
  <c r="T39" i="12"/>
  <c r="U39" i="12"/>
  <c r="V39" i="12"/>
  <c r="W39" i="12"/>
  <c r="X39" i="12"/>
  <c r="T40" i="12"/>
  <c r="U40" i="12"/>
  <c r="V40" i="12"/>
  <c r="W40" i="12"/>
  <c r="X40" i="12"/>
  <c r="T41" i="12"/>
  <c r="U41" i="12"/>
  <c r="V41" i="12"/>
  <c r="W41" i="12"/>
  <c r="X41" i="12"/>
  <c r="T42" i="12"/>
  <c r="U42" i="12"/>
  <c r="V42" i="12"/>
  <c r="W42" i="12"/>
  <c r="X42" i="12"/>
  <c r="T50" i="12"/>
  <c r="U50" i="12"/>
  <c r="V50" i="12"/>
  <c r="W50" i="12"/>
  <c r="X50" i="12"/>
  <c r="T51" i="12"/>
  <c r="U51" i="12"/>
  <c r="V51" i="12"/>
  <c r="W51" i="12"/>
  <c r="X51" i="12"/>
  <c r="T52" i="12"/>
  <c r="U52" i="12"/>
  <c r="V52" i="12"/>
  <c r="W52" i="12"/>
  <c r="X52" i="12"/>
  <c r="T53" i="12"/>
  <c r="U53" i="12"/>
  <c r="V53" i="12"/>
  <c r="W53" i="12"/>
  <c r="X53" i="12"/>
  <c r="T54" i="12"/>
  <c r="U54" i="12"/>
  <c r="V54" i="12"/>
  <c r="W54" i="12"/>
  <c r="X54" i="12"/>
  <c r="U44" i="12"/>
  <c r="V44" i="12"/>
  <c r="W44" i="12"/>
  <c r="X44" i="12"/>
  <c r="U45" i="12"/>
  <c r="V45" i="12"/>
  <c r="W45" i="12"/>
  <c r="X45" i="12"/>
  <c r="U46" i="12"/>
  <c r="V46" i="12"/>
  <c r="W46" i="12"/>
  <c r="X46" i="12"/>
  <c r="U47" i="12"/>
  <c r="V47" i="12"/>
  <c r="W47" i="12"/>
  <c r="X47" i="12"/>
  <c r="U48" i="12"/>
  <c r="V48" i="12"/>
  <c r="W48" i="12"/>
  <c r="X48" i="12"/>
  <c r="AA221" i="13"/>
  <c r="AB221" i="13"/>
  <c r="E17" i="10"/>
  <c r="E18" i="10"/>
  <c r="E19" i="10"/>
  <c r="E20" i="10"/>
  <c r="E21" i="10"/>
  <c r="E22" i="10"/>
  <c r="E23" i="10"/>
  <c r="E24" i="10"/>
  <c r="E25" i="10"/>
  <c r="E26" i="10"/>
  <c r="E27" i="10"/>
  <c r="Q72" i="10"/>
  <c r="R72" i="10"/>
  <c r="S72" i="10"/>
  <c r="T72" i="10"/>
  <c r="S46" i="10"/>
  <c r="T46" i="10"/>
  <c r="U46" i="10"/>
  <c r="V46" i="10"/>
  <c r="W46" i="10"/>
  <c r="S47" i="10"/>
  <c r="T47" i="10"/>
  <c r="U47" i="10"/>
  <c r="V47" i="10"/>
  <c r="W47" i="10"/>
  <c r="S48" i="10"/>
  <c r="T48" i="10"/>
  <c r="U48" i="10"/>
  <c r="V48" i="10"/>
  <c r="W48" i="10"/>
  <c r="S49" i="10"/>
  <c r="T49" i="10"/>
  <c r="U49" i="10"/>
  <c r="V49" i="10"/>
  <c r="W49" i="10"/>
  <c r="S50" i="10"/>
  <c r="T50" i="10"/>
  <c r="U50" i="10"/>
  <c r="V50" i="10"/>
  <c r="W50" i="10"/>
  <c r="AF217" i="13"/>
  <c r="AF216" i="13"/>
  <c r="AE197" i="13"/>
  <c r="AF197" i="13"/>
  <c r="AC197" i="13"/>
  <c r="E35" i="13"/>
  <c r="E36" i="13"/>
  <c r="E37" i="13"/>
  <c r="E38" i="13"/>
  <c r="E39" i="13"/>
  <c r="E40" i="13"/>
  <c r="E41" i="13"/>
  <c r="E42" i="13"/>
  <c r="E43" i="13"/>
  <c r="E44" i="13"/>
  <c r="E45" i="13"/>
  <c r="G4" i="13"/>
  <c r="T233" i="13"/>
  <c r="U233" i="13"/>
  <c r="V233" i="13"/>
  <c r="W233" i="13"/>
  <c r="T234" i="13"/>
  <c r="U234" i="13"/>
  <c r="V234" i="13"/>
  <c r="W234" i="13"/>
  <c r="T235" i="13"/>
  <c r="U235" i="13"/>
  <c r="V235" i="13"/>
  <c r="W235" i="13"/>
  <c r="T236" i="13"/>
  <c r="U236" i="13"/>
  <c r="V236" i="13"/>
  <c r="W236" i="13"/>
  <c r="T237" i="13"/>
  <c r="U237" i="13"/>
  <c r="V237" i="13"/>
  <c r="W237" i="13"/>
  <c r="Y237" i="13"/>
  <c r="T228" i="13"/>
  <c r="U228" i="13"/>
  <c r="V228" i="13"/>
  <c r="W228" i="13"/>
  <c r="T229" i="13"/>
  <c r="U229" i="13"/>
  <c r="V229" i="13"/>
  <c r="W229" i="13"/>
  <c r="T230" i="13"/>
  <c r="U230" i="13"/>
  <c r="V230" i="13"/>
  <c r="W230" i="13"/>
  <c r="T231" i="13"/>
  <c r="U231" i="13"/>
  <c r="V231" i="13"/>
  <c r="W231" i="13"/>
  <c r="T232" i="13"/>
  <c r="U232" i="13"/>
  <c r="V232" i="13"/>
  <c r="W232" i="13"/>
  <c r="Y232" i="13"/>
  <c r="T223" i="13"/>
  <c r="U223" i="13"/>
  <c r="V223" i="13"/>
  <c r="W223" i="13"/>
  <c r="T224" i="13"/>
  <c r="U224" i="13"/>
  <c r="V224" i="13"/>
  <c r="W224" i="13"/>
  <c r="T225" i="13"/>
  <c r="U225" i="13"/>
  <c r="V225" i="13"/>
  <c r="W225" i="13"/>
  <c r="T226" i="13"/>
  <c r="U226" i="13"/>
  <c r="V226" i="13"/>
  <c r="W226" i="13"/>
  <c r="T227" i="13"/>
  <c r="U227" i="13"/>
  <c r="V227" i="13"/>
  <c r="W227" i="13"/>
  <c r="Y227" i="13"/>
  <c r="T218" i="13"/>
  <c r="U218" i="13"/>
  <c r="V218" i="13"/>
  <c r="W218" i="13"/>
  <c r="T219" i="13"/>
  <c r="U219" i="13"/>
  <c r="V219" i="13"/>
  <c r="W219" i="13"/>
  <c r="T220" i="13"/>
  <c r="U220" i="13"/>
  <c r="V220" i="13"/>
  <c r="W220" i="13"/>
  <c r="T221" i="13"/>
  <c r="U221" i="13"/>
  <c r="V221" i="13"/>
  <c r="W221" i="13"/>
  <c r="T222" i="13"/>
  <c r="U222" i="13"/>
  <c r="V222" i="13"/>
  <c r="W222" i="13"/>
  <c r="Y222" i="13"/>
  <c r="T213" i="13"/>
  <c r="U213" i="13"/>
  <c r="V213" i="13"/>
  <c r="W213" i="13"/>
  <c r="T214" i="13"/>
  <c r="U214" i="13"/>
  <c r="V214" i="13"/>
  <c r="W214" i="13"/>
  <c r="T215" i="13"/>
  <c r="U215" i="13"/>
  <c r="V215" i="13"/>
  <c r="W215" i="13"/>
  <c r="T216" i="13"/>
  <c r="U216" i="13"/>
  <c r="V216" i="13"/>
  <c r="W216" i="13"/>
  <c r="T217" i="13"/>
  <c r="U217" i="13"/>
  <c r="V217" i="13"/>
  <c r="W217" i="13"/>
  <c r="Y217" i="13"/>
  <c r="T208" i="13"/>
  <c r="U208" i="13"/>
  <c r="V208" i="13"/>
  <c r="W208" i="13"/>
  <c r="T209" i="13"/>
  <c r="U209" i="13"/>
  <c r="V209" i="13"/>
  <c r="W209" i="13"/>
  <c r="T210" i="13"/>
  <c r="U210" i="13"/>
  <c r="V210" i="13"/>
  <c r="W210" i="13"/>
  <c r="T211" i="13"/>
  <c r="U211" i="13"/>
  <c r="V211" i="13"/>
  <c r="W211" i="13"/>
  <c r="T212" i="13"/>
  <c r="U212" i="13"/>
  <c r="V212" i="13"/>
  <c r="W212" i="13"/>
  <c r="Y212" i="13"/>
  <c r="T203" i="13"/>
  <c r="U203" i="13"/>
  <c r="V203" i="13"/>
  <c r="W203" i="13"/>
  <c r="T204" i="13"/>
  <c r="U204" i="13"/>
  <c r="V204" i="13"/>
  <c r="W204" i="13"/>
  <c r="T205" i="13"/>
  <c r="U205" i="13"/>
  <c r="V205" i="13"/>
  <c r="W205" i="13"/>
  <c r="T206" i="13"/>
  <c r="U206" i="13"/>
  <c r="V206" i="13"/>
  <c r="W206" i="13"/>
  <c r="T207" i="13"/>
  <c r="U207" i="13"/>
  <c r="V207" i="13"/>
  <c r="W207" i="13"/>
  <c r="Y207" i="13"/>
  <c r="T198" i="13"/>
  <c r="U198" i="13"/>
  <c r="V198" i="13"/>
  <c r="W198" i="13"/>
  <c r="T199" i="13"/>
  <c r="U199" i="13"/>
  <c r="V199" i="13"/>
  <c r="W199" i="13"/>
  <c r="T200" i="13"/>
  <c r="U200" i="13"/>
  <c r="V200" i="13"/>
  <c r="W200" i="13"/>
  <c r="T201" i="13"/>
  <c r="U201" i="13"/>
  <c r="V201" i="13"/>
  <c r="W201" i="13"/>
  <c r="T202" i="13"/>
  <c r="U202" i="13"/>
  <c r="V202" i="13"/>
  <c r="W202" i="13"/>
  <c r="Y202" i="13"/>
  <c r="T193" i="13"/>
  <c r="U193" i="13"/>
  <c r="V193" i="13"/>
  <c r="W193" i="13"/>
  <c r="T194" i="13"/>
  <c r="U194" i="13"/>
  <c r="V194" i="13"/>
  <c r="W194" i="13"/>
  <c r="T195" i="13"/>
  <c r="U195" i="13"/>
  <c r="V195" i="13"/>
  <c r="W195" i="13"/>
  <c r="T196" i="13"/>
  <c r="U196" i="13"/>
  <c r="V196" i="13"/>
  <c r="W196" i="13"/>
  <c r="T197" i="13"/>
  <c r="U197" i="13"/>
  <c r="V197" i="13"/>
  <c r="W197" i="13"/>
  <c r="Y197" i="13"/>
  <c r="T187" i="13"/>
  <c r="U187" i="13"/>
  <c r="V187" i="13"/>
  <c r="W187" i="13"/>
  <c r="T188" i="13"/>
  <c r="U188" i="13"/>
  <c r="V188" i="13"/>
  <c r="W188" i="13"/>
  <c r="T189" i="13"/>
  <c r="U189" i="13"/>
  <c r="V189" i="13"/>
  <c r="W189" i="13"/>
  <c r="T190" i="13"/>
  <c r="U190" i="13"/>
  <c r="V190" i="13"/>
  <c r="W190" i="13"/>
  <c r="T191" i="13"/>
  <c r="U191" i="13"/>
  <c r="V191" i="13"/>
  <c r="W191" i="13"/>
  <c r="Y191" i="13"/>
  <c r="T181" i="13"/>
  <c r="U181" i="13"/>
  <c r="V181" i="13"/>
  <c r="W181" i="13"/>
  <c r="T182" i="13"/>
  <c r="U182" i="13"/>
  <c r="V182" i="13"/>
  <c r="W182" i="13"/>
  <c r="T183" i="13"/>
  <c r="U183" i="13"/>
  <c r="V183" i="13"/>
  <c r="W183" i="13"/>
  <c r="T184" i="13"/>
  <c r="U184" i="13"/>
  <c r="V184" i="13"/>
  <c r="W184" i="13"/>
  <c r="T185" i="13"/>
  <c r="U185" i="13"/>
  <c r="V185" i="13"/>
  <c r="W185" i="13"/>
  <c r="Y185" i="13"/>
  <c r="Z54" i="15"/>
  <c r="Z55" i="15"/>
  <c r="Z56" i="15"/>
  <c r="Z57" i="15"/>
  <c r="Z58" i="15"/>
  <c r="Z59" i="15"/>
  <c r="Z60" i="15"/>
  <c r="Z61" i="15"/>
  <c r="Z62" i="15"/>
  <c r="Z53" i="15"/>
  <c r="U534" i="16"/>
  <c r="V534" i="16"/>
  <c r="W534" i="16"/>
  <c r="X534" i="16"/>
  <c r="Y534" i="16"/>
  <c r="U533" i="16"/>
  <c r="V533" i="16"/>
  <c r="W533" i="16"/>
  <c r="X533" i="16"/>
  <c r="Y533" i="16"/>
  <c r="U532" i="16"/>
  <c r="V532" i="16"/>
  <c r="W532" i="16"/>
  <c r="X532" i="16"/>
  <c r="Y532" i="16"/>
  <c r="U531" i="16"/>
  <c r="V531" i="16"/>
  <c r="W531" i="16"/>
  <c r="X531" i="16"/>
  <c r="Y531" i="16"/>
  <c r="U530" i="16"/>
  <c r="V530" i="16"/>
  <c r="W530" i="16"/>
  <c r="X530" i="16"/>
  <c r="Y530" i="16"/>
  <c r="U528" i="16"/>
  <c r="V528" i="16"/>
  <c r="W528" i="16"/>
  <c r="X528" i="16"/>
  <c r="Y528" i="16"/>
  <c r="U527" i="16"/>
  <c r="V527" i="16"/>
  <c r="W527" i="16"/>
  <c r="X527" i="16"/>
  <c r="Y527" i="16"/>
  <c r="U526" i="16"/>
  <c r="V526" i="16"/>
  <c r="W526" i="16"/>
  <c r="X526" i="16"/>
  <c r="Y526" i="16"/>
  <c r="U525" i="16"/>
  <c r="V525" i="16"/>
  <c r="W525" i="16"/>
  <c r="X525" i="16"/>
  <c r="Y525" i="16"/>
  <c r="U524" i="16"/>
  <c r="V524" i="16"/>
  <c r="W524" i="16"/>
  <c r="X524" i="16"/>
  <c r="Y524" i="16"/>
  <c r="U522" i="16"/>
  <c r="V522" i="16"/>
  <c r="W522" i="16"/>
  <c r="X522" i="16"/>
  <c r="Y522" i="16"/>
  <c r="U521" i="16"/>
  <c r="V521" i="16"/>
  <c r="W521" i="16"/>
  <c r="X521" i="16"/>
  <c r="Y521" i="16"/>
  <c r="U520" i="16"/>
  <c r="V520" i="16"/>
  <c r="W520" i="16"/>
  <c r="X520" i="16"/>
  <c r="Y520" i="16"/>
  <c r="U519" i="16"/>
  <c r="V519" i="16"/>
  <c r="W519" i="16"/>
  <c r="X519" i="16"/>
  <c r="Y519" i="16"/>
  <c r="U518" i="16"/>
  <c r="V518" i="16"/>
  <c r="W518" i="16"/>
  <c r="X518" i="16"/>
  <c r="Y518" i="16"/>
  <c r="U516" i="16"/>
  <c r="V516" i="16"/>
  <c r="W516" i="16"/>
  <c r="X516" i="16"/>
  <c r="Y516" i="16"/>
  <c r="U515" i="16"/>
  <c r="V515" i="16"/>
  <c r="W515" i="16"/>
  <c r="X515" i="16"/>
  <c r="Y515" i="16"/>
  <c r="U514" i="16"/>
  <c r="V514" i="16"/>
  <c r="W514" i="16"/>
  <c r="X514" i="16"/>
  <c r="Y514" i="16"/>
  <c r="U513" i="16"/>
  <c r="V513" i="16"/>
  <c r="W513" i="16"/>
  <c r="X513" i="16"/>
  <c r="Y513" i="16"/>
  <c r="U512" i="16"/>
  <c r="V512" i="16"/>
  <c r="W512" i="16"/>
  <c r="X512" i="16"/>
  <c r="Y512" i="16"/>
  <c r="U510" i="16"/>
  <c r="V510" i="16"/>
  <c r="W510" i="16"/>
  <c r="X510" i="16"/>
  <c r="Y510" i="16"/>
  <c r="U509" i="16"/>
  <c r="V509" i="16"/>
  <c r="W509" i="16"/>
  <c r="X509" i="16"/>
  <c r="Y509" i="16"/>
  <c r="U508" i="16"/>
  <c r="V508" i="16"/>
  <c r="W508" i="16"/>
  <c r="X508" i="16"/>
  <c r="Y508" i="16"/>
  <c r="U507" i="16"/>
  <c r="V507" i="16"/>
  <c r="W507" i="16"/>
  <c r="X507" i="16"/>
  <c r="Y507" i="16"/>
  <c r="U506" i="16"/>
  <c r="V506" i="16"/>
  <c r="W506" i="16"/>
  <c r="X506" i="16"/>
  <c r="Y506" i="16"/>
  <c r="U504" i="16"/>
  <c r="V504" i="16"/>
  <c r="W504" i="16"/>
  <c r="X504" i="16"/>
  <c r="Y504" i="16"/>
  <c r="U503" i="16"/>
  <c r="V503" i="16"/>
  <c r="W503" i="16"/>
  <c r="X503" i="16"/>
  <c r="Y503" i="16"/>
  <c r="U502" i="16"/>
  <c r="V502" i="16"/>
  <c r="W502" i="16"/>
  <c r="X502" i="16"/>
  <c r="Y502" i="16"/>
  <c r="U501" i="16"/>
  <c r="V501" i="16"/>
  <c r="W501" i="16"/>
  <c r="X501" i="16"/>
  <c r="Y501" i="16"/>
  <c r="U500" i="16"/>
  <c r="V500" i="16"/>
  <c r="W500" i="16"/>
  <c r="X500" i="16"/>
  <c r="Y500" i="16"/>
  <c r="U498" i="16"/>
  <c r="V498" i="16"/>
  <c r="W498" i="16"/>
  <c r="X498" i="16"/>
  <c r="Y498" i="16"/>
  <c r="U497" i="16"/>
  <c r="V497" i="16"/>
  <c r="W497" i="16"/>
  <c r="X497" i="16"/>
  <c r="Y497" i="16"/>
  <c r="U496" i="16"/>
  <c r="V496" i="16"/>
  <c r="W496" i="16"/>
  <c r="X496" i="16"/>
  <c r="Y496" i="16"/>
  <c r="U495" i="16"/>
  <c r="V495" i="16"/>
  <c r="W495" i="16"/>
  <c r="X495" i="16"/>
  <c r="Y495" i="16"/>
  <c r="U494" i="16"/>
  <c r="V494" i="16"/>
  <c r="W494" i="16"/>
  <c r="X494" i="16"/>
  <c r="Y494" i="16"/>
  <c r="U490" i="16"/>
  <c r="V490" i="16"/>
  <c r="W490" i="16"/>
  <c r="X490" i="16"/>
  <c r="Y490" i="16"/>
  <c r="U489" i="16"/>
  <c r="V489" i="16"/>
  <c r="W489" i="16"/>
  <c r="X489" i="16"/>
  <c r="Y489" i="16"/>
  <c r="U488" i="16"/>
  <c r="V488" i="16"/>
  <c r="W488" i="16"/>
  <c r="X488" i="16"/>
  <c r="Y488" i="16"/>
  <c r="U487" i="16"/>
  <c r="V487" i="16"/>
  <c r="W487" i="16"/>
  <c r="X487" i="16"/>
  <c r="Y487" i="16"/>
  <c r="U486" i="16"/>
  <c r="V486" i="16"/>
  <c r="W486" i="16"/>
  <c r="X486" i="16"/>
  <c r="Y486" i="16"/>
  <c r="U484" i="16"/>
  <c r="V484" i="16"/>
  <c r="W484" i="16"/>
  <c r="X484" i="16"/>
  <c r="Y484" i="16"/>
  <c r="U483" i="16"/>
  <c r="V483" i="16"/>
  <c r="W483" i="16"/>
  <c r="X483" i="16"/>
  <c r="Y483" i="16"/>
  <c r="U482" i="16"/>
  <c r="V482" i="16"/>
  <c r="W482" i="16"/>
  <c r="X482" i="16"/>
  <c r="Y482" i="16"/>
  <c r="U481" i="16"/>
  <c r="V481" i="16"/>
  <c r="W481" i="16"/>
  <c r="X481" i="16"/>
  <c r="Y481" i="16"/>
  <c r="U480" i="16"/>
  <c r="V480" i="16"/>
  <c r="W480" i="16"/>
  <c r="X480" i="16"/>
  <c r="Y480" i="16"/>
  <c r="U478" i="16"/>
  <c r="V478" i="16"/>
  <c r="W478" i="16"/>
  <c r="X478" i="16"/>
  <c r="Y478" i="16"/>
  <c r="U477" i="16"/>
  <c r="V477" i="16"/>
  <c r="W477" i="16"/>
  <c r="X477" i="16"/>
  <c r="Y477" i="16"/>
  <c r="U476" i="16"/>
  <c r="V476" i="16"/>
  <c r="W476" i="16"/>
  <c r="X476" i="16"/>
  <c r="Y476" i="16"/>
  <c r="U475" i="16"/>
  <c r="V475" i="16"/>
  <c r="W475" i="16"/>
  <c r="X475" i="16"/>
  <c r="Y475" i="16"/>
  <c r="U474" i="16"/>
  <c r="V474" i="16"/>
  <c r="W474" i="16"/>
  <c r="X474" i="16"/>
  <c r="Y474" i="16"/>
  <c r="U472" i="16"/>
  <c r="V472" i="16"/>
  <c r="W472" i="16"/>
  <c r="X472" i="16"/>
  <c r="Y472" i="16"/>
  <c r="U471" i="16"/>
  <c r="V471" i="16"/>
  <c r="W471" i="16"/>
  <c r="X471" i="16"/>
  <c r="Y471" i="16"/>
  <c r="U470" i="16"/>
  <c r="V470" i="16"/>
  <c r="W470" i="16"/>
  <c r="X470" i="16"/>
  <c r="Y470" i="16"/>
  <c r="U469" i="16"/>
  <c r="V469" i="16"/>
  <c r="W469" i="16"/>
  <c r="X469" i="16"/>
  <c r="Y469" i="16"/>
  <c r="U468" i="16"/>
  <c r="V468" i="16"/>
  <c r="W468" i="16"/>
  <c r="X468" i="16"/>
  <c r="Y468" i="16"/>
  <c r="U466" i="16"/>
  <c r="V466" i="16"/>
  <c r="W466" i="16"/>
  <c r="X466" i="16"/>
  <c r="Y466" i="16"/>
  <c r="U465" i="16"/>
  <c r="V465" i="16"/>
  <c r="W465" i="16"/>
  <c r="X465" i="16"/>
  <c r="Y465" i="16"/>
  <c r="U464" i="16"/>
  <c r="V464" i="16"/>
  <c r="W464" i="16"/>
  <c r="X464" i="16"/>
  <c r="Y464" i="16"/>
  <c r="U463" i="16"/>
  <c r="V463" i="16"/>
  <c r="W463" i="16"/>
  <c r="X463" i="16"/>
  <c r="Y463" i="16"/>
  <c r="U462" i="16"/>
  <c r="V462" i="16"/>
  <c r="W462" i="16"/>
  <c r="X462" i="16"/>
  <c r="Y462" i="16"/>
  <c r="U460" i="16"/>
  <c r="V460" i="16"/>
  <c r="W460" i="16"/>
  <c r="X460" i="16"/>
  <c r="Y460" i="16"/>
  <c r="U459" i="16"/>
  <c r="V459" i="16"/>
  <c r="W459" i="16"/>
  <c r="X459" i="16"/>
  <c r="Y459" i="16"/>
  <c r="U458" i="16"/>
  <c r="V458" i="16"/>
  <c r="W458" i="16"/>
  <c r="X458" i="16"/>
  <c r="Y458" i="16"/>
  <c r="U457" i="16"/>
  <c r="V457" i="16"/>
  <c r="W457" i="16"/>
  <c r="X457" i="16"/>
  <c r="Y457" i="16"/>
  <c r="U456" i="16"/>
  <c r="V456" i="16"/>
  <c r="W456" i="16"/>
  <c r="X456" i="16"/>
  <c r="Y456" i="16"/>
  <c r="U454" i="16"/>
  <c r="V454" i="16"/>
  <c r="W454" i="16"/>
  <c r="X454" i="16"/>
  <c r="Y454" i="16"/>
  <c r="U453" i="16"/>
  <c r="V453" i="16"/>
  <c r="W453" i="16"/>
  <c r="X453" i="16"/>
  <c r="Y453" i="16"/>
  <c r="U452" i="16"/>
  <c r="V452" i="16"/>
  <c r="W452" i="16"/>
  <c r="X452" i="16"/>
  <c r="Y452" i="16"/>
  <c r="U451" i="16"/>
  <c r="V451" i="16"/>
  <c r="W451" i="16"/>
  <c r="X451" i="16"/>
  <c r="Y451" i="16"/>
  <c r="U450" i="16"/>
  <c r="V450" i="16"/>
  <c r="W450" i="16"/>
  <c r="X450" i="16"/>
  <c r="Y450" i="16"/>
  <c r="U445" i="16"/>
  <c r="V445" i="16"/>
  <c r="W445" i="16"/>
  <c r="X445" i="16"/>
  <c r="Y445" i="16"/>
  <c r="U444" i="16"/>
  <c r="V444" i="16"/>
  <c r="W444" i="16"/>
  <c r="X444" i="16"/>
  <c r="Y444" i="16"/>
  <c r="U443" i="16"/>
  <c r="V443" i="16"/>
  <c r="W443" i="16"/>
  <c r="X443" i="16"/>
  <c r="Y443" i="16"/>
  <c r="U442" i="16"/>
  <c r="V442" i="16"/>
  <c r="W442" i="16"/>
  <c r="X442" i="16"/>
  <c r="Y442" i="16"/>
  <c r="U441" i="16"/>
  <c r="V441" i="16"/>
  <c r="W441" i="16"/>
  <c r="X441" i="16"/>
  <c r="Y441" i="16"/>
  <c r="U439" i="16"/>
  <c r="V439" i="16"/>
  <c r="W439" i="16"/>
  <c r="X439" i="16"/>
  <c r="Y439" i="16"/>
  <c r="U438" i="16"/>
  <c r="V438" i="16"/>
  <c r="W438" i="16"/>
  <c r="X438" i="16"/>
  <c r="Y438" i="16"/>
  <c r="U437" i="16"/>
  <c r="V437" i="16"/>
  <c r="W437" i="16"/>
  <c r="X437" i="16"/>
  <c r="Y437" i="16"/>
  <c r="U436" i="16"/>
  <c r="V436" i="16"/>
  <c r="W436" i="16"/>
  <c r="X436" i="16"/>
  <c r="Y436" i="16"/>
  <c r="U435" i="16"/>
  <c r="V435" i="16"/>
  <c r="W435" i="16"/>
  <c r="X435" i="16"/>
  <c r="Y435" i="16"/>
  <c r="U433" i="16"/>
  <c r="V433" i="16"/>
  <c r="W433" i="16"/>
  <c r="X433" i="16"/>
  <c r="Y433" i="16"/>
  <c r="U432" i="16"/>
  <c r="V432" i="16"/>
  <c r="W432" i="16"/>
  <c r="X432" i="16"/>
  <c r="Y432" i="16"/>
  <c r="U431" i="16"/>
  <c r="V431" i="16"/>
  <c r="W431" i="16"/>
  <c r="X431" i="16"/>
  <c r="Y431" i="16"/>
  <c r="U430" i="16"/>
  <c r="V430" i="16"/>
  <c r="W430" i="16"/>
  <c r="X430" i="16"/>
  <c r="Y430" i="16"/>
  <c r="U429" i="16"/>
  <c r="V429" i="16"/>
  <c r="W429" i="16"/>
  <c r="X429" i="16"/>
  <c r="Y429" i="16"/>
  <c r="U427" i="16"/>
  <c r="V427" i="16"/>
  <c r="W427" i="16"/>
  <c r="X427" i="16"/>
  <c r="Y427" i="16"/>
  <c r="U426" i="16"/>
  <c r="V426" i="16"/>
  <c r="W426" i="16"/>
  <c r="X426" i="16"/>
  <c r="Y426" i="16"/>
  <c r="U425" i="16"/>
  <c r="V425" i="16"/>
  <c r="W425" i="16"/>
  <c r="X425" i="16"/>
  <c r="Y425" i="16"/>
  <c r="U424" i="16"/>
  <c r="V424" i="16"/>
  <c r="W424" i="16"/>
  <c r="X424" i="16"/>
  <c r="Y424" i="16"/>
  <c r="U423" i="16"/>
  <c r="V423" i="16"/>
  <c r="W423" i="16"/>
  <c r="X423" i="16"/>
  <c r="Y423" i="16"/>
  <c r="U421" i="16"/>
  <c r="V421" i="16"/>
  <c r="W421" i="16"/>
  <c r="X421" i="16"/>
  <c r="Y421" i="16"/>
  <c r="U420" i="16"/>
  <c r="V420" i="16"/>
  <c r="W420" i="16"/>
  <c r="X420" i="16"/>
  <c r="Y420" i="16"/>
  <c r="U419" i="16"/>
  <c r="V419" i="16"/>
  <c r="W419" i="16"/>
  <c r="X419" i="16"/>
  <c r="Y419" i="16"/>
  <c r="U418" i="16"/>
  <c r="V418" i="16"/>
  <c r="W418" i="16"/>
  <c r="X418" i="16"/>
  <c r="Y418" i="16"/>
  <c r="U417" i="16"/>
  <c r="V417" i="16"/>
  <c r="W417" i="16"/>
  <c r="X417" i="16"/>
  <c r="Y417" i="16"/>
  <c r="U415" i="16"/>
  <c r="V415" i="16"/>
  <c r="W415" i="16"/>
  <c r="X415" i="16"/>
  <c r="Y415" i="16"/>
  <c r="U414" i="16"/>
  <c r="V414" i="16"/>
  <c r="W414" i="16"/>
  <c r="X414" i="16"/>
  <c r="Y414" i="16"/>
  <c r="U413" i="16"/>
  <c r="V413" i="16"/>
  <c r="W413" i="16"/>
  <c r="X413" i="16"/>
  <c r="Y413" i="16"/>
  <c r="U412" i="16"/>
  <c r="V412" i="16"/>
  <c r="W412" i="16"/>
  <c r="X412" i="16"/>
  <c r="Y412" i="16"/>
  <c r="U411" i="16"/>
  <c r="V411" i="16"/>
  <c r="W411" i="16"/>
  <c r="X411" i="16"/>
  <c r="Y411" i="16"/>
  <c r="U409" i="16"/>
  <c r="V409" i="16"/>
  <c r="W409" i="16"/>
  <c r="X409" i="16"/>
  <c r="Y409" i="16"/>
  <c r="U408" i="16"/>
  <c r="V408" i="16"/>
  <c r="W408" i="16"/>
  <c r="X408" i="16"/>
  <c r="Y408" i="16"/>
  <c r="U407" i="16"/>
  <c r="V407" i="16"/>
  <c r="W407" i="16"/>
  <c r="X407" i="16"/>
  <c r="Y407" i="16"/>
  <c r="U406" i="16"/>
  <c r="V406" i="16"/>
  <c r="W406" i="16"/>
  <c r="X406" i="16"/>
  <c r="Y406" i="16"/>
  <c r="U405" i="16"/>
  <c r="V405" i="16"/>
  <c r="W405" i="16"/>
  <c r="X405" i="16"/>
  <c r="Y405" i="16"/>
  <c r="U400" i="16"/>
  <c r="V400" i="16"/>
  <c r="W400" i="16"/>
  <c r="X400" i="16"/>
  <c r="Y400" i="16"/>
  <c r="U399" i="16"/>
  <c r="V399" i="16"/>
  <c r="W399" i="16"/>
  <c r="X399" i="16"/>
  <c r="Y399" i="16"/>
  <c r="U398" i="16"/>
  <c r="V398" i="16"/>
  <c r="W398" i="16"/>
  <c r="X398" i="16"/>
  <c r="Y398" i="16"/>
  <c r="U397" i="16"/>
  <c r="V397" i="16"/>
  <c r="W397" i="16"/>
  <c r="X397" i="16"/>
  <c r="Y397" i="16"/>
  <c r="U396" i="16"/>
  <c r="V396" i="16"/>
  <c r="W396" i="16"/>
  <c r="X396" i="16"/>
  <c r="Y396" i="16"/>
  <c r="U394" i="16"/>
  <c r="V394" i="16"/>
  <c r="W394" i="16"/>
  <c r="X394" i="16"/>
  <c r="Y394" i="16"/>
  <c r="U393" i="16"/>
  <c r="V393" i="16"/>
  <c r="W393" i="16"/>
  <c r="X393" i="16"/>
  <c r="Y393" i="16"/>
  <c r="U392" i="16"/>
  <c r="V392" i="16"/>
  <c r="W392" i="16"/>
  <c r="X392" i="16"/>
  <c r="Y392" i="16"/>
  <c r="U391" i="16"/>
  <c r="V391" i="16"/>
  <c r="W391" i="16"/>
  <c r="X391" i="16"/>
  <c r="Y391" i="16"/>
  <c r="U390" i="16"/>
  <c r="V390" i="16"/>
  <c r="W390" i="16"/>
  <c r="X390" i="16"/>
  <c r="Y390" i="16"/>
  <c r="U388" i="16"/>
  <c r="V388" i="16"/>
  <c r="W388" i="16"/>
  <c r="X388" i="16"/>
  <c r="Y388" i="16"/>
  <c r="U387" i="16"/>
  <c r="V387" i="16"/>
  <c r="W387" i="16"/>
  <c r="X387" i="16"/>
  <c r="Y387" i="16"/>
  <c r="U386" i="16"/>
  <c r="V386" i="16"/>
  <c r="W386" i="16"/>
  <c r="X386" i="16"/>
  <c r="Y386" i="16"/>
  <c r="U385" i="16"/>
  <c r="V385" i="16"/>
  <c r="W385" i="16"/>
  <c r="X385" i="16"/>
  <c r="Y385" i="16"/>
  <c r="U384" i="16"/>
  <c r="V384" i="16"/>
  <c r="W384" i="16"/>
  <c r="X384" i="16"/>
  <c r="Y384" i="16"/>
  <c r="U382" i="16"/>
  <c r="V382" i="16"/>
  <c r="W382" i="16"/>
  <c r="X382" i="16"/>
  <c r="Y382" i="16"/>
  <c r="U381" i="16"/>
  <c r="V381" i="16"/>
  <c r="W381" i="16"/>
  <c r="X381" i="16"/>
  <c r="Y381" i="16"/>
  <c r="U380" i="16"/>
  <c r="V380" i="16"/>
  <c r="W380" i="16"/>
  <c r="X380" i="16"/>
  <c r="Y380" i="16"/>
  <c r="U379" i="16"/>
  <c r="V379" i="16"/>
  <c r="W379" i="16"/>
  <c r="X379" i="16"/>
  <c r="Y379" i="16"/>
  <c r="U378" i="16"/>
  <c r="V378" i="16"/>
  <c r="W378" i="16"/>
  <c r="X378" i="16"/>
  <c r="Y378" i="16"/>
  <c r="U376" i="16"/>
  <c r="V376" i="16"/>
  <c r="W376" i="16"/>
  <c r="X376" i="16"/>
  <c r="Y376" i="16"/>
  <c r="U375" i="16"/>
  <c r="V375" i="16"/>
  <c r="W375" i="16"/>
  <c r="X375" i="16"/>
  <c r="Y375" i="16"/>
  <c r="U374" i="16"/>
  <c r="V374" i="16"/>
  <c r="W374" i="16"/>
  <c r="X374" i="16"/>
  <c r="Y374" i="16"/>
  <c r="U373" i="16"/>
  <c r="V373" i="16"/>
  <c r="W373" i="16"/>
  <c r="X373" i="16"/>
  <c r="Y373" i="16"/>
  <c r="U372" i="16"/>
  <c r="V372" i="16"/>
  <c r="W372" i="16"/>
  <c r="X372" i="16"/>
  <c r="Y372" i="16"/>
  <c r="U370" i="16"/>
  <c r="V370" i="16"/>
  <c r="W370" i="16"/>
  <c r="X370" i="16"/>
  <c r="Y370" i="16"/>
  <c r="U369" i="16"/>
  <c r="V369" i="16"/>
  <c r="W369" i="16"/>
  <c r="X369" i="16"/>
  <c r="Y369" i="16"/>
  <c r="U368" i="16"/>
  <c r="V368" i="16"/>
  <c r="W368" i="16"/>
  <c r="X368" i="16"/>
  <c r="Y368" i="16"/>
  <c r="U367" i="16"/>
  <c r="V367" i="16"/>
  <c r="W367" i="16"/>
  <c r="X367" i="16"/>
  <c r="Y367" i="16"/>
  <c r="U366" i="16"/>
  <c r="V366" i="16"/>
  <c r="W366" i="16"/>
  <c r="X366" i="16"/>
  <c r="Y366" i="16"/>
  <c r="U364" i="16"/>
  <c r="V364" i="16"/>
  <c r="W364" i="16"/>
  <c r="X364" i="16"/>
  <c r="Y364" i="16"/>
  <c r="U363" i="16"/>
  <c r="V363" i="16"/>
  <c r="W363" i="16"/>
  <c r="X363" i="16"/>
  <c r="Y363" i="16"/>
  <c r="U362" i="16"/>
  <c r="V362" i="16"/>
  <c r="W362" i="16"/>
  <c r="X362" i="16"/>
  <c r="Y362" i="16"/>
  <c r="U361" i="16"/>
  <c r="V361" i="16"/>
  <c r="W361" i="16"/>
  <c r="X361" i="16"/>
  <c r="Y361" i="16"/>
  <c r="U360" i="16"/>
  <c r="V360" i="16"/>
  <c r="W360" i="16"/>
  <c r="X360" i="16"/>
  <c r="Y360" i="16"/>
  <c r="U86" i="16"/>
  <c r="V86" i="16"/>
  <c r="W86" i="16"/>
  <c r="X86" i="16"/>
  <c r="Y86" i="16"/>
  <c r="U87" i="16"/>
  <c r="V87" i="16"/>
  <c r="W87" i="16"/>
  <c r="X87" i="16"/>
  <c r="Y87" i="16"/>
  <c r="U88" i="16"/>
  <c r="V88" i="16"/>
  <c r="W88" i="16"/>
  <c r="X88" i="16"/>
  <c r="Y88" i="16"/>
  <c r="U89" i="16"/>
  <c r="V89" i="16"/>
  <c r="W89" i="16"/>
  <c r="X89" i="16"/>
  <c r="Y89" i="16"/>
  <c r="U90" i="16"/>
  <c r="V90" i="16"/>
  <c r="W90" i="16"/>
  <c r="X90" i="16"/>
  <c r="Y90" i="16"/>
  <c r="U26" i="16"/>
  <c r="V26" i="16"/>
  <c r="W26" i="16"/>
  <c r="X26" i="16"/>
  <c r="Y26" i="16"/>
  <c r="U27" i="16"/>
  <c r="V27" i="16"/>
  <c r="W27" i="16"/>
  <c r="X27" i="16"/>
  <c r="Y27" i="16"/>
  <c r="U28" i="16"/>
  <c r="V28" i="16"/>
  <c r="W28" i="16"/>
  <c r="X28" i="16"/>
  <c r="Y28" i="16"/>
  <c r="U29" i="16"/>
  <c r="V29" i="16"/>
  <c r="W29" i="16"/>
  <c r="X29" i="16"/>
  <c r="Y29" i="16"/>
  <c r="U30" i="16"/>
  <c r="V30" i="16"/>
  <c r="W30" i="16"/>
  <c r="X30" i="16"/>
  <c r="Y30" i="16"/>
  <c r="U38" i="16"/>
  <c r="V38" i="16"/>
  <c r="W38" i="16"/>
  <c r="X38" i="16"/>
  <c r="Y38" i="16"/>
  <c r="U39" i="16"/>
  <c r="V39" i="16"/>
  <c r="W39" i="16"/>
  <c r="X39" i="16"/>
  <c r="Y39" i="16"/>
  <c r="U40" i="16"/>
  <c r="V40" i="16"/>
  <c r="W40" i="16"/>
  <c r="X40" i="16"/>
  <c r="Y40" i="16"/>
  <c r="U41" i="16"/>
  <c r="V41" i="16"/>
  <c r="W41" i="16"/>
  <c r="X41" i="16"/>
  <c r="Y41" i="16"/>
  <c r="U42" i="16"/>
  <c r="V42" i="16"/>
  <c r="W42" i="16"/>
  <c r="X42" i="16"/>
  <c r="Y42" i="16"/>
  <c r="U50" i="16"/>
  <c r="V50" i="16"/>
  <c r="W50" i="16"/>
  <c r="X50" i="16"/>
  <c r="Y50" i="16"/>
  <c r="U51" i="16"/>
  <c r="V51" i="16"/>
  <c r="W51" i="16"/>
  <c r="X51" i="16"/>
  <c r="Y51" i="16"/>
  <c r="U52" i="16"/>
  <c r="V52" i="16"/>
  <c r="W52" i="16"/>
  <c r="X52" i="16"/>
  <c r="Y52" i="16"/>
  <c r="U53" i="16"/>
  <c r="V53" i="16"/>
  <c r="W53" i="16"/>
  <c r="X53" i="16"/>
  <c r="Y53" i="16"/>
  <c r="U54" i="16"/>
  <c r="V54" i="16"/>
  <c r="W54" i="16"/>
  <c r="X54" i="16"/>
  <c r="Y54" i="16"/>
  <c r="X167" i="13"/>
  <c r="S167" i="13"/>
  <c r="S166" i="13"/>
  <c r="S165" i="13"/>
  <c r="S164" i="13"/>
  <c r="S163" i="13"/>
  <c r="X162" i="13"/>
  <c r="S162" i="13"/>
  <c r="S161" i="13"/>
  <c r="S160" i="13"/>
  <c r="S159" i="13"/>
  <c r="S158" i="13"/>
  <c r="X157" i="13"/>
  <c r="S157" i="13"/>
  <c r="S156" i="13"/>
  <c r="S155" i="13"/>
  <c r="S154" i="13"/>
  <c r="S153" i="13"/>
  <c r="S152" i="13"/>
  <c r="S151" i="13"/>
  <c r="S150" i="13"/>
  <c r="S149" i="13"/>
  <c r="S148" i="13"/>
  <c r="X147" i="13"/>
  <c r="S147" i="13"/>
  <c r="S146" i="13"/>
  <c r="S145" i="13"/>
  <c r="S144" i="13"/>
  <c r="S143" i="13"/>
  <c r="X142" i="13"/>
  <c r="S142" i="13"/>
  <c r="S141" i="13"/>
  <c r="S140" i="13"/>
  <c r="S139" i="13"/>
  <c r="S138" i="13"/>
  <c r="S237" i="13"/>
  <c r="S233" i="13"/>
  <c r="S234" i="13"/>
  <c r="S235" i="13"/>
  <c r="S236" i="13"/>
  <c r="AE193" i="13"/>
  <c r="AB179" i="13"/>
  <c r="AF193" i="13"/>
  <c r="X237" i="13"/>
  <c r="S186" i="13"/>
  <c r="T186" i="13"/>
  <c r="U186" i="13"/>
  <c r="V186" i="13"/>
  <c r="W186" i="13"/>
  <c r="AE190" i="13"/>
  <c r="AF190" i="13"/>
  <c r="AE187" i="13"/>
  <c r="AF187" i="13"/>
  <c r="AE184" i="13"/>
  <c r="AF184" i="13"/>
  <c r="AE175" i="13"/>
  <c r="AE178" i="13"/>
  <c r="AE181" i="13"/>
  <c r="X232" i="13"/>
  <c r="S232" i="13"/>
  <c r="S231" i="13"/>
  <c r="S230" i="13"/>
  <c r="S229" i="13"/>
  <c r="S228" i="13"/>
  <c r="X222" i="13"/>
  <c r="S222" i="13"/>
  <c r="S221" i="13"/>
  <c r="S220" i="13"/>
  <c r="S219" i="13"/>
  <c r="S218" i="13"/>
  <c r="X227" i="13"/>
  <c r="S227" i="13"/>
  <c r="S226" i="13"/>
  <c r="S225" i="13"/>
  <c r="S224" i="13"/>
  <c r="S223" i="13"/>
  <c r="X217" i="13"/>
  <c r="S217" i="13"/>
  <c r="S216" i="13"/>
  <c r="S215" i="13"/>
  <c r="S214" i="13"/>
  <c r="S213" i="13"/>
  <c r="AF181" i="13"/>
  <c r="AF175" i="13"/>
  <c r="AF178" i="13"/>
  <c r="X212" i="13"/>
  <c r="S212" i="13"/>
  <c r="S211" i="13"/>
  <c r="S210" i="13"/>
  <c r="S209" i="13"/>
  <c r="S208" i="13"/>
  <c r="U225" i="16"/>
  <c r="V225" i="16"/>
  <c r="W225" i="16"/>
  <c r="X225" i="16"/>
  <c r="Y225" i="16"/>
  <c r="U224" i="16"/>
  <c r="V224" i="16"/>
  <c r="W224" i="16"/>
  <c r="X224" i="16"/>
  <c r="Y224" i="16"/>
  <c r="U223" i="16"/>
  <c r="V223" i="16"/>
  <c r="W223" i="16"/>
  <c r="X223" i="16"/>
  <c r="Y223" i="16"/>
  <c r="U222" i="16"/>
  <c r="V222" i="16"/>
  <c r="W222" i="16"/>
  <c r="X222" i="16"/>
  <c r="Y222" i="16"/>
  <c r="U221" i="16"/>
  <c r="V221" i="16"/>
  <c r="W221" i="16"/>
  <c r="X221" i="16"/>
  <c r="Y221" i="16"/>
  <c r="U165" i="16"/>
  <c r="V165" i="16"/>
  <c r="W165" i="16"/>
  <c r="X165" i="16"/>
  <c r="Y165" i="16"/>
  <c r="U164" i="16"/>
  <c r="V164" i="16"/>
  <c r="W164" i="16"/>
  <c r="X164" i="16"/>
  <c r="Y164" i="16"/>
  <c r="U163" i="16"/>
  <c r="V163" i="16"/>
  <c r="W163" i="16"/>
  <c r="X163" i="16"/>
  <c r="Y163" i="16"/>
  <c r="U162" i="16"/>
  <c r="V162" i="16"/>
  <c r="W162" i="16"/>
  <c r="X162" i="16"/>
  <c r="Y162" i="16"/>
  <c r="U161" i="16"/>
  <c r="V161" i="16"/>
  <c r="W161" i="16"/>
  <c r="X161" i="16"/>
  <c r="Y161" i="16"/>
  <c r="U177" i="16"/>
  <c r="V177" i="16"/>
  <c r="W177" i="16"/>
  <c r="X177" i="16"/>
  <c r="Y177" i="16"/>
  <c r="U176" i="16"/>
  <c r="V176" i="16"/>
  <c r="W176" i="16"/>
  <c r="X176" i="16"/>
  <c r="Y176" i="16"/>
  <c r="U175" i="16"/>
  <c r="V175" i="16"/>
  <c r="W175" i="16"/>
  <c r="X175" i="16"/>
  <c r="Y175" i="16"/>
  <c r="U174" i="16"/>
  <c r="V174" i="16"/>
  <c r="W174" i="16"/>
  <c r="X174" i="16"/>
  <c r="Y174" i="16"/>
  <c r="U173" i="16"/>
  <c r="V173" i="16"/>
  <c r="W173" i="16"/>
  <c r="X173" i="16"/>
  <c r="Y173" i="16"/>
  <c r="U189" i="16"/>
  <c r="V189" i="16"/>
  <c r="W189" i="16"/>
  <c r="X189" i="16"/>
  <c r="Y189" i="16"/>
  <c r="U188" i="16"/>
  <c r="V188" i="16"/>
  <c r="W188" i="16"/>
  <c r="X188" i="16"/>
  <c r="Y188" i="16"/>
  <c r="U187" i="16"/>
  <c r="V187" i="16"/>
  <c r="W187" i="16"/>
  <c r="X187" i="16"/>
  <c r="Y187" i="16"/>
  <c r="U186" i="16"/>
  <c r="V186" i="16"/>
  <c r="W186" i="16"/>
  <c r="X186" i="16"/>
  <c r="Y186" i="16"/>
  <c r="U185" i="16"/>
  <c r="V185" i="16"/>
  <c r="W185" i="16"/>
  <c r="X185" i="16"/>
  <c r="Y185" i="16"/>
  <c r="V216" i="16"/>
  <c r="W216" i="16"/>
  <c r="X216" i="16"/>
  <c r="Y216" i="16"/>
  <c r="V217" i="16"/>
  <c r="W217" i="16"/>
  <c r="X217" i="16"/>
  <c r="Y217" i="16"/>
  <c r="V218" i="16"/>
  <c r="W218" i="16"/>
  <c r="X218" i="16"/>
  <c r="Y218" i="16"/>
  <c r="V219" i="16"/>
  <c r="W219" i="16"/>
  <c r="X219" i="16"/>
  <c r="Y219" i="16"/>
  <c r="V215" i="16"/>
  <c r="W215" i="16"/>
  <c r="X215" i="16"/>
  <c r="Y215" i="16"/>
  <c r="U157" i="16"/>
  <c r="V157" i="16"/>
  <c r="W157" i="16"/>
  <c r="X157" i="16"/>
  <c r="Y157" i="16"/>
  <c r="U156" i="16"/>
  <c r="V156" i="16"/>
  <c r="W156" i="16"/>
  <c r="X156" i="16"/>
  <c r="Y156" i="16"/>
  <c r="U155" i="16"/>
  <c r="V155" i="16"/>
  <c r="W155" i="16"/>
  <c r="X155" i="16"/>
  <c r="Y155" i="16"/>
  <c r="U154" i="16"/>
  <c r="V154" i="16"/>
  <c r="W154" i="16"/>
  <c r="X154" i="16"/>
  <c r="Y154" i="16"/>
  <c r="U153" i="16"/>
  <c r="V153" i="16"/>
  <c r="W153" i="16"/>
  <c r="X153" i="16"/>
  <c r="Y153" i="16"/>
  <c r="U97" i="16"/>
  <c r="V97" i="16"/>
  <c r="W97" i="16"/>
  <c r="X97" i="16"/>
  <c r="Y97" i="16"/>
  <c r="U96" i="16"/>
  <c r="V96" i="16"/>
  <c r="W96" i="16"/>
  <c r="X96" i="16"/>
  <c r="Y96" i="16"/>
  <c r="U95" i="16"/>
  <c r="V95" i="16"/>
  <c r="W95" i="16"/>
  <c r="X95" i="16"/>
  <c r="Y95" i="16"/>
  <c r="U94" i="16"/>
  <c r="V94" i="16"/>
  <c r="W94" i="16"/>
  <c r="X94" i="16"/>
  <c r="Y94" i="16"/>
  <c r="U93" i="16"/>
  <c r="V93" i="16"/>
  <c r="W93" i="16"/>
  <c r="X93" i="16"/>
  <c r="Y93" i="16"/>
  <c r="U109" i="16"/>
  <c r="V109" i="16"/>
  <c r="W109" i="16"/>
  <c r="X109" i="16"/>
  <c r="Y109" i="16"/>
  <c r="U108" i="16"/>
  <c r="V108" i="16"/>
  <c r="W108" i="16"/>
  <c r="X108" i="16"/>
  <c r="Y108" i="16"/>
  <c r="U107" i="16"/>
  <c r="V107" i="16"/>
  <c r="W107" i="16"/>
  <c r="X107" i="16"/>
  <c r="Y107" i="16"/>
  <c r="U106" i="16"/>
  <c r="V106" i="16"/>
  <c r="W106" i="16"/>
  <c r="X106" i="16"/>
  <c r="Y106" i="16"/>
  <c r="U105" i="16"/>
  <c r="V105" i="16"/>
  <c r="W105" i="16"/>
  <c r="X105" i="16"/>
  <c r="Y105" i="16"/>
  <c r="U121" i="16"/>
  <c r="V121" i="16"/>
  <c r="W121" i="16"/>
  <c r="X121" i="16"/>
  <c r="Y121" i="16"/>
  <c r="U120" i="16"/>
  <c r="V120" i="16"/>
  <c r="W120" i="16"/>
  <c r="X120" i="16"/>
  <c r="Y120" i="16"/>
  <c r="U119" i="16"/>
  <c r="V119" i="16"/>
  <c r="W119" i="16"/>
  <c r="X119" i="16"/>
  <c r="Y119" i="16"/>
  <c r="U118" i="16"/>
  <c r="V118" i="16"/>
  <c r="W118" i="16"/>
  <c r="X118" i="16"/>
  <c r="Y118" i="16"/>
  <c r="U117" i="16"/>
  <c r="V117" i="16"/>
  <c r="W117" i="16"/>
  <c r="X117" i="16"/>
  <c r="Y117" i="16"/>
  <c r="U130" i="16"/>
  <c r="V130" i="16"/>
  <c r="W130" i="16"/>
  <c r="X130" i="16"/>
  <c r="Y130" i="16"/>
  <c r="U131" i="16"/>
  <c r="V131" i="16"/>
  <c r="W131" i="16"/>
  <c r="X131" i="16"/>
  <c r="Y131" i="16"/>
  <c r="U132" i="16"/>
  <c r="V132" i="16"/>
  <c r="W132" i="16"/>
  <c r="X132" i="16"/>
  <c r="Y132" i="16"/>
  <c r="U133" i="16"/>
  <c r="V133" i="16"/>
  <c r="W133" i="16"/>
  <c r="X133" i="16"/>
  <c r="Y133" i="16"/>
  <c r="U129" i="16"/>
  <c r="V129" i="16"/>
  <c r="W129" i="16"/>
  <c r="X129" i="16"/>
  <c r="Y129" i="16"/>
  <c r="D28" i="16"/>
  <c r="H53" i="16"/>
  <c r="F53" i="16"/>
  <c r="G53" i="16"/>
  <c r="H52" i="16"/>
  <c r="F52" i="16"/>
  <c r="G52" i="16"/>
  <c r="H51" i="16"/>
  <c r="F51" i="16"/>
  <c r="G51" i="16"/>
  <c r="H50" i="16"/>
  <c r="F50" i="16"/>
  <c r="G50" i="16"/>
  <c r="H49" i="16"/>
  <c r="F49" i="16"/>
  <c r="G49" i="16"/>
  <c r="H48" i="16"/>
  <c r="F48" i="16"/>
  <c r="G48" i="16"/>
  <c r="H47" i="16"/>
  <c r="F47" i="16"/>
  <c r="G47" i="16"/>
  <c r="H46" i="16"/>
  <c r="F46" i="16"/>
  <c r="G46" i="16"/>
  <c r="H45" i="16"/>
  <c r="F45" i="16"/>
  <c r="G45" i="16"/>
  <c r="H44" i="16"/>
  <c r="F44" i="16"/>
  <c r="G44" i="16"/>
  <c r="H41" i="16"/>
  <c r="F41" i="16"/>
  <c r="G41" i="16"/>
  <c r="H40" i="16"/>
  <c r="F40" i="16"/>
  <c r="G40" i="16"/>
  <c r="H39" i="16"/>
  <c r="F39" i="16"/>
  <c r="G39" i="16"/>
  <c r="H38" i="16"/>
  <c r="F38" i="16"/>
  <c r="G38" i="16"/>
  <c r="H37" i="16"/>
  <c r="F37" i="16"/>
  <c r="G37" i="16"/>
  <c r="H36" i="16"/>
  <c r="F36" i="16"/>
  <c r="G36" i="16"/>
  <c r="H35" i="16"/>
  <c r="F35" i="16"/>
  <c r="G35" i="16"/>
  <c r="H34" i="16"/>
  <c r="F34" i="16"/>
  <c r="G34" i="16"/>
  <c r="H33" i="16"/>
  <c r="F33" i="16"/>
  <c r="G33" i="16"/>
  <c r="H32" i="16"/>
  <c r="F32" i="16"/>
  <c r="G32" i="16"/>
  <c r="H29" i="16"/>
  <c r="F29" i="16"/>
  <c r="G29" i="16"/>
  <c r="H28" i="16"/>
  <c r="F28" i="16"/>
  <c r="G28" i="16"/>
  <c r="H27" i="16"/>
  <c r="F27" i="16"/>
  <c r="G27" i="16"/>
  <c r="H26" i="16"/>
  <c r="F26" i="16"/>
  <c r="G26" i="16"/>
  <c r="H25" i="16"/>
  <c r="F25" i="16"/>
  <c r="G25" i="16"/>
  <c r="H24" i="16"/>
  <c r="F24" i="16"/>
  <c r="G24" i="16"/>
  <c r="H23" i="16"/>
  <c r="F23" i="16"/>
  <c r="G23" i="16"/>
  <c r="H22" i="16"/>
  <c r="F22" i="16"/>
  <c r="G22" i="16"/>
  <c r="H21" i="16"/>
  <c r="F21" i="16"/>
  <c r="G21" i="16"/>
  <c r="H20" i="16"/>
  <c r="F20" i="16"/>
  <c r="G20" i="16"/>
  <c r="H17" i="16"/>
  <c r="F17" i="16"/>
  <c r="G17" i="16"/>
  <c r="H16" i="16"/>
  <c r="F16" i="16"/>
  <c r="G16" i="16"/>
  <c r="H15" i="16"/>
  <c r="F15" i="16"/>
  <c r="G15" i="16"/>
  <c r="H14" i="16"/>
  <c r="F14" i="16"/>
  <c r="G14" i="16"/>
  <c r="H13" i="16"/>
  <c r="F13" i="16"/>
  <c r="G13" i="16"/>
  <c r="H12" i="16"/>
  <c r="F12" i="16"/>
  <c r="G12" i="16"/>
  <c r="H11" i="16"/>
  <c r="F11" i="16"/>
  <c r="G11" i="16"/>
  <c r="H10" i="16"/>
  <c r="F10" i="16"/>
  <c r="G10" i="16"/>
  <c r="H9" i="16"/>
  <c r="F9" i="16"/>
  <c r="G9" i="16"/>
  <c r="H8" i="16"/>
  <c r="F8" i="16"/>
  <c r="G8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29" i="16"/>
  <c r="D29" i="16"/>
  <c r="E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T309" i="13"/>
  <c r="U309" i="13"/>
  <c r="T310" i="13"/>
  <c r="U310" i="13"/>
  <c r="T311" i="13"/>
  <c r="U311" i="13"/>
  <c r="T312" i="13"/>
  <c r="U312" i="13"/>
  <c r="T308" i="13"/>
  <c r="U308" i="13"/>
  <c r="T378" i="12"/>
  <c r="U378" i="12"/>
  <c r="V378" i="12"/>
  <c r="W378" i="12"/>
  <c r="X378" i="12"/>
  <c r="T379" i="12"/>
  <c r="U379" i="12"/>
  <c r="V379" i="12"/>
  <c r="W379" i="12"/>
  <c r="X379" i="12"/>
  <c r="T380" i="12"/>
  <c r="U380" i="12"/>
  <c r="V380" i="12"/>
  <c r="W380" i="12"/>
  <c r="X380" i="12"/>
  <c r="T381" i="12"/>
  <c r="U381" i="12"/>
  <c r="V381" i="12"/>
  <c r="W381" i="12"/>
  <c r="X381" i="12"/>
  <c r="T382" i="12"/>
  <c r="U382" i="12"/>
  <c r="V382" i="12"/>
  <c r="W382" i="12"/>
  <c r="X382" i="12"/>
  <c r="T423" i="12"/>
  <c r="U423" i="12"/>
  <c r="V423" i="12"/>
  <c r="W423" i="12"/>
  <c r="X423" i="12"/>
  <c r="T424" i="12"/>
  <c r="U424" i="12"/>
  <c r="V424" i="12"/>
  <c r="W424" i="12"/>
  <c r="X424" i="12"/>
  <c r="T425" i="12"/>
  <c r="U425" i="12"/>
  <c r="V425" i="12"/>
  <c r="W425" i="12"/>
  <c r="X425" i="12"/>
  <c r="T426" i="12"/>
  <c r="U426" i="12"/>
  <c r="V426" i="12"/>
  <c r="W426" i="12"/>
  <c r="X426" i="12"/>
  <c r="T427" i="12"/>
  <c r="U427" i="12"/>
  <c r="V427" i="12"/>
  <c r="W427" i="12"/>
  <c r="X427" i="12"/>
  <c r="T468" i="12"/>
  <c r="U468" i="12"/>
  <c r="V468" i="12"/>
  <c r="W468" i="12"/>
  <c r="X468" i="12"/>
  <c r="T469" i="12"/>
  <c r="U469" i="12"/>
  <c r="V469" i="12"/>
  <c r="W469" i="12"/>
  <c r="X469" i="12"/>
  <c r="T470" i="12"/>
  <c r="U470" i="12"/>
  <c r="V470" i="12"/>
  <c r="W470" i="12"/>
  <c r="X470" i="12"/>
  <c r="T471" i="12"/>
  <c r="U471" i="12"/>
  <c r="V471" i="12"/>
  <c r="W471" i="12"/>
  <c r="X471" i="12"/>
  <c r="T472" i="12"/>
  <c r="U472" i="12"/>
  <c r="V472" i="12"/>
  <c r="W472" i="12"/>
  <c r="X472" i="12"/>
  <c r="T512" i="12"/>
  <c r="U512" i="12"/>
  <c r="V512" i="12"/>
  <c r="W512" i="12"/>
  <c r="X512" i="12"/>
  <c r="T513" i="12"/>
  <c r="U513" i="12"/>
  <c r="V513" i="12"/>
  <c r="W513" i="12"/>
  <c r="X513" i="12"/>
  <c r="T514" i="12"/>
  <c r="U514" i="12"/>
  <c r="V514" i="12"/>
  <c r="W514" i="12"/>
  <c r="X514" i="12"/>
  <c r="T515" i="12"/>
  <c r="U515" i="12"/>
  <c r="V515" i="12"/>
  <c r="W515" i="12"/>
  <c r="X515" i="12"/>
  <c r="T516" i="12"/>
  <c r="U516" i="12"/>
  <c r="V516" i="12"/>
  <c r="W516" i="12"/>
  <c r="X516" i="12"/>
  <c r="T353" i="13"/>
  <c r="U353" i="13"/>
  <c r="T354" i="13"/>
  <c r="U354" i="13"/>
  <c r="T355" i="13"/>
  <c r="U355" i="13"/>
  <c r="T356" i="13"/>
  <c r="U356" i="13"/>
  <c r="T352" i="13"/>
  <c r="U352" i="13"/>
  <c r="S204" i="10"/>
  <c r="T204" i="10"/>
  <c r="U204" i="10"/>
  <c r="V204" i="10"/>
  <c r="W204" i="10"/>
  <c r="S205" i="10"/>
  <c r="T205" i="10"/>
  <c r="U205" i="10"/>
  <c r="V205" i="10"/>
  <c r="W205" i="10"/>
  <c r="S206" i="10"/>
  <c r="T206" i="10"/>
  <c r="U206" i="10"/>
  <c r="V206" i="10"/>
  <c r="W206" i="10"/>
  <c r="S207" i="10"/>
  <c r="T207" i="10"/>
  <c r="U207" i="10"/>
  <c r="V207" i="10"/>
  <c r="W207" i="10"/>
  <c r="S208" i="10"/>
  <c r="T208" i="10"/>
  <c r="U208" i="10"/>
  <c r="V208" i="10"/>
  <c r="W208" i="10"/>
  <c r="D7" i="3"/>
  <c r="D8" i="3"/>
  <c r="D9" i="3"/>
  <c r="D10" i="3"/>
  <c r="D11" i="3"/>
  <c r="D12" i="3"/>
  <c r="D13" i="3"/>
  <c r="D14" i="3"/>
  <c r="D15" i="3"/>
  <c r="D6" i="3"/>
  <c r="R239" i="3"/>
  <c r="S239" i="3"/>
  <c r="T239" i="3"/>
  <c r="U239" i="3"/>
  <c r="V239" i="3"/>
  <c r="R240" i="3"/>
  <c r="S240" i="3"/>
  <c r="T240" i="3"/>
  <c r="U240" i="3"/>
  <c r="V240" i="3"/>
  <c r="R241" i="3"/>
  <c r="S241" i="3"/>
  <c r="T241" i="3"/>
  <c r="U241" i="3"/>
  <c r="V241" i="3"/>
  <c r="R242" i="3"/>
  <c r="S242" i="3"/>
  <c r="T242" i="3"/>
  <c r="U242" i="3"/>
  <c r="V242" i="3"/>
  <c r="R243" i="3"/>
  <c r="S243" i="3"/>
  <c r="T243" i="3"/>
  <c r="U243" i="3"/>
  <c r="V243" i="3"/>
  <c r="Q256" i="9"/>
  <c r="R256" i="9"/>
  <c r="S256" i="9"/>
  <c r="T256" i="9"/>
  <c r="S212" i="9"/>
  <c r="T212" i="9"/>
  <c r="U212" i="9"/>
  <c r="V212" i="9"/>
  <c r="W212" i="9"/>
  <c r="S213" i="9"/>
  <c r="T213" i="9"/>
  <c r="U213" i="9"/>
  <c r="V213" i="9"/>
  <c r="W213" i="9"/>
  <c r="S214" i="9"/>
  <c r="T214" i="9"/>
  <c r="U214" i="9"/>
  <c r="V214" i="9"/>
  <c r="W214" i="9"/>
  <c r="S215" i="9"/>
  <c r="T215" i="9"/>
  <c r="U215" i="9"/>
  <c r="V215" i="9"/>
  <c r="W215" i="9"/>
  <c r="S216" i="9"/>
  <c r="T216" i="9"/>
  <c r="U216" i="9"/>
  <c r="V216" i="9"/>
  <c r="W216" i="9"/>
  <c r="V308" i="13"/>
  <c r="W308" i="13"/>
  <c r="V309" i="13"/>
  <c r="W309" i="13"/>
  <c r="V310" i="13"/>
  <c r="W310" i="13"/>
  <c r="V311" i="13"/>
  <c r="W311" i="13"/>
  <c r="V312" i="13"/>
  <c r="W312" i="13"/>
  <c r="W313" i="13"/>
  <c r="S312" i="13"/>
  <c r="S311" i="13"/>
  <c r="S310" i="13"/>
  <c r="S309" i="13"/>
  <c r="S308" i="13"/>
  <c r="T169" i="13"/>
  <c r="U169" i="13"/>
  <c r="T170" i="13"/>
  <c r="U170" i="13"/>
  <c r="T171" i="13"/>
  <c r="U171" i="13"/>
  <c r="T172" i="13"/>
  <c r="U172" i="13"/>
  <c r="T168" i="13"/>
  <c r="U168" i="13"/>
  <c r="T239" i="13"/>
  <c r="U239" i="13"/>
  <c r="T240" i="13"/>
  <c r="U240" i="13"/>
  <c r="T241" i="13"/>
  <c r="U241" i="13"/>
  <c r="T242" i="13"/>
  <c r="U242" i="13"/>
  <c r="T238" i="13"/>
  <c r="U238" i="13"/>
  <c r="V352" i="13"/>
  <c r="W352" i="13"/>
  <c r="V353" i="13"/>
  <c r="W353" i="13"/>
  <c r="V354" i="13"/>
  <c r="W354" i="13"/>
  <c r="V355" i="13"/>
  <c r="W355" i="13"/>
  <c r="V356" i="13"/>
  <c r="W356" i="13"/>
  <c r="W357" i="13"/>
  <c r="S356" i="13"/>
  <c r="S355" i="13"/>
  <c r="S354" i="13"/>
  <c r="S353" i="13"/>
  <c r="S352" i="13"/>
  <c r="V238" i="13"/>
  <c r="W238" i="13"/>
  <c r="V239" i="13"/>
  <c r="W239" i="13"/>
  <c r="V240" i="13"/>
  <c r="W240" i="13"/>
  <c r="V241" i="13"/>
  <c r="W241" i="13"/>
  <c r="V242" i="13"/>
  <c r="W242" i="13"/>
  <c r="X242" i="13"/>
  <c r="S242" i="13"/>
  <c r="S241" i="13"/>
  <c r="S240" i="13"/>
  <c r="S239" i="13"/>
  <c r="S238" i="13"/>
  <c r="V168" i="13"/>
  <c r="W168" i="13"/>
  <c r="V169" i="13"/>
  <c r="W169" i="13"/>
  <c r="V170" i="13"/>
  <c r="W170" i="13"/>
  <c r="V171" i="13"/>
  <c r="W171" i="13"/>
  <c r="V172" i="13"/>
  <c r="W172" i="13"/>
  <c r="X172" i="13"/>
  <c r="S172" i="13"/>
  <c r="S171" i="13"/>
  <c r="S170" i="13"/>
  <c r="S169" i="13"/>
  <c r="S168" i="13"/>
  <c r="V97" i="13"/>
  <c r="W97" i="13"/>
  <c r="X97" i="13"/>
  <c r="Y97" i="13"/>
  <c r="Z97" i="13"/>
  <c r="V98" i="13"/>
  <c r="W98" i="13"/>
  <c r="X98" i="13"/>
  <c r="Y98" i="13"/>
  <c r="Z98" i="13"/>
  <c r="V99" i="13"/>
  <c r="W99" i="13"/>
  <c r="X99" i="13"/>
  <c r="Y99" i="13"/>
  <c r="Z99" i="13"/>
  <c r="V100" i="13"/>
  <c r="W100" i="13"/>
  <c r="X100" i="13"/>
  <c r="Y100" i="13"/>
  <c r="Z100" i="13"/>
  <c r="V101" i="13"/>
  <c r="W101" i="13"/>
  <c r="X101" i="13"/>
  <c r="Y101" i="13"/>
  <c r="Z101" i="13"/>
  <c r="AB101" i="13"/>
  <c r="AA101" i="13"/>
  <c r="S46" i="9"/>
  <c r="T46" i="9"/>
  <c r="U46" i="9"/>
  <c r="V46" i="9"/>
  <c r="W46" i="9"/>
  <c r="S47" i="9"/>
  <c r="T47" i="9"/>
  <c r="U47" i="9"/>
  <c r="V47" i="9"/>
  <c r="W47" i="9"/>
  <c r="S48" i="9"/>
  <c r="T48" i="9"/>
  <c r="U48" i="9"/>
  <c r="V48" i="9"/>
  <c r="W48" i="9"/>
  <c r="S49" i="9"/>
  <c r="T49" i="9"/>
  <c r="U49" i="9"/>
  <c r="V49" i="9"/>
  <c r="W49" i="9"/>
  <c r="S50" i="9"/>
  <c r="T50" i="9"/>
  <c r="U50" i="9"/>
  <c r="V50" i="9"/>
  <c r="W50" i="9"/>
  <c r="S40" i="9"/>
  <c r="T40" i="9"/>
  <c r="U40" i="9"/>
  <c r="V40" i="9"/>
  <c r="W40" i="9"/>
  <c r="S41" i="9"/>
  <c r="T41" i="9"/>
  <c r="U41" i="9"/>
  <c r="V41" i="9"/>
  <c r="W41" i="9"/>
  <c r="S42" i="9"/>
  <c r="T42" i="9"/>
  <c r="U42" i="9"/>
  <c r="V42" i="9"/>
  <c r="W42" i="9"/>
  <c r="S43" i="9"/>
  <c r="T43" i="9"/>
  <c r="U43" i="9"/>
  <c r="V43" i="9"/>
  <c r="W43" i="9"/>
  <c r="S44" i="9"/>
  <c r="T44" i="9"/>
  <c r="U44" i="9"/>
  <c r="V44" i="9"/>
  <c r="W44" i="9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R64" i="3"/>
  <c r="S64" i="3"/>
  <c r="T64" i="3"/>
  <c r="U64" i="3"/>
  <c r="V64" i="3"/>
  <c r="R65" i="3"/>
  <c r="S65" i="3"/>
  <c r="T65" i="3"/>
  <c r="U65" i="3"/>
  <c r="V65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S40" i="10"/>
  <c r="T40" i="10"/>
  <c r="U40" i="10"/>
  <c r="V40" i="10"/>
  <c r="W40" i="10"/>
  <c r="S41" i="10"/>
  <c r="T41" i="10"/>
  <c r="U41" i="10"/>
  <c r="V41" i="10"/>
  <c r="W41" i="10"/>
  <c r="S42" i="10"/>
  <c r="T42" i="10"/>
  <c r="U42" i="10"/>
  <c r="V42" i="10"/>
  <c r="W42" i="10"/>
  <c r="S43" i="10"/>
  <c r="T43" i="10"/>
  <c r="U43" i="10"/>
  <c r="V43" i="10"/>
  <c r="W43" i="10"/>
  <c r="S44" i="10"/>
  <c r="T44" i="10"/>
  <c r="U44" i="10"/>
  <c r="V44" i="10"/>
  <c r="W44" i="10"/>
  <c r="S34" i="10"/>
  <c r="T34" i="10"/>
  <c r="U34" i="10"/>
  <c r="V34" i="10"/>
  <c r="W34" i="10"/>
  <c r="S35" i="10"/>
  <c r="T35" i="10"/>
  <c r="U35" i="10"/>
  <c r="V35" i="10"/>
  <c r="W35" i="10"/>
  <c r="S36" i="10"/>
  <c r="T36" i="10"/>
  <c r="U36" i="10"/>
  <c r="V36" i="10"/>
  <c r="W36" i="10"/>
  <c r="S37" i="10"/>
  <c r="T37" i="10"/>
  <c r="U37" i="10"/>
  <c r="V37" i="10"/>
  <c r="W37" i="10"/>
  <c r="S38" i="10"/>
  <c r="T38" i="10"/>
  <c r="U38" i="10"/>
  <c r="V38" i="10"/>
  <c r="W38" i="10"/>
  <c r="S28" i="10"/>
  <c r="T28" i="10"/>
  <c r="U28" i="10"/>
  <c r="V28" i="10"/>
  <c r="W28" i="10"/>
  <c r="S29" i="10"/>
  <c r="T29" i="10"/>
  <c r="U29" i="10"/>
  <c r="V29" i="10"/>
  <c r="W29" i="10"/>
  <c r="S30" i="10"/>
  <c r="T30" i="10"/>
  <c r="U30" i="10"/>
  <c r="V30" i="10"/>
  <c r="W30" i="10"/>
  <c r="S31" i="10"/>
  <c r="T31" i="10"/>
  <c r="U31" i="10"/>
  <c r="V31" i="10"/>
  <c r="W31" i="10"/>
  <c r="S32" i="10"/>
  <c r="T32" i="10"/>
  <c r="U32" i="10"/>
  <c r="V32" i="10"/>
  <c r="W32" i="10"/>
  <c r="T440" i="11"/>
  <c r="U440" i="11"/>
  <c r="V440" i="11"/>
  <c r="W440" i="11"/>
  <c r="X440" i="11"/>
  <c r="T441" i="11"/>
  <c r="U441" i="11"/>
  <c r="V441" i="11"/>
  <c r="W441" i="11"/>
  <c r="X441" i="11"/>
  <c r="T442" i="11"/>
  <c r="U442" i="11"/>
  <c r="V442" i="11"/>
  <c r="W442" i="11"/>
  <c r="X442" i="11"/>
  <c r="T443" i="11"/>
  <c r="U443" i="11"/>
  <c r="V443" i="11"/>
  <c r="W443" i="11"/>
  <c r="X443" i="11"/>
  <c r="T444" i="11"/>
  <c r="U444" i="11"/>
  <c r="V444" i="11"/>
  <c r="W444" i="11"/>
  <c r="X444" i="11"/>
  <c r="T395" i="11"/>
  <c r="U395" i="11"/>
  <c r="V395" i="11"/>
  <c r="W395" i="11"/>
  <c r="X395" i="11"/>
  <c r="T396" i="11"/>
  <c r="U396" i="11"/>
  <c r="V396" i="11"/>
  <c r="W396" i="11"/>
  <c r="X396" i="11"/>
  <c r="T397" i="11"/>
  <c r="U397" i="11"/>
  <c r="V397" i="11"/>
  <c r="W397" i="11"/>
  <c r="X397" i="11"/>
  <c r="T398" i="11"/>
  <c r="U398" i="11"/>
  <c r="V398" i="11"/>
  <c r="W398" i="11"/>
  <c r="X398" i="11"/>
  <c r="T399" i="11"/>
  <c r="U399" i="11"/>
  <c r="V399" i="11"/>
  <c r="W399" i="11"/>
  <c r="X399" i="11"/>
  <c r="T350" i="11"/>
  <c r="U350" i="11"/>
  <c r="V350" i="11"/>
  <c r="W350" i="11"/>
  <c r="X350" i="11"/>
  <c r="T351" i="11"/>
  <c r="U351" i="11"/>
  <c r="V351" i="11"/>
  <c r="W351" i="11"/>
  <c r="X351" i="11"/>
  <c r="T352" i="11"/>
  <c r="U352" i="11"/>
  <c r="V352" i="11"/>
  <c r="W352" i="11"/>
  <c r="X352" i="11"/>
  <c r="T353" i="11"/>
  <c r="U353" i="11"/>
  <c r="V353" i="11"/>
  <c r="W353" i="11"/>
  <c r="X353" i="11"/>
  <c r="T354" i="11"/>
  <c r="U354" i="11"/>
  <c r="V354" i="11"/>
  <c r="W354" i="11"/>
  <c r="X354" i="11"/>
  <c r="U229" i="11"/>
  <c r="V229" i="11"/>
  <c r="W229" i="11"/>
  <c r="X229" i="11"/>
  <c r="Y229" i="11"/>
  <c r="U228" i="11"/>
  <c r="V228" i="11"/>
  <c r="W228" i="11"/>
  <c r="X228" i="11"/>
  <c r="Y228" i="11"/>
  <c r="U227" i="11"/>
  <c r="V227" i="11"/>
  <c r="W227" i="11"/>
  <c r="X227" i="11"/>
  <c r="Y227" i="11"/>
  <c r="U226" i="11"/>
  <c r="V226" i="11"/>
  <c r="W226" i="11"/>
  <c r="X226" i="11"/>
  <c r="Y226" i="11"/>
  <c r="U225" i="11"/>
  <c r="V225" i="11"/>
  <c r="W225" i="11"/>
  <c r="X225" i="11"/>
  <c r="Y225" i="11"/>
  <c r="U166" i="11"/>
  <c r="V166" i="11"/>
  <c r="W166" i="11"/>
  <c r="X166" i="11"/>
  <c r="Y166" i="11"/>
  <c r="U167" i="11"/>
  <c r="V167" i="11"/>
  <c r="W167" i="11"/>
  <c r="X167" i="11"/>
  <c r="Y167" i="11"/>
  <c r="U168" i="11"/>
  <c r="V168" i="11"/>
  <c r="W168" i="11"/>
  <c r="X168" i="11"/>
  <c r="Y168" i="11"/>
  <c r="U169" i="11"/>
  <c r="V169" i="11"/>
  <c r="W169" i="11"/>
  <c r="X169" i="11"/>
  <c r="Y169" i="11"/>
  <c r="U165" i="11"/>
  <c r="V165" i="11"/>
  <c r="W165" i="11"/>
  <c r="X165" i="11"/>
  <c r="Y165" i="11"/>
  <c r="U160" i="11"/>
  <c r="V160" i="11"/>
  <c r="W160" i="11"/>
  <c r="X160" i="11"/>
  <c r="Y160" i="11"/>
  <c r="U159" i="11"/>
  <c r="V159" i="11"/>
  <c r="W159" i="11"/>
  <c r="X159" i="11"/>
  <c r="Y159" i="11"/>
  <c r="U158" i="11"/>
  <c r="V158" i="11"/>
  <c r="W158" i="11"/>
  <c r="X158" i="11"/>
  <c r="Y158" i="11"/>
  <c r="U157" i="11"/>
  <c r="V157" i="11"/>
  <c r="W157" i="11"/>
  <c r="X157" i="11"/>
  <c r="Y157" i="11"/>
  <c r="U156" i="11"/>
  <c r="V156" i="11"/>
  <c r="W156" i="11"/>
  <c r="X156" i="11"/>
  <c r="Y156" i="11"/>
  <c r="U97" i="11"/>
  <c r="V97" i="11"/>
  <c r="W97" i="11"/>
  <c r="X97" i="11"/>
  <c r="Y97" i="11"/>
  <c r="U98" i="11"/>
  <c r="V98" i="11"/>
  <c r="W98" i="11"/>
  <c r="X98" i="11"/>
  <c r="Y98" i="11"/>
  <c r="U99" i="11"/>
  <c r="V99" i="11"/>
  <c r="W99" i="11"/>
  <c r="X99" i="11"/>
  <c r="Y99" i="11"/>
  <c r="U100" i="11"/>
  <c r="V100" i="11"/>
  <c r="W100" i="11"/>
  <c r="X100" i="11"/>
  <c r="Y100" i="11"/>
  <c r="U96" i="11"/>
  <c r="V96" i="11"/>
  <c r="W96" i="11"/>
  <c r="X96" i="11"/>
  <c r="Y96" i="11"/>
  <c r="AA229" i="11"/>
  <c r="AA228" i="11"/>
  <c r="AA227" i="11"/>
  <c r="AA226" i="11"/>
  <c r="AA225" i="11"/>
  <c r="AA169" i="11"/>
  <c r="AA168" i="11"/>
  <c r="AA167" i="11"/>
  <c r="AA166" i="11"/>
  <c r="AA165" i="11"/>
  <c r="AA160" i="11"/>
  <c r="AA159" i="11"/>
  <c r="AA158" i="11"/>
  <c r="AA157" i="11"/>
  <c r="AA156" i="11"/>
  <c r="AA100" i="11"/>
  <c r="AA99" i="11"/>
  <c r="AA98" i="11"/>
  <c r="AA97" i="11"/>
  <c r="AA96" i="11"/>
  <c r="U87" i="11"/>
  <c r="V87" i="11"/>
  <c r="W87" i="11"/>
  <c r="X87" i="11"/>
  <c r="Y87" i="11"/>
  <c r="U88" i="11"/>
  <c r="V88" i="11"/>
  <c r="W88" i="11"/>
  <c r="X88" i="11"/>
  <c r="Y88" i="11"/>
  <c r="U89" i="11"/>
  <c r="V89" i="11"/>
  <c r="W89" i="11"/>
  <c r="X89" i="11"/>
  <c r="Y89" i="11"/>
  <c r="U90" i="11"/>
  <c r="V90" i="11"/>
  <c r="W90" i="11"/>
  <c r="X90" i="11"/>
  <c r="Y90" i="11"/>
  <c r="U91" i="11"/>
  <c r="V91" i="11"/>
  <c r="W91" i="11"/>
  <c r="X91" i="11"/>
  <c r="Y91" i="11"/>
  <c r="AA91" i="11"/>
  <c r="AA90" i="11"/>
  <c r="AA89" i="11"/>
  <c r="AA88" i="11"/>
  <c r="AA87" i="11"/>
  <c r="U27" i="11"/>
  <c r="V27" i="11"/>
  <c r="W27" i="11"/>
  <c r="X27" i="11"/>
  <c r="Y27" i="11"/>
  <c r="U28" i="11"/>
  <c r="V28" i="11"/>
  <c r="W28" i="11"/>
  <c r="X28" i="11"/>
  <c r="Y28" i="11"/>
  <c r="U29" i="11"/>
  <c r="V29" i="11"/>
  <c r="W29" i="11"/>
  <c r="X29" i="11"/>
  <c r="Y29" i="11"/>
  <c r="U30" i="11"/>
  <c r="V30" i="11"/>
  <c r="W30" i="11"/>
  <c r="X30" i="11"/>
  <c r="Y30" i="11"/>
  <c r="U31" i="11"/>
  <c r="V31" i="11"/>
  <c r="W31" i="11"/>
  <c r="X31" i="11"/>
  <c r="Y31" i="11"/>
  <c r="AA31" i="11"/>
  <c r="AA30" i="11"/>
  <c r="AA29" i="11"/>
  <c r="AA28" i="11"/>
  <c r="AA27" i="11"/>
  <c r="T524" i="11"/>
  <c r="U524" i="11"/>
  <c r="V524" i="11"/>
  <c r="W524" i="11"/>
  <c r="X524" i="11"/>
  <c r="T525" i="11"/>
  <c r="U525" i="11"/>
  <c r="V525" i="11"/>
  <c r="W525" i="11"/>
  <c r="X525" i="11"/>
  <c r="T526" i="11"/>
  <c r="U526" i="11"/>
  <c r="V526" i="11"/>
  <c r="W526" i="11"/>
  <c r="X526" i="11"/>
  <c r="T527" i="11"/>
  <c r="U527" i="11"/>
  <c r="V527" i="11"/>
  <c r="W527" i="11"/>
  <c r="X527" i="11"/>
  <c r="T528" i="11"/>
  <c r="U528" i="11"/>
  <c r="V528" i="11"/>
  <c r="W528" i="11"/>
  <c r="X528" i="11"/>
  <c r="V262" i="11"/>
  <c r="W262" i="11"/>
  <c r="X262" i="11"/>
  <c r="Y262" i="11"/>
  <c r="V261" i="11"/>
  <c r="W261" i="11"/>
  <c r="X261" i="11"/>
  <c r="Y261" i="11"/>
  <c r="V263" i="11"/>
  <c r="W263" i="11"/>
  <c r="X263" i="11"/>
  <c r="Y263" i="11"/>
  <c r="V264" i="11"/>
  <c r="W264" i="11"/>
  <c r="X264" i="11"/>
  <c r="Y264" i="11"/>
  <c r="V265" i="11"/>
  <c r="W265" i="11"/>
  <c r="X265" i="11"/>
  <c r="Y265" i="11"/>
  <c r="U322" i="11"/>
  <c r="V322" i="11"/>
  <c r="W322" i="11"/>
  <c r="X322" i="11"/>
  <c r="Y322" i="11"/>
  <c r="U323" i="11"/>
  <c r="V323" i="11"/>
  <c r="W323" i="11"/>
  <c r="X323" i="11"/>
  <c r="Y323" i="11"/>
  <c r="U324" i="11"/>
  <c r="V324" i="11"/>
  <c r="W324" i="11"/>
  <c r="X324" i="11"/>
  <c r="Y324" i="11"/>
  <c r="U325" i="11"/>
  <c r="V325" i="11"/>
  <c r="W325" i="11"/>
  <c r="X325" i="11"/>
  <c r="Y325" i="11"/>
  <c r="U326" i="11"/>
  <c r="V326" i="11"/>
  <c r="W326" i="11"/>
  <c r="X326" i="11"/>
  <c r="Y326" i="11"/>
  <c r="U321" i="11"/>
  <c r="V321" i="11"/>
  <c r="W321" i="11"/>
  <c r="X321" i="11"/>
  <c r="Y321" i="11"/>
  <c r="AH48" i="13"/>
  <c r="X207" i="13"/>
  <c r="S207" i="13"/>
  <c r="S206" i="13"/>
  <c r="S205" i="13"/>
  <c r="S204" i="13"/>
  <c r="S203" i="13"/>
  <c r="X202" i="13"/>
  <c r="S202" i="13"/>
  <c r="S201" i="13"/>
  <c r="S200" i="13"/>
  <c r="S199" i="13"/>
  <c r="S198" i="13"/>
  <c r="X185" i="13"/>
  <c r="S185" i="13"/>
  <c r="S184" i="13"/>
  <c r="S183" i="13"/>
  <c r="S182" i="13"/>
  <c r="S181" i="13"/>
  <c r="S128" i="13"/>
  <c r="S129" i="13"/>
  <c r="S130" i="13"/>
  <c r="S131" i="13"/>
  <c r="S132" i="13"/>
  <c r="S110" i="13"/>
  <c r="S111" i="13"/>
  <c r="S112" i="13"/>
  <c r="S113" i="13"/>
  <c r="S114" i="13"/>
  <c r="S134" i="13"/>
  <c r="S135" i="13"/>
  <c r="S136" i="13"/>
  <c r="S137" i="13"/>
  <c r="S133" i="13"/>
  <c r="X137" i="13"/>
  <c r="S358" i="13"/>
  <c r="S374" i="13"/>
  <c r="S373" i="13"/>
  <c r="S372" i="13"/>
  <c r="S371" i="13"/>
  <c r="S370" i="13"/>
  <c r="S368" i="13"/>
  <c r="S367" i="13"/>
  <c r="S366" i="13"/>
  <c r="S365" i="13"/>
  <c r="S364" i="13"/>
  <c r="S362" i="13"/>
  <c r="S361" i="13"/>
  <c r="S360" i="13"/>
  <c r="S359" i="13"/>
  <c r="S350" i="13"/>
  <c r="S349" i="13"/>
  <c r="S348" i="13"/>
  <c r="S347" i="13"/>
  <c r="S346" i="13"/>
  <c r="S344" i="13"/>
  <c r="S343" i="13"/>
  <c r="S342" i="13"/>
  <c r="S341" i="13"/>
  <c r="S340" i="13"/>
  <c r="S338" i="13"/>
  <c r="S337" i="13"/>
  <c r="S336" i="13"/>
  <c r="S335" i="13"/>
  <c r="S334" i="13"/>
  <c r="S330" i="13"/>
  <c r="S329" i="13"/>
  <c r="S328" i="13"/>
  <c r="S327" i="13"/>
  <c r="S326" i="13"/>
  <c r="S321" i="13"/>
  <c r="S322" i="13"/>
  <c r="S323" i="13"/>
  <c r="S324" i="13"/>
  <c r="S320" i="13"/>
  <c r="S315" i="13"/>
  <c r="S316" i="13"/>
  <c r="S317" i="13"/>
  <c r="S318" i="13"/>
  <c r="S314" i="13"/>
  <c r="S303" i="13"/>
  <c r="S304" i="13"/>
  <c r="S305" i="13"/>
  <c r="S306" i="13"/>
  <c r="S302" i="13"/>
  <c r="S297" i="13"/>
  <c r="S298" i="13"/>
  <c r="S299" i="13"/>
  <c r="S300" i="13"/>
  <c r="S296" i="13"/>
  <c r="S291" i="13"/>
  <c r="S292" i="13"/>
  <c r="S293" i="13"/>
  <c r="S294" i="13"/>
  <c r="S290" i="13"/>
  <c r="S284" i="13"/>
  <c r="S285" i="13"/>
  <c r="S286" i="13"/>
  <c r="S287" i="13"/>
  <c r="S283" i="13"/>
  <c r="S278" i="13"/>
  <c r="S279" i="13"/>
  <c r="S280" i="13"/>
  <c r="S281" i="13"/>
  <c r="S277" i="13"/>
  <c r="S272" i="13"/>
  <c r="S273" i="13"/>
  <c r="S274" i="13"/>
  <c r="S275" i="13"/>
  <c r="S271" i="13"/>
  <c r="S265" i="13"/>
  <c r="S259" i="13"/>
  <c r="S253" i="13"/>
  <c r="S247" i="13"/>
  <c r="S248" i="13"/>
  <c r="S249" i="13"/>
  <c r="S250" i="13"/>
  <c r="S251" i="13"/>
  <c r="S254" i="13"/>
  <c r="S255" i="13"/>
  <c r="S256" i="13"/>
  <c r="S257" i="13"/>
  <c r="S260" i="13"/>
  <c r="S261" i="13"/>
  <c r="S262" i="13"/>
  <c r="S263" i="13"/>
  <c r="S266" i="13"/>
  <c r="S267" i="13"/>
  <c r="S268" i="13"/>
  <c r="S269" i="13"/>
  <c r="X114" i="13"/>
  <c r="S109" i="13"/>
  <c r="S177" i="13"/>
  <c r="S178" i="13"/>
  <c r="S179" i="13"/>
  <c r="S180" i="13"/>
  <c r="S187" i="13"/>
  <c r="S188" i="13"/>
  <c r="S189" i="13"/>
  <c r="S190" i="13"/>
  <c r="S191" i="13"/>
  <c r="S193" i="13"/>
  <c r="S194" i="13"/>
  <c r="S195" i="13"/>
  <c r="S196" i="13"/>
  <c r="S197" i="13"/>
  <c r="S176" i="13"/>
  <c r="S106" i="13"/>
  <c r="S107" i="13"/>
  <c r="S108" i="13"/>
  <c r="S117" i="13"/>
  <c r="S118" i="13"/>
  <c r="S119" i="13"/>
  <c r="S120" i="13"/>
  <c r="S121" i="13"/>
  <c r="S123" i="13"/>
  <c r="S124" i="13"/>
  <c r="S125" i="13"/>
  <c r="S126" i="13"/>
  <c r="S127" i="13"/>
  <c r="S105" i="13"/>
  <c r="S87" i="13"/>
  <c r="S88" i="13"/>
  <c r="S89" i="13"/>
  <c r="S90" i="13"/>
  <c r="S91" i="13"/>
  <c r="S92" i="13"/>
  <c r="S93" i="13"/>
  <c r="S94" i="13"/>
  <c r="S95" i="13"/>
  <c r="S86" i="13"/>
  <c r="S76" i="13"/>
  <c r="S77" i="13"/>
  <c r="S78" i="13"/>
  <c r="S79" i="13"/>
  <c r="S80" i="13"/>
  <c r="S81" i="13"/>
  <c r="S82" i="13"/>
  <c r="S83" i="13"/>
  <c r="S84" i="13"/>
  <c r="S75" i="13"/>
  <c r="S64" i="13"/>
  <c r="S65" i="13"/>
  <c r="S66" i="13"/>
  <c r="S67" i="13"/>
  <c r="S68" i="13"/>
  <c r="S69" i="13"/>
  <c r="S70" i="13"/>
  <c r="S71" i="13"/>
  <c r="S72" i="13"/>
  <c r="S63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27" i="13"/>
  <c r="V265" i="13"/>
  <c r="W265" i="13"/>
  <c r="X265" i="13"/>
  <c r="Y265" i="13"/>
  <c r="Z265" i="13"/>
  <c r="V266" i="13"/>
  <c r="W266" i="13"/>
  <c r="X266" i="13"/>
  <c r="Y266" i="13"/>
  <c r="Z266" i="13"/>
  <c r="V267" i="13"/>
  <c r="W267" i="13"/>
  <c r="X267" i="13"/>
  <c r="Y267" i="13"/>
  <c r="Z267" i="13"/>
  <c r="V268" i="13"/>
  <c r="W268" i="13"/>
  <c r="X268" i="13"/>
  <c r="Y268" i="13"/>
  <c r="Z268" i="13"/>
  <c r="V269" i="13"/>
  <c r="W269" i="13"/>
  <c r="X269" i="13"/>
  <c r="Y269" i="13"/>
  <c r="Z269" i="13"/>
  <c r="Z270" i="13"/>
  <c r="V91" i="13"/>
  <c r="W91" i="13"/>
  <c r="X91" i="13"/>
  <c r="Y91" i="13"/>
  <c r="Z91" i="13"/>
  <c r="V92" i="13"/>
  <c r="W92" i="13"/>
  <c r="X92" i="13"/>
  <c r="Y92" i="13"/>
  <c r="Z92" i="13"/>
  <c r="V93" i="13"/>
  <c r="W93" i="13"/>
  <c r="X93" i="13"/>
  <c r="Y93" i="13"/>
  <c r="Z93" i="13"/>
  <c r="V94" i="13"/>
  <c r="W94" i="13"/>
  <c r="X94" i="13"/>
  <c r="Y94" i="13"/>
  <c r="Z94" i="13"/>
  <c r="V95" i="13"/>
  <c r="W95" i="13"/>
  <c r="X95" i="13"/>
  <c r="Y95" i="13"/>
  <c r="Z95" i="13"/>
  <c r="AB95" i="13"/>
  <c r="AA95" i="13"/>
  <c r="V80" i="13"/>
  <c r="W80" i="13"/>
  <c r="X80" i="13"/>
  <c r="Y80" i="13"/>
  <c r="Z80" i="13"/>
  <c r="V81" i="13"/>
  <c r="W81" i="13"/>
  <c r="X81" i="13"/>
  <c r="Y81" i="13"/>
  <c r="Z81" i="13"/>
  <c r="V82" i="13"/>
  <c r="W82" i="13"/>
  <c r="X82" i="13"/>
  <c r="Y82" i="13"/>
  <c r="Z82" i="13"/>
  <c r="V83" i="13"/>
  <c r="W83" i="13"/>
  <c r="X83" i="13"/>
  <c r="Y83" i="13"/>
  <c r="Z83" i="13"/>
  <c r="V84" i="13"/>
  <c r="W84" i="13"/>
  <c r="X84" i="13"/>
  <c r="Y84" i="13"/>
  <c r="Z84" i="13"/>
  <c r="AB84" i="13"/>
  <c r="AA84" i="13"/>
  <c r="V57" i="13"/>
  <c r="W57" i="13"/>
  <c r="X57" i="13"/>
  <c r="Y57" i="13"/>
  <c r="Z57" i="13"/>
  <c r="V58" i="13"/>
  <c r="W58" i="13"/>
  <c r="X58" i="13"/>
  <c r="Y58" i="13"/>
  <c r="Z58" i="13"/>
  <c r="V59" i="13"/>
  <c r="W59" i="13"/>
  <c r="X59" i="13"/>
  <c r="Y59" i="13"/>
  <c r="Z59" i="13"/>
  <c r="V60" i="13"/>
  <c r="W60" i="13"/>
  <c r="X60" i="13"/>
  <c r="Y60" i="13"/>
  <c r="Z60" i="13"/>
  <c r="V61" i="13"/>
  <c r="W61" i="13"/>
  <c r="X61" i="13"/>
  <c r="Y61" i="13"/>
  <c r="Z61" i="13"/>
  <c r="AA61" i="13"/>
  <c r="V47" i="13"/>
  <c r="W47" i="13"/>
  <c r="X47" i="13"/>
  <c r="Y47" i="13"/>
  <c r="Z47" i="13"/>
  <c r="V48" i="13"/>
  <c r="W48" i="13"/>
  <c r="X48" i="13"/>
  <c r="Y48" i="13"/>
  <c r="Z48" i="13"/>
  <c r="V49" i="13"/>
  <c r="W49" i="13"/>
  <c r="X49" i="13"/>
  <c r="Y49" i="13"/>
  <c r="Z49" i="13"/>
  <c r="V50" i="13"/>
  <c r="W50" i="13"/>
  <c r="X50" i="13"/>
  <c r="Y50" i="13"/>
  <c r="Z50" i="13"/>
  <c r="V51" i="13"/>
  <c r="W51" i="13"/>
  <c r="X51" i="13"/>
  <c r="Y51" i="13"/>
  <c r="Z51" i="13"/>
  <c r="AA51" i="13"/>
  <c r="V56" i="13"/>
  <c r="W56" i="13"/>
  <c r="X56" i="13"/>
  <c r="Y56" i="13"/>
  <c r="Z56" i="13"/>
  <c r="V52" i="13"/>
  <c r="W52" i="13"/>
  <c r="X52" i="13"/>
  <c r="Y52" i="13"/>
  <c r="Z52" i="13"/>
  <c r="V53" i="13"/>
  <c r="W53" i="13"/>
  <c r="X53" i="13"/>
  <c r="Y53" i="13"/>
  <c r="Z53" i="13"/>
  <c r="V54" i="13"/>
  <c r="W54" i="13"/>
  <c r="X54" i="13"/>
  <c r="Y54" i="13"/>
  <c r="Z54" i="13"/>
  <c r="V55" i="13"/>
  <c r="W55" i="13"/>
  <c r="X55" i="13"/>
  <c r="Y55" i="13"/>
  <c r="Z55" i="13"/>
  <c r="AB56" i="13"/>
  <c r="AA56" i="13"/>
  <c r="AB61" i="13"/>
  <c r="AB51" i="13"/>
  <c r="V42" i="13"/>
  <c r="W42" i="13"/>
  <c r="X42" i="13"/>
  <c r="Y42" i="13"/>
  <c r="Z42" i="13"/>
  <c r="V43" i="13"/>
  <c r="W43" i="13"/>
  <c r="X43" i="13"/>
  <c r="Y43" i="13"/>
  <c r="Z43" i="13"/>
  <c r="V44" i="13"/>
  <c r="W44" i="13"/>
  <c r="X44" i="13"/>
  <c r="Y44" i="13"/>
  <c r="Z44" i="13"/>
  <c r="V45" i="13"/>
  <c r="W45" i="13"/>
  <c r="X45" i="13"/>
  <c r="Y45" i="13"/>
  <c r="Z45" i="13"/>
  <c r="V46" i="13"/>
  <c r="W46" i="13"/>
  <c r="X46" i="13"/>
  <c r="Y46" i="13"/>
  <c r="Z46" i="13"/>
  <c r="AB46" i="13"/>
  <c r="V27" i="13"/>
  <c r="W27" i="13"/>
  <c r="X27" i="13"/>
  <c r="Y27" i="13"/>
  <c r="Z27" i="13"/>
  <c r="V28" i="13"/>
  <c r="W28" i="13"/>
  <c r="X28" i="13"/>
  <c r="Y28" i="13"/>
  <c r="Z28" i="13"/>
  <c r="V29" i="13"/>
  <c r="W29" i="13"/>
  <c r="X29" i="13"/>
  <c r="Y29" i="13"/>
  <c r="Z29" i="13"/>
  <c r="V30" i="13"/>
  <c r="W30" i="13"/>
  <c r="X30" i="13"/>
  <c r="Y30" i="13"/>
  <c r="Z30" i="13"/>
  <c r="V31" i="13"/>
  <c r="W31" i="13"/>
  <c r="X31" i="13"/>
  <c r="Y31" i="13"/>
  <c r="Z31" i="13"/>
  <c r="AB31" i="13"/>
  <c r="V32" i="13"/>
  <c r="W32" i="13"/>
  <c r="X32" i="13"/>
  <c r="Y32" i="13"/>
  <c r="Z32" i="13"/>
  <c r="V33" i="13"/>
  <c r="W33" i="13"/>
  <c r="X33" i="13"/>
  <c r="Y33" i="13"/>
  <c r="Z33" i="13"/>
  <c r="V34" i="13"/>
  <c r="W34" i="13"/>
  <c r="X34" i="13"/>
  <c r="Y34" i="13"/>
  <c r="Z34" i="13"/>
  <c r="V35" i="13"/>
  <c r="W35" i="13"/>
  <c r="X35" i="13"/>
  <c r="Y35" i="13"/>
  <c r="Z35" i="13"/>
  <c r="V36" i="13"/>
  <c r="W36" i="13"/>
  <c r="X36" i="13"/>
  <c r="Y36" i="13"/>
  <c r="Z36" i="13"/>
  <c r="V37" i="13"/>
  <c r="W37" i="13"/>
  <c r="X37" i="13"/>
  <c r="Y37" i="13"/>
  <c r="Z37" i="13"/>
  <c r="V38" i="13"/>
  <c r="W38" i="13"/>
  <c r="X38" i="13"/>
  <c r="Y38" i="13"/>
  <c r="Z38" i="13"/>
  <c r="V39" i="13"/>
  <c r="W39" i="13"/>
  <c r="X39" i="13"/>
  <c r="Y39" i="13"/>
  <c r="Z39" i="13"/>
  <c r="V40" i="13"/>
  <c r="W40" i="13"/>
  <c r="X40" i="13"/>
  <c r="Y40" i="13"/>
  <c r="Z40" i="13"/>
  <c r="V41" i="13"/>
  <c r="W41" i="13"/>
  <c r="X41" i="13"/>
  <c r="Y41" i="13"/>
  <c r="Z41" i="13"/>
  <c r="AB41" i="13"/>
  <c r="V75" i="13"/>
  <c r="W75" i="13"/>
  <c r="X75" i="13"/>
  <c r="Y75" i="13"/>
  <c r="Z75" i="13"/>
  <c r="V76" i="13"/>
  <c r="W76" i="13"/>
  <c r="X76" i="13"/>
  <c r="Y76" i="13"/>
  <c r="Z76" i="13"/>
  <c r="V77" i="13"/>
  <c r="W77" i="13"/>
  <c r="X77" i="13"/>
  <c r="Y77" i="13"/>
  <c r="Z77" i="13"/>
  <c r="V78" i="13"/>
  <c r="W78" i="13"/>
  <c r="X78" i="13"/>
  <c r="Y78" i="13"/>
  <c r="Z78" i="13"/>
  <c r="V79" i="13"/>
  <c r="W79" i="13"/>
  <c r="X79" i="13"/>
  <c r="Y79" i="13"/>
  <c r="Z79" i="13"/>
  <c r="AB79" i="13"/>
  <c r="V86" i="13"/>
  <c r="W86" i="13"/>
  <c r="X86" i="13"/>
  <c r="Y86" i="13"/>
  <c r="Z86" i="13"/>
  <c r="V87" i="13"/>
  <c r="W87" i="13"/>
  <c r="X87" i="13"/>
  <c r="Y87" i="13"/>
  <c r="Z87" i="13"/>
  <c r="V88" i="13"/>
  <c r="W88" i="13"/>
  <c r="X88" i="13"/>
  <c r="Y88" i="13"/>
  <c r="Z88" i="13"/>
  <c r="V89" i="13"/>
  <c r="W89" i="13"/>
  <c r="X89" i="13"/>
  <c r="Y89" i="13"/>
  <c r="Z89" i="13"/>
  <c r="V90" i="13"/>
  <c r="W90" i="13"/>
  <c r="X90" i="13"/>
  <c r="Y90" i="13"/>
  <c r="Z90" i="13"/>
  <c r="AA90" i="13"/>
  <c r="AA79" i="13"/>
  <c r="AB90" i="13"/>
  <c r="AA41" i="13"/>
  <c r="V69" i="13"/>
  <c r="W69" i="13"/>
  <c r="X69" i="13"/>
  <c r="Y69" i="13"/>
  <c r="Z69" i="13"/>
  <c r="V70" i="13"/>
  <c r="W70" i="13"/>
  <c r="X70" i="13"/>
  <c r="Y70" i="13"/>
  <c r="Z70" i="13"/>
  <c r="V71" i="13"/>
  <c r="W71" i="13"/>
  <c r="X71" i="13"/>
  <c r="Y71" i="13"/>
  <c r="Z71" i="13"/>
  <c r="V72" i="13"/>
  <c r="W72" i="13"/>
  <c r="X72" i="13"/>
  <c r="Y72" i="13"/>
  <c r="Z72" i="13"/>
  <c r="V68" i="13"/>
  <c r="W68" i="13"/>
  <c r="X68" i="13"/>
  <c r="Y68" i="13"/>
  <c r="Z68" i="13"/>
  <c r="AB72" i="13"/>
  <c r="AA72" i="13"/>
  <c r="V63" i="13"/>
  <c r="W63" i="13"/>
  <c r="X63" i="13"/>
  <c r="Y63" i="13"/>
  <c r="Z63" i="13"/>
  <c r="V64" i="13"/>
  <c r="W64" i="13"/>
  <c r="X64" i="13"/>
  <c r="Y64" i="13"/>
  <c r="Z64" i="13"/>
  <c r="V65" i="13"/>
  <c r="W65" i="13"/>
  <c r="X65" i="13"/>
  <c r="Y65" i="13"/>
  <c r="Z65" i="13"/>
  <c r="V66" i="13"/>
  <c r="W66" i="13"/>
  <c r="X66" i="13"/>
  <c r="Y66" i="13"/>
  <c r="Z66" i="13"/>
  <c r="V67" i="13"/>
  <c r="W67" i="13"/>
  <c r="X67" i="13"/>
  <c r="Y67" i="13"/>
  <c r="Z67" i="13"/>
  <c r="AB67" i="13"/>
  <c r="AA67" i="13"/>
  <c r="F9" i="13"/>
  <c r="J9" i="13"/>
  <c r="F10" i="13"/>
  <c r="J10" i="13"/>
  <c r="F11" i="13"/>
  <c r="J11" i="13"/>
  <c r="F12" i="13"/>
  <c r="J12" i="13"/>
  <c r="F13" i="13"/>
  <c r="J13" i="13"/>
  <c r="F14" i="13"/>
  <c r="J14" i="13"/>
  <c r="F15" i="13"/>
  <c r="J15" i="13"/>
  <c r="F16" i="13"/>
  <c r="J16" i="13"/>
  <c r="F17" i="13"/>
  <c r="J17" i="13"/>
  <c r="F8" i="13"/>
  <c r="J8" i="13"/>
  <c r="AA46" i="13"/>
  <c r="AA31" i="13"/>
  <c r="U315" i="11"/>
  <c r="V315" i="11"/>
  <c r="W315" i="11"/>
  <c r="X315" i="11"/>
  <c r="Y315" i="11"/>
  <c r="U316" i="11"/>
  <c r="V316" i="11"/>
  <c r="W316" i="11"/>
  <c r="X316" i="11"/>
  <c r="Y316" i="11"/>
  <c r="U317" i="11"/>
  <c r="V317" i="11"/>
  <c r="W317" i="11"/>
  <c r="X317" i="11"/>
  <c r="Y317" i="11"/>
  <c r="U318" i="11"/>
  <c r="V318" i="11"/>
  <c r="W318" i="11"/>
  <c r="X318" i="11"/>
  <c r="Y318" i="11"/>
  <c r="U319" i="11"/>
  <c r="V319" i="11"/>
  <c r="W319" i="11"/>
  <c r="X319" i="11"/>
  <c r="Y319" i="11"/>
  <c r="AF4" i="10"/>
  <c r="AD4" i="10"/>
  <c r="AB4" i="10"/>
  <c r="T546" i="11"/>
  <c r="U546" i="11"/>
  <c r="V546" i="11"/>
  <c r="W546" i="11"/>
  <c r="X546" i="11"/>
  <c r="T545" i="11"/>
  <c r="U545" i="11"/>
  <c r="V545" i="11"/>
  <c r="W545" i="11"/>
  <c r="X545" i="11"/>
  <c r="T544" i="11"/>
  <c r="U544" i="11"/>
  <c r="V544" i="11"/>
  <c r="W544" i="11"/>
  <c r="X544" i="11"/>
  <c r="T543" i="11"/>
  <c r="U543" i="11"/>
  <c r="V543" i="11"/>
  <c r="W543" i="11"/>
  <c r="X543" i="11"/>
  <c r="T542" i="11"/>
  <c r="U542" i="11"/>
  <c r="V542" i="11"/>
  <c r="W542" i="11"/>
  <c r="X542" i="11"/>
  <c r="T540" i="11"/>
  <c r="U540" i="11"/>
  <c r="V540" i="11"/>
  <c r="W540" i="11"/>
  <c r="X540" i="11"/>
  <c r="T539" i="11"/>
  <c r="U539" i="11"/>
  <c r="V539" i="11"/>
  <c r="W539" i="11"/>
  <c r="X539" i="11"/>
  <c r="T538" i="11"/>
  <c r="U538" i="11"/>
  <c r="V538" i="11"/>
  <c r="W538" i="11"/>
  <c r="X538" i="11"/>
  <c r="T537" i="11"/>
  <c r="U537" i="11"/>
  <c r="V537" i="11"/>
  <c r="W537" i="11"/>
  <c r="X537" i="11"/>
  <c r="T536" i="11"/>
  <c r="U536" i="11"/>
  <c r="V536" i="11"/>
  <c r="W536" i="11"/>
  <c r="X536" i="11"/>
  <c r="T534" i="11"/>
  <c r="U534" i="11"/>
  <c r="V534" i="11"/>
  <c r="W534" i="11"/>
  <c r="X534" i="11"/>
  <c r="T533" i="11"/>
  <c r="U533" i="11"/>
  <c r="V533" i="11"/>
  <c r="W533" i="11"/>
  <c r="X533" i="11"/>
  <c r="T532" i="11"/>
  <c r="U532" i="11"/>
  <c r="V532" i="11"/>
  <c r="W532" i="11"/>
  <c r="X532" i="11"/>
  <c r="T531" i="11"/>
  <c r="U531" i="11"/>
  <c r="V531" i="11"/>
  <c r="W531" i="11"/>
  <c r="X531" i="11"/>
  <c r="T530" i="11"/>
  <c r="U530" i="11"/>
  <c r="V530" i="11"/>
  <c r="W530" i="11"/>
  <c r="X530" i="11"/>
  <c r="T522" i="11"/>
  <c r="U522" i="11"/>
  <c r="V522" i="11"/>
  <c r="W522" i="11"/>
  <c r="X522" i="11"/>
  <c r="T521" i="11"/>
  <c r="U521" i="11"/>
  <c r="V521" i="11"/>
  <c r="W521" i="11"/>
  <c r="X521" i="11"/>
  <c r="T520" i="11"/>
  <c r="U520" i="11"/>
  <c r="V520" i="11"/>
  <c r="W520" i="11"/>
  <c r="X520" i="11"/>
  <c r="T519" i="11"/>
  <c r="U519" i="11"/>
  <c r="V519" i="11"/>
  <c r="W519" i="11"/>
  <c r="X519" i="11"/>
  <c r="T518" i="11"/>
  <c r="U518" i="11"/>
  <c r="V518" i="11"/>
  <c r="W518" i="11"/>
  <c r="X518" i="11"/>
  <c r="T516" i="11"/>
  <c r="U516" i="11"/>
  <c r="V516" i="11"/>
  <c r="W516" i="11"/>
  <c r="X516" i="11"/>
  <c r="T515" i="11"/>
  <c r="U515" i="11"/>
  <c r="V515" i="11"/>
  <c r="W515" i="11"/>
  <c r="X515" i="11"/>
  <c r="T514" i="11"/>
  <c r="U514" i="11"/>
  <c r="V514" i="11"/>
  <c r="W514" i="11"/>
  <c r="X514" i="11"/>
  <c r="T513" i="11"/>
  <c r="U513" i="11"/>
  <c r="V513" i="11"/>
  <c r="W513" i="11"/>
  <c r="X513" i="11"/>
  <c r="T512" i="11"/>
  <c r="U512" i="11"/>
  <c r="V512" i="11"/>
  <c r="W512" i="11"/>
  <c r="X512" i="11"/>
  <c r="T510" i="11"/>
  <c r="U510" i="11"/>
  <c r="V510" i="11"/>
  <c r="W510" i="11"/>
  <c r="X510" i="11"/>
  <c r="T509" i="11"/>
  <c r="U509" i="11"/>
  <c r="V509" i="11"/>
  <c r="W509" i="11"/>
  <c r="X509" i="11"/>
  <c r="T508" i="11"/>
  <c r="U508" i="11"/>
  <c r="V508" i="11"/>
  <c r="W508" i="11"/>
  <c r="X508" i="11"/>
  <c r="T507" i="11"/>
  <c r="U507" i="11"/>
  <c r="V507" i="11"/>
  <c r="W507" i="11"/>
  <c r="X507" i="11"/>
  <c r="T506" i="11"/>
  <c r="U506" i="11"/>
  <c r="V506" i="11"/>
  <c r="W506" i="11"/>
  <c r="X506" i="11"/>
  <c r="T494" i="12"/>
  <c r="U494" i="12"/>
  <c r="V494" i="12"/>
  <c r="W494" i="12"/>
  <c r="X494" i="12"/>
  <c r="T534" i="12"/>
  <c r="U534" i="12"/>
  <c r="V534" i="12"/>
  <c r="W534" i="12"/>
  <c r="X534" i="12"/>
  <c r="T533" i="12"/>
  <c r="U533" i="12"/>
  <c r="V533" i="12"/>
  <c r="W533" i="12"/>
  <c r="X533" i="12"/>
  <c r="T532" i="12"/>
  <c r="U532" i="12"/>
  <c r="V532" i="12"/>
  <c r="W532" i="12"/>
  <c r="X532" i="12"/>
  <c r="T531" i="12"/>
  <c r="U531" i="12"/>
  <c r="V531" i="12"/>
  <c r="W531" i="12"/>
  <c r="X531" i="12"/>
  <c r="T530" i="12"/>
  <c r="U530" i="12"/>
  <c r="V530" i="12"/>
  <c r="W530" i="12"/>
  <c r="X530" i="12"/>
  <c r="T528" i="12"/>
  <c r="U528" i="12"/>
  <c r="V528" i="12"/>
  <c r="W528" i="12"/>
  <c r="X528" i="12"/>
  <c r="T527" i="12"/>
  <c r="U527" i="12"/>
  <c r="V527" i="12"/>
  <c r="W527" i="12"/>
  <c r="X527" i="12"/>
  <c r="T526" i="12"/>
  <c r="U526" i="12"/>
  <c r="V526" i="12"/>
  <c r="W526" i="12"/>
  <c r="X526" i="12"/>
  <c r="T525" i="12"/>
  <c r="U525" i="12"/>
  <c r="V525" i="12"/>
  <c r="W525" i="12"/>
  <c r="X525" i="12"/>
  <c r="T524" i="12"/>
  <c r="U524" i="12"/>
  <c r="V524" i="12"/>
  <c r="W524" i="12"/>
  <c r="X524" i="12"/>
  <c r="T522" i="12"/>
  <c r="U522" i="12"/>
  <c r="V522" i="12"/>
  <c r="W522" i="12"/>
  <c r="X522" i="12"/>
  <c r="T521" i="12"/>
  <c r="U521" i="12"/>
  <c r="V521" i="12"/>
  <c r="W521" i="12"/>
  <c r="X521" i="12"/>
  <c r="T520" i="12"/>
  <c r="U520" i="12"/>
  <c r="V520" i="12"/>
  <c r="W520" i="12"/>
  <c r="X520" i="12"/>
  <c r="T519" i="12"/>
  <c r="U519" i="12"/>
  <c r="V519" i="12"/>
  <c r="W519" i="12"/>
  <c r="X519" i="12"/>
  <c r="T518" i="12"/>
  <c r="U518" i="12"/>
  <c r="V518" i="12"/>
  <c r="W518" i="12"/>
  <c r="X518" i="12"/>
  <c r="T510" i="12"/>
  <c r="U510" i="12"/>
  <c r="V510" i="12"/>
  <c r="W510" i="12"/>
  <c r="X510" i="12"/>
  <c r="T509" i="12"/>
  <c r="U509" i="12"/>
  <c r="V509" i="12"/>
  <c r="W509" i="12"/>
  <c r="X509" i="12"/>
  <c r="T508" i="12"/>
  <c r="U508" i="12"/>
  <c r="V508" i="12"/>
  <c r="W508" i="12"/>
  <c r="X508" i="12"/>
  <c r="T507" i="12"/>
  <c r="U507" i="12"/>
  <c r="V507" i="12"/>
  <c r="W507" i="12"/>
  <c r="X507" i="12"/>
  <c r="T506" i="12"/>
  <c r="U506" i="12"/>
  <c r="V506" i="12"/>
  <c r="W506" i="12"/>
  <c r="X506" i="12"/>
  <c r="T504" i="12"/>
  <c r="U504" i="12"/>
  <c r="V504" i="12"/>
  <c r="W504" i="12"/>
  <c r="X504" i="12"/>
  <c r="T503" i="12"/>
  <c r="U503" i="12"/>
  <c r="V503" i="12"/>
  <c r="W503" i="12"/>
  <c r="X503" i="12"/>
  <c r="T502" i="12"/>
  <c r="U502" i="12"/>
  <c r="V502" i="12"/>
  <c r="W502" i="12"/>
  <c r="X502" i="12"/>
  <c r="T501" i="12"/>
  <c r="U501" i="12"/>
  <c r="V501" i="12"/>
  <c r="W501" i="12"/>
  <c r="X501" i="12"/>
  <c r="T500" i="12"/>
  <c r="U500" i="12"/>
  <c r="V500" i="12"/>
  <c r="W500" i="12"/>
  <c r="X500" i="12"/>
  <c r="T498" i="12"/>
  <c r="U498" i="12"/>
  <c r="V498" i="12"/>
  <c r="W498" i="12"/>
  <c r="X498" i="12"/>
  <c r="T497" i="12"/>
  <c r="U497" i="12"/>
  <c r="V497" i="12"/>
  <c r="W497" i="12"/>
  <c r="X497" i="12"/>
  <c r="T496" i="12"/>
  <c r="U496" i="12"/>
  <c r="V496" i="12"/>
  <c r="W496" i="12"/>
  <c r="X496" i="12"/>
  <c r="T495" i="12"/>
  <c r="U495" i="12"/>
  <c r="V495" i="12"/>
  <c r="W495" i="12"/>
  <c r="X495" i="12"/>
  <c r="H45" i="12"/>
  <c r="F45" i="12"/>
  <c r="G45" i="12"/>
  <c r="H46" i="12"/>
  <c r="F46" i="12"/>
  <c r="G46" i="12"/>
  <c r="H47" i="12"/>
  <c r="F47" i="12"/>
  <c r="G47" i="12"/>
  <c r="H48" i="12"/>
  <c r="F48" i="12"/>
  <c r="G48" i="12"/>
  <c r="H49" i="12"/>
  <c r="F49" i="12"/>
  <c r="G49" i="12"/>
  <c r="H50" i="12"/>
  <c r="F50" i="12"/>
  <c r="G50" i="12"/>
  <c r="H51" i="12"/>
  <c r="F51" i="12"/>
  <c r="G51" i="12"/>
  <c r="H52" i="12"/>
  <c r="F52" i="12"/>
  <c r="G52" i="12"/>
  <c r="H53" i="12"/>
  <c r="F53" i="12"/>
  <c r="G53" i="12"/>
  <c r="H44" i="12"/>
  <c r="F44" i="12"/>
  <c r="G4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T365" i="13"/>
  <c r="U365" i="13"/>
  <c r="V365" i="13"/>
  <c r="T366" i="13"/>
  <c r="U366" i="13"/>
  <c r="V366" i="13"/>
  <c r="T367" i="13"/>
  <c r="U367" i="13"/>
  <c r="V367" i="13"/>
  <c r="T368" i="13"/>
  <c r="U368" i="13"/>
  <c r="V368" i="13"/>
  <c r="T364" i="13"/>
  <c r="U364" i="13"/>
  <c r="V364" i="13"/>
  <c r="T326" i="13"/>
  <c r="U326" i="13"/>
  <c r="V326" i="13"/>
  <c r="T321" i="13"/>
  <c r="U321" i="13"/>
  <c r="V321" i="13"/>
  <c r="T322" i="13"/>
  <c r="U322" i="13"/>
  <c r="V322" i="13"/>
  <c r="T323" i="13"/>
  <c r="U323" i="13"/>
  <c r="V323" i="13"/>
  <c r="T324" i="13"/>
  <c r="U324" i="13"/>
  <c r="V324" i="13"/>
  <c r="T320" i="13"/>
  <c r="U320" i="13"/>
  <c r="V320" i="13"/>
  <c r="T176" i="13"/>
  <c r="U176" i="13"/>
  <c r="V176" i="13"/>
  <c r="H21" i="11"/>
  <c r="F21" i="11"/>
  <c r="G21" i="11"/>
  <c r="H22" i="11"/>
  <c r="F22" i="11"/>
  <c r="G22" i="11"/>
  <c r="H23" i="11"/>
  <c r="F23" i="11"/>
  <c r="G23" i="11"/>
  <c r="H24" i="11"/>
  <c r="F24" i="11"/>
  <c r="G24" i="11"/>
  <c r="H25" i="11"/>
  <c r="F25" i="11"/>
  <c r="G25" i="11"/>
  <c r="H26" i="11"/>
  <c r="F26" i="11"/>
  <c r="G26" i="11"/>
  <c r="H27" i="11"/>
  <c r="F27" i="11"/>
  <c r="G27" i="11"/>
  <c r="H28" i="11"/>
  <c r="F28" i="11"/>
  <c r="G28" i="11"/>
  <c r="H29" i="11"/>
  <c r="F29" i="11"/>
  <c r="G29" i="11"/>
  <c r="H30" i="11"/>
  <c r="F30" i="11"/>
  <c r="G30" i="11"/>
  <c r="H33" i="11"/>
  <c r="F33" i="11"/>
  <c r="G33" i="11"/>
  <c r="H34" i="11"/>
  <c r="F34" i="11"/>
  <c r="G34" i="11"/>
  <c r="H35" i="11"/>
  <c r="F35" i="11"/>
  <c r="G35" i="11"/>
  <c r="H36" i="11"/>
  <c r="F36" i="11"/>
  <c r="G36" i="11"/>
  <c r="H37" i="11"/>
  <c r="F37" i="11"/>
  <c r="G37" i="11"/>
  <c r="H38" i="11"/>
  <c r="F38" i="11"/>
  <c r="G38" i="11"/>
  <c r="H39" i="11"/>
  <c r="F39" i="11"/>
  <c r="G39" i="11"/>
  <c r="H40" i="11"/>
  <c r="F40" i="11"/>
  <c r="G40" i="11"/>
  <c r="H41" i="11"/>
  <c r="F41" i="11"/>
  <c r="G41" i="11"/>
  <c r="H42" i="11"/>
  <c r="F42" i="11"/>
  <c r="G42" i="11"/>
  <c r="H57" i="11"/>
  <c r="F57" i="11"/>
  <c r="G57" i="11"/>
  <c r="H58" i="11"/>
  <c r="F58" i="11"/>
  <c r="G58" i="11"/>
  <c r="H59" i="11"/>
  <c r="F59" i="11"/>
  <c r="G59" i="11"/>
  <c r="H60" i="11"/>
  <c r="F60" i="11"/>
  <c r="G60" i="11"/>
  <c r="H61" i="11"/>
  <c r="F61" i="11"/>
  <c r="G61" i="11"/>
  <c r="H62" i="11"/>
  <c r="F62" i="11"/>
  <c r="G62" i="11"/>
  <c r="H63" i="11"/>
  <c r="F63" i="11"/>
  <c r="G63" i="11"/>
  <c r="H64" i="11"/>
  <c r="F64" i="11"/>
  <c r="G64" i="11"/>
  <c r="H65" i="11"/>
  <c r="F65" i="11"/>
  <c r="G65" i="11"/>
  <c r="H66" i="11"/>
  <c r="F66" i="11"/>
  <c r="G66" i="11"/>
  <c r="H9" i="11"/>
  <c r="F9" i="11"/>
  <c r="G9" i="11"/>
  <c r="H10" i="11"/>
  <c r="F10" i="11"/>
  <c r="G10" i="11"/>
  <c r="H11" i="11"/>
  <c r="F11" i="11"/>
  <c r="G11" i="11"/>
  <c r="H12" i="11"/>
  <c r="F12" i="11"/>
  <c r="G12" i="11"/>
  <c r="H13" i="11"/>
  <c r="F13" i="11"/>
  <c r="G13" i="11"/>
  <c r="H14" i="11"/>
  <c r="F14" i="11"/>
  <c r="G14" i="11"/>
  <c r="H15" i="11"/>
  <c r="F15" i="11"/>
  <c r="G15" i="11"/>
  <c r="H16" i="11"/>
  <c r="F16" i="11"/>
  <c r="G16" i="11"/>
  <c r="H17" i="11"/>
  <c r="F17" i="11"/>
  <c r="G17" i="11"/>
  <c r="H18" i="11"/>
  <c r="F18" i="11"/>
  <c r="G18" i="11"/>
  <c r="T291" i="13"/>
  <c r="U291" i="13"/>
  <c r="T292" i="13"/>
  <c r="U292" i="13"/>
  <c r="T293" i="13"/>
  <c r="U293" i="13"/>
  <c r="T294" i="13"/>
  <c r="U294" i="13"/>
  <c r="T290" i="13"/>
  <c r="U290" i="13"/>
  <c r="V290" i="13"/>
  <c r="T124" i="13"/>
  <c r="U124" i="13"/>
  <c r="T125" i="13"/>
  <c r="U125" i="13"/>
  <c r="T126" i="13"/>
  <c r="U126" i="13"/>
  <c r="T127" i="13"/>
  <c r="U127" i="13"/>
  <c r="V124" i="13"/>
  <c r="V125" i="13"/>
  <c r="V126" i="13"/>
  <c r="V127" i="13"/>
  <c r="T123" i="13"/>
  <c r="U123" i="13"/>
  <c r="V283" i="13"/>
  <c r="W283" i="13"/>
  <c r="X283" i="13"/>
  <c r="Y283" i="13"/>
  <c r="V277" i="13"/>
  <c r="W277" i="13"/>
  <c r="X277" i="13"/>
  <c r="Y277" i="13"/>
  <c r="V271" i="13"/>
  <c r="W271" i="13"/>
  <c r="X271" i="13"/>
  <c r="Y271" i="13"/>
  <c r="V278" i="13"/>
  <c r="W278" i="13"/>
  <c r="X278" i="13"/>
  <c r="Y278" i="13"/>
  <c r="V279" i="13"/>
  <c r="W279" i="13"/>
  <c r="X279" i="13"/>
  <c r="Y279" i="13"/>
  <c r="V280" i="13"/>
  <c r="W280" i="13"/>
  <c r="X280" i="13"/>
  <c r="Y280" i="13"/>
  <c r="V281" i="13"/>
  <c r="W281" i="13"/>
  <c r="X281" i="13"/>
  <c r="Y281" i="13"/>
  <c r="T105" i="13"/>
  <c r="V287" i="13"/>
  <c r="W287" i="13"/>
  <c r="V286" i="13"/>
  <c r="W286" i="13"/>
  <c r="V285" i="13"/>
  <c r="W285" i="13"/>
  <c r="V284" i="13"/>
  <c r="W284" i="13"/>
  <c r="V275" i="13"/>
  <c r="W275" i="13"/>
  <c r="V274" i="13"/>
  <c r="W274" i="13"/>
  <c r="V273" i="13"/>
  <c r="W273" i="13"/>
  <c r="V272" i="13"/>
  <c r="W272" i="13"/>
  <c r="V263" i="13"/>
  <c r="W263" i="13"/>
  <c r="V262" i="13"/>
  <c r="W262" i="13"/>
  <c r="V261" i="13"/>
  <c r="W261" i="13"/>
  <c r="V260" i="13"/>
  <c r="W260" i="13"/>
  <c r="V259" i="13"/>
  <c r="W259" i="13"/>
  <c r="V257" i="13"/>
  <c r="W257" i="13"/>
  <c r="V256" i="13"/>
  <c r="W256" i="13"/>
  <c r="V255" i="13"/>
  <c r="W255" i="13"/>
  <c r="V254" i="13"/>
  <c r="W254" i="13"/>
  <c r="V253" i="13"/>
  <c r="W253" i="13"/>
  <c r="V251" i="13"/>
  <c r="W251" i="13"/>
  <c r="V250" i="13"/>
  <c r="W250" i="13"/>
  <c r="V249" i="13"/>
  <c r="W249" i="13"/>
  <c r="V248" i="13"/>
  <c r="W248" i="13"/>
  <c r="V247" i="13"/>
  <c r="W247" i="13"/>
  <c r="U271" i="11"/>
  <c r="V271" i="11"/>
  <c r="W271" i="11"/>
  <c r="X271" i="11"/>
  <c r="Y271" i="11"/>
  <c r="U270" i="11"/>
  <c r="V270" i="11"/>
  <c r="W270" i="11"/>
  <c r="X270" i="11"/>
  <c r="Y270" i="11"/>
  <c r="U269" i="11"/>
  <c r="V269" i="11"/>
  <c r="W269" i="11"/>
  <c r="X269" i="11"/>
  <c r="Y269" i="11"/>
  <c r="U268" i="11"/>
  <c r="V268" i="11"/>
  <c r="W268" i="11"/>
  <c r="X268" i="11"/>
  <c r="Y268" i="11"/>
  <c r="U267" i="11"/>
  <c r="V267" i="11"/>
  <c r="W267" i="11"/>
  <c r="X267" i="11"/>
  <c r="Y267" i="11"/>
  <c r="U283" i="11"/>
  <c r="V283" i="11"/>
  <c r="W283" i="11"/>
  <c r="X283" i="11"/>
  <c r="Y283" i="11"/>
  <c r="U282" i="11"/>
  <c r="V282" i="11"/>
  <c r="W282" i="11"/>
  <c r="X282" i="11"/>
  <c r="Y282" i="11"/>
  <c r="U281" i="11"/>
  <c r="V281" i="11"/>
  <c r="W281" i="11"/>
  <c r="X281" i="11"/>
  <c r="Y281" i="11"/>
  <c r="U280" i="11"/>
  <c r="V280" i="11"/>
  <c r="W280" i="11"/>
  <c r="X280" i="11"/>
  <c r="Y280" i="11"/>
  <c r="U279" i="11"/>
  <c r="V279" i="11"/>
  <c r="W279" i="11"/>
  <c r="X279" i="11"/>
  <c r="Y279" i="11"/>
  <c r="U292" i="11"/>
  <c r="V292" i="11"/>
  <c r="W292" i="11"/>
  <c r="X292" i="11"/>
  <c r="Y292" i="11"/>
  <c r="U293" i="11"/>
  <c r="V293" i="11"/>
  <c r="W293" i="11"/>
  <c r="X293" i="11"/>
  <c r="Y293" i="11"/>
  <c r="U294" i="11"/>
  <c r="V294" i="11"/>
  <c r="W294" i="11"/>
  <c r="X294" i="11"/>
  <c r="Y294" i="11"/>
  <c r="U295" i="11"/>
  <c r="V295" i="11"/>
  <c r="W295" i="11"/>
  <c r="X295" i="11"/>
  <c r="Y295" i="11"/>
  <c r="U291" i="11"/>
  <c r="V291" i="11"/>
  <c r="W291" i="11"/>
  <c r="X291" i="11"/>
  <c r="Y291" i="11"/>
  <c r="T370" i="13"/>
  <c r="U370" i="13"/>
  <c r="V370" i="13"/>
  <c r="W370" i="13"/>
  <c r="T371" i="13"/>
  <c r="U371" i="13"/>
  <c r="V371" i="13"/>
  <c r="W371" i="13"/>
  <c r="T372" i="13"/>
  <c r="U372" i="13"/>
  <c r="V372" i="13"/>
  <c r="W372" i="13"/>
  <c r="T373" i="13"/>
  <c r="U373" i="13"/>
  <c r="V373" i="13"/>
  <c r="W373" i="13"/>
  <c r="T374" i="13"/>
  <c r="U374" i="13"/>
  <c r="V374" i="13"/>
  <c r="W374" i="13"/>
  <c r="W375" i="13"/>
  <c r="W364" i="13"/>
  <c r="W365" i="13"/>
  <c r="W366" i="13"/>
  <c r="W367" i="13"/>
  <c r="W368" i="13"/>
  <c r="W369" i="13"/>
  <c r="T358" i="13"/>
  <c r="U358" i="13"/>
  <c r="V358" i="13"/>
  <c r="W358" i="13"/>
  <c r="T359" i="13"/>
  <c r="U359" i="13"/>
  <c r="V359" i="13"/>
  <c r="W359" i="13"/>
  <c r="T360" i="13"/>
  <c r="U360" i="13"/>
  <c r="V360" i="13"/>
  <c r="W360" i="13"/>
  <c r="T361" i="13"/>
  <c r="U361" i="13"/>
  <c r="V361" i="13"/>
  <c r="W361" i="13"/>
  <c r="T362" i="13"/>
  <c r="U362" i="13"/>
  <c r="V362" i="13"/>
  <c r="W362" i="13"/>
  <c r="W363" i="13"/>
  <c r="T346" i="13"/>
  <c r="U346" i="13"/>
  <c r="V346" i="13"/>
  <c r="W346" i="13"/>
  <c r="T347" i="13"/>
  <c r="U347" i="13"/>
  <c r="V347" i="13"/>
  <c r="W347" i="13"/>
  <c r="T348" i="13"/>
  <c r="U348" i="13"/>
  <c r="V348" i="13"/>
  <c r="W348" i="13"/>
  <c r="T349" i="13"/>
  <c r="U349" i="13"/>
  <c r="V349" i="13"/>
  <c r="W349" i="13"/>
  <c r="T350" i="13"/>
  <c r="U350" i="13"/>
  <c r="V350" i="13"/>
  <c r="W350" i="13"/>
  <c r="W351" i="13"/>
  <c r="T340" i="13"/>
  <c r="U340" i="13"/>
  <c r="V340" i="13"/>
  <c r="W340" i="13"/>
  <c r="T341" i="13"/>
  <c r="U341" i="13"/>
  <c r="V341" i="13"/>
  <c r="W341" i="13"/>
  <c r="T342" i="13"/>
  <c r="U342" i="13"/>
  <c r="V342" i="13"/>
  <c r="W342" i="13"/>
  <c r="T343" i="13"/>
  <c r="U343" i="13"/>
  <c r="V343" i="13"/>
  <c r="W343" i="13"/>
  <c r="T344" i="13"/>
  <c r="U344" i="13"/>
  <c r="V344" i="13"/>
  <c r="W344" i="13"/>
  <c r="W345" i="13"/>
  <c r="T334" i="13"/>
  <c r="U334" i="13"/>
  <c r="V334" i="13"/>
  <c r="W334" i="13"/>
  <c r="T335" i="13"/>
  <c r="U335" i="13"/>
  <c r="V335" i="13"/>
  <c r="W335" i="13"/>
  <c r="T336" i="13"/>
  <c r="U336" i="13"/>
  <c r="V336" i="13"/>
  <c r="W336" i="13"/>
  <c r="T337" i="13"/>
  <c r="U337" i="13"/>
  <c r="V337" i="13"/>
  <c r="W337" i="13"/>
  <c r="T338" i="13"/>
  <c r="U338" i="13"/>
  <c r="V338" i="13"/>
  <c r="W338" i="13"/>
  <c r="W339" i="13"/>
  <c r="W326" i="13"/>
  <c r="T327" i="13"/>
  <c r="U327" i="13"/>
  <c r="V327" i="13"/>
  <c r="W327" i="13"/>
  <c r="T328" i="13"/>
  <c r="U328" i="13"/>
  <c r="V328" i="13"/>
  <c r="W328" i="13"/>
  <c r="T329" i="13"/>
  <c r="U329" i="13"/>
  <c r="V329" i="13"/>
  <c r="W329" i="13"/>
  <c r="T330" i="13"/>
  <c r="U330" i="13"/>
  <c r="V330" i="13"/>
  <c r="W330" i="13"/>
  <c r="W331" i="13"/>
  <c r="W320" i="13"/>
  <c r="W321" i="13"/>
  <c r="W322" i="13"/>
  <c r="W323" i="13"/>
  <c r="W324" i="13"/>
  <c r="W325" i="13"/>
  <c r="T314" i="13"/>
  <c r="U314" i="13"/>
  <c r="V314" i="13"/>
  <c r="W314" i="13"/>
  <c r="T315" i="13"/>
  <c r="U315" i="13"/>
  <c r="V315" i="13"/>
  <c r="W315" i="13"/>
  <c r="T316" i="13"/>
  <c r="U316" i="13"/>
  <c r="V316" i="13"/>
  <c r="W316" i="13"/>
  <c r="T317" i="13"/>
  <c r="U317" i="13"/>
  <c r="V317" i="13"/>
  <c r="W317" i="13"/>
  <c r="T318" i="13"/>
  <c r="U318" i="13"/>
  <c r="V318" i="13"/>
  <c r="W318" i="13"/>
  <c r="W319" i="13"/>
  <c r="T302" i="13"/>
  <c r="U302" i="13"/>
  <c r="V302" i="13"/>
  <c r="W302" i="13"/>
  <c r="T303" i="13"/>
  <c r="U303" i="13"/>
  <c r="V303" i="13"/>
  <c r="W303" i="13"/>
  <c r="T304" i="13"/>
  <c r="U304" i="13"/>
  <c r="V304" i="13"/>
  <c r="W304" i="13"/>
  <c r="T305" i="13"/>
  <c r="U305" i="13"/>
  <c r="V305" i="13"/>
  <c r="W305" i="13"/>
  <c r="T306" i="13"/>
  <c r="U306" i="13"/>
  <c r="V306" i="13"/>
  <c r="W306" i="13"/>
  <c r="W307" i="13"/>
  <c r="T296" i="13"/>
  <c r="U296" i="13"/>
  <c r="V296" i="13"/>
  <c r="W296" i="13"/>
  <c r="T297" i="13"/>
  <c r="U297" i="13"/>
  <c r="V297" i="13"/>
  <c r="W297" i="13"/>
  <c r="T298" i="13"/>
  <c r="U298" i="13"/>
  <c r="V298" i="13"/>
  <c r="W298" i="13"/>
  <c r="T299" i="13"/>
  <c r="U299" i="13"/>
  <c r="V299" i="13"/>
  <c r="W299" i="13"/>
  <c r="T300" i="13"/>
  <c r="U300" i="13"/>
  <c r="V300" i="13"/>
  <c r="W300" i="13"/>
  <c r="W301" i="13"/>
  <c r="W290" i="13"/>
  <c r="V291" i="13"/>
  <c r="W291" i="13"/>
  <c r="V292" i="13"/>
  <c r="W292" i="13"/>
  <c r="V293" i="13"/>
  <c r="W293" i="13"/>
  <c r="V294" i="13"/>
  <c r="W294" i="13"/>
  <c r="W295" i="13"/>
  <c r="Z283" i="13"/>
  <c r="X284" i="13"/>
  <c r="Y284" i="13"/>
  <c r="Z284" i="13"/>
  <c r="X285" i="13"/>
  <c r="Y285" i="13"/>
  <c r="Z285" i="13"/>
  <c r="X286" i="13"/>
  <c r="Y286" i="13"/>
  <c r="Z286" i="13"/>
  <c r="X287" i="13"/>
  <c r="Y287" i="13"/>
  <c r="Z287" i="13"/>
  <c r="Z288" i="13"/>
  <c r="Z277" i="13"/>
  <c r="Z278" i="13"/>
  <c r="Z279" i="13"/>
  <c r="Z280" i="13"/>
  <c r="Z281" i="13"/>
  <c r="Z282" i="13"/>
  <c r="Z271" i="13"/>
  <c r="X272" i="13"/>
  <c r="Y272" i="13"/>
  <c r="Z272" i="13"/>
  <c r="X273" i="13"/>
  <c r="Y273" i="13"/>
  <c r="Z273" i="13"/>
  <c r="X274" i="13"/>
  <c r="Y274" i="13"/>
  <c r="Z274" i="13"/>
  <c r="X275" i="13"/>
  <c r="Y275" i="13"/>
  <c r="Z275" i="13"/>
  <c r="Z276" i="13"/>
  <c r="X259" i="13"/>
  <c r="Y259" i="13"/>
  <c r="Z259" i="13"/>
  <c r="X260" i="13"/>
  <c r="Y260" i="13"/>
  <c r="Z260" i="13"/>
  <c r="X261" i="13"/>
  <c r="Y261" i="13"/>
  <c r="Z261" i="13"/>
  <c r="X262" i="13"/>
  <c r="Y262" i="13"/>
  <c r="Z262" i="13"/>
  <c r="X263" i="13"/>
  <c r="Y263" i="13"/>
  <c r="Z263" i="13"/>
  <c r="Z264" i="13"/>
  <c r="X253" i="13"/>
  <c r="Y253" i="13"/>
  <c r="Z253" i="13"/>
  <c r="X254" i="13"/>
  <c r="Y254" i="13"/>
  <c r="Z254" i="13"/>
  <c r="X255" i="13"/>
  <c r="Y255" i="13"/>
  <c r="Z255" i="13"/>
  <c r="X256" i="13"/>
  <c r="Y256" i="13"/>
  <c r="Z256" i="13"/>
  <c r="X257" i="13"/>
  <c r="Y257" i="13"/>
  <c r="Z257" i="13"/>
  <c r="Z258" i="13"/>
  <c r="X247" i="13"/>
  <c r="Y247" i="13"/>
  <c r="Z247" i="13"/>
  <c r="X248" i="13"/>
  <c r="Y248" i="13"/>
  <c r="Z248" i="13"/>
  <c r="X249" i="13"/>
  <c r="Y249" i="13"/>
  <c r="Z249" i="13"/>
  <c r="X250" i="13"/>
  <c r="Y250" i="13"/>
  <c r="Z250" i="13"/>
  <c r="X251" i="13"/>
  <c r="Y251" i="13"/>
  <c r="Z251" i="13"/>
  <c r="Z252" i="13"/>
  <c r="X197" i="13"/>
  <c r="X191" i="13"/>
  <c r="W176" i="13"/>
  <c r="T177" i="13"/>
  <c r="U177" i="13"/>
  <c r="V177" i="13"/>
  <c r="W177" i="13"/>
  <c r="T178" i="13"/>
  <c r="U178" i="13"/>
  <c r="V178" i="13"/>
  <c r="W178" i="13"/>
  <c r="T179" i="13"/>
  <c r="U179" i="13"/>
  <c r="V179" i="13"/>
  <c r="W179" i="13"/>
  <c r="T180" i="13"/>
  <c r="U180" i="13"/>
  <c r="V180" i="13"/>
  <c r="W180" i="13"/>
  <c r="X180" i="13"/>
  <c r="V123" i="13"/>
  <c r="W123" i="13"/>
  <c r="W124" i="13"/>
  <c r="W125" i="13"/>
  <c r="W126" i="13"/>
  <c r="W127" i="13"/>
  <c r="X127" i="13"/>
  <c r="X121" i="13"/>
  <c r="U105" i="13"/>
  <c r="V105" i="13"/>
  <c r="W105" i="13"/>
  <c r="T106" i="13"/>
  <c r="U106" i="13"/>
  <c r="V106" i="13"/>
  <c r="W106" i="13"/>
  <c r="T107" i="13"/>
  <c r="U107" i="13"/>
  <c r="V107" i="13"/>
  <c r="W107" i="13"/>
  <c r="T108" i="13"/>
  <c r="U108" i="13"/>
  <c r="V108" i="13"/>
  <c r="W108" i="13"/>
  <c r="T109" i="13"/>
  <c r="U109" i="13"/>
  <c r="V109" i="13"/>
  <c r="W109" i="13"/>
  <c r="X109" i="13"/>
  <c r="AH47" i="13"/>
  <c r="F44" i="13"/>
  <c r="AH46" i="13"/>
  <c r="F43" i="13"/>
  <c r="AH45" i="13"/>
  <c r="F42" i="13"/>
  <c r="F41" i="13"/>
  <c r="F40" i="13"/>
  <c r="F39" i="13"/>
  <c r="F38" i="13"/>
  <c r="F37" i="13"/>
  <c r="F36" i="13"/>
  <c r="F35" i="13"/>
  <c r="F30" i="13"/>
  <c r="F29" i="13"/>
  <c r="F28" i="13"/>
  <c r="F27" i="13"/>
  <c r="F26" i="13"/>
  <c r="F25" i="13"/>
  <c r="F24" i="13"/>
  <c r="F23" i="13"/>
  <c r="F22" i="13"/>
  <c r="F21" i="13"/>
  <c r="I17" i="13"/>
  <c r="G17" i="13"/>
  <c r="H17" i="13"/>
  <c r="E17" i="13"/>
  <c r="I16" i="13"/>
  <c r="G16" i="13"/>
  <c r="H16" i="13"/>
  <c r="E16" i="13"/>
  <c r="I15" i="13"/>
  <c r="G15" i="13"/>
  <c r="H15" i="13"/>
  <c r="E15" i="13"/>
  <c r="I14" i="13"/>
  <c r="G14" i="13"/>
  <c r="H14" i="13"/>
  <c r="E14" i="13"/>
  <c r="I13" i="13"/>
  <c r="G13" i="13"/>
  <c r="H13" i="13"/>
  <c r="E13" i="13"/>
  <c r="I12" i="13"/>
  <c r="G12" i="13"/>
  <c r="H12" i="13"/>
  <c r="E12" i="13"/>
  <c r="I11" i="13"/>
  <c r="G11" i="13"/>
  <c r="H11" i="13"/>
  <c r="E11" i="13"/>
  <c r="I10" i="13"/>
  <c r="G10" i="13"/>
  <c r="H10" i="13"/>
  <c r="E10" i="13"/>
  <c r="I9" i="13"/>
  <c r="G9" i="13"/>
  <c r="H9" i="13"/>
  <c r="E9" i="13"/>
  <c r="I8" i="13"/>
  <c r="G8" i="13"/>
  <c r="H8" i="13"/>
  <c r="E8" i="13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U242" i="11"/>
  <c r="V242" i="11"/>
  <c r="W242" i="11"/>
  <c r="X242" i="11"/>
  <c r="Y242" i="11"/>
  <c r="AA250" i="11"/>
  <c r="AA249" i="11"/>
  <c r="AA248" i="11"/>
  <c r="AA247" i="11"/>
  <c r="AA246" i="11"/>
  <c r="AA244" i="11"/>
  <c r="AA243" i="11"/>
  <c r="AA242" i="11"/>
  <c r="AA241" i="11"/>
  <c r="AA240" i="11"/>
  <c r="AA238" i="11"/>
  <c r="AA237" i="11"/>
  <c r="AA236" i="11"/>
  <c r="AA235" i="11"/>
  <c r="AA234" i="11"/>
  <c r="AA181" i="11"/>
  <c r="AA180" i="11"/>
  <c r="AA179" i="11"/>
  <c r="AA178" i="11"/>
  <c r="AA177" i="11"/>
  <c r="AA193" i="11"/>
  <c r="AA192" i="11"/>
  <c r="AA191" i="11"/>
  <c r="AA190" i="11"/>
  <c r="AA189" i="11"/>
  <c r="AA205" i="11"/>
  <c r="AA204" i="11"/>
  <c r="AA203" i="11"/>
  <c r="AA202" i="11"/>
  <c r="AA201" i="11"/>
  <c r="AA112" i="11"/>
  <c r="AA111" i="11"/>
  <c r="AA110" i="11"/>
  <c r="AA109" i="11"/>
  <c r="AA108" i="11"/>
  <c r="AA124" i="11"/>
  <c r="AA123" i="11"/>
  <c r="AA122" i="11"/>
  <c r="AA121" i="11"/>
  <c r="AA120" i="11"/>
  <c r="AA136" i="11"/>
  <c r="AA135" i="11"/>
  <c r="AA134" i="11"/>
  <c r="AA133" i="11"/>
  <c r="AA132" i="11"/>
  <c r="AA43" i="11"/>
  <c r="AA42" i="11"/>
  <c r="AA41" i="11"/>
  <c r="AA40" i="11"/>
  <c r="AA39" i="11"/>
  <c r="AA55" i="11"/>
  <c r="AA54" i="11"/>
  <c r="AA53" i="11"/>
  <c r="AA52" i="11"/>
  <c r="AA51" i="11"/>
  <c r="U244" i="11"/>
  <c r="V244" i="11"/>
  <c r="W244" i="11"/>
  <c r="X244" i="11"/>
  <c r="Y244" i="11"/>
  <c r="U246" i="11"/>
  <c r="V246" i="11"/>
  <c r="W246" i="11"/>
  <c r="X246" i="11"/>
  <c r="Y246" i="11"/>
  <c r="U248" i="11"/>
  <c r="V248" i="11"/>
  <c r="W248" i="11"/>
  <c r="X248" i="11"/>
  <c r="Y248" i="11"/>
  <c r="T501" i="11"/>
  <c r="U501" i="11"/>
  <c r="V501" i="11"/>
  <c r="W501" i="11"/>
  <c r="X501" i="11"/>
  <c r="T500" i="11"/>
  <c r="U500" i="11"/>
  <c r="V500" i="11"/>
  <c r="W500" i="11"/>
  <c r="X500" i="11"/>
  <c r="T499" i="11"/>
  <c r="U499" i="11"/>
  <c r="V499" i="11"/>
  <c r="W499" i="11"/>
  <c r="X499" i="11"/>
  <c r="T498" i="11"/>
  <c r="U498" i="11"/>
  <c r="V498" i="11"/>
  <c r="W498" i="11"/>
  <c r="X498" i="11"/>
  <c r="T497" i="11"/>
  <c r="U497" i="11"/>
  <c r="V497" i="11"/>
  <c r="W497" i="11"/>
  <c r="X497" i="11"/>
  <c r="Y502" i="11"/>
  <c r="T495" i="11"/>
  <c r="U495" i="11"/>
  <c r="V495" i="11"/>
  <c r="W495" i="11"/>
  <c r="X495" i="11"/>
  <c r="T494" i="11"/>
  <c r="U494" i="11"/>
  <c r="V494" i="11"/>
  <c r="W494" i="11"/>
  <c r="X494" i="11"/>
  <c r="T493" i="11"/>
  <c r="U493" i="11"/>
  <c r="V493" i="11"/>
  <c r="W493" i="11"/>
  <c r="X493" i="11"/>
  <c r="T492" i="11"/>
  <c r="U492" i="11"/>
  <c r="V492" i="11"/>
  <c r="W492" i="11"/>
  <c r="X492" i="11"/>
  <c r="T491" i="11"/>
  <c r="U491" i="11"/>
  <c r="V491" i="11"/>
  <c r="W491" i="11"/>
  <c r="X491" i="11"/>
  <c r="T489" i="11"/>
  <c r="U489" i="11"/>
  <c r="V489" i="11"/>
  <c r="W489" i="11"/>
  <c r="X489" i="11"/>
  <c r="T488" i="11"/>
  <c r="U488" i="11"/>
  <c r="V488" i="11"/>
  <c r="W488" i="11"/>
  <c r="X488" i="11"/>
  <c r="T487" i="11"/>
  <c r="U487" i="11"/>
  <c r="V487" i="11"/>
  <c r="W487" i="11"/>
  <c r="X487" i="11"/>
  <c r="T486" i="11"/>
  <c r="U486" i="11"/>
  <c r="V486" i="11"/>
  <c r="W486" i="11"/>
  <c r="X486" i="11"/>
  <c r="T485" i="11"/>
  <c r="U485" i="11"/>
  <c r="V485" i="11"/>
  <c r="W485" i="11"/>
  <c r="X485" i="11"/>
  <c r="T483" i="11"/>
  <c r="U483" i="11"/>
  <c r="V483" i="11"/>
  <c r="W483" i="11"/>
  <c r="X483" i="11"/>
  <c r="T482" i="11"/>
  <c r="U482" i="11"/>
  <c r="V482" i="11"/>
  <c r="W482" i="11"/>
  <c r="X482" i="11"/>
  <c r="T481" i="11"/>
  <c r="U481" i="11"/>
  <c r="V481" i="11"/>
  <c r="W481" i="11"/>
  <c r="X481" i="11"/>
  <c r="T480" i="11"/>
  <c r="U480" i="11"/>
  <c r="V480" i="11"/>
  <c r="W480" i="11"/>
  <c r="X480" i="11"/>
  <c r="T479" i="11"/>
  <c r="U479" i="11"/>
  <c r="V479" i="11"/>
  <c r="W479" i="11"/>
  <c r="X479" i="11"/>
  <c r="T477" i="11"/>
  <c r="U477" i="11"/>
  <c r="V477" i="11"/>
  <c r="W477" i="11"/>
  <c r="X477" i="11"/>
  <c r="T476" i="11"/>
  <c r="U476" i="11"/>
  <c r="V476" i="11"/>
  <c r="W476" i="11"/>
  <c r="X476" i="11"/>
  <c r="T475" i="11"/>
  <c r="U475" i="11"/>
  <c r="V475" i="11"/>
  <c r="W475" i="11"/>
  <c r="X475" i="11"/>
  <c r="T474" i="11"/>
  <c r="U474" i="11"/>
  <c r="V474" i="11"/>
  <c r="W474" i="11"/>
  <c r="X474" i="11"/>
  <c r="T473" i="11"/>
  <c r="U473" i="11"/>
  <c r="V473" i="11"/>
  <c r="W473" i="11"/>
  <c r="X473" i="11"/>
  <c r="T468" i="11"/>
  <c r="U468" i="11"/>
  <c r="V468" i="11"/>
  <c r="W468" i="11"/>
  <c r="X468" i="11"/>
  <c r="T469" i="11"/>
  <c r="U469" i="11"/>
  <c r="V469" i="11"/>
  <c r="W469" i="11"/>
  <c r="X469" i="11"/>
  <c r="T470" i="11"/>
  <c r="U470" i="11"/>
  <c r="V470" i="11"/>
  <c r="W470" i="11"/>
  <c r="X470" i="11"/>
  <c r="T471" i="11"/>
  <c r="U471" i="11"/>
  <c r="V471" i="11"/>
  <c r="W471" i="11"/>
  <c r="X471" i="11"/>
  <c r="T467" i="11"/>
  <c r="U467" i="11"/>
  <c r="V467" i="11"/>
  <c r="W467" i="11"/>
  <c r="X467" i="11"/>
  <c r="U250" i="11"/>
  <c r="V250" i="11"/>
  <c r="W250" i="11"/>
  <c r="X250" i="11"/>
  <c r="Y250" i="11"/>
  <c r="U249" i="11"/>
  <c r="V249" i="11"/>
  <c r="W249" i="11"/>
  <c r="X249" i="11"/>
  <c r="Y249" i="11"/>
  <c r="U247" i="11"/>
  <c r="V247" i="11"/>
  <c r="W247" i="11"/>
  <c r="X247" i="11"/>
  <c r="Y247" i="11"/>
  <c r="U243" i="11"/>
  <c r="V243" i="11"/>
  <c r="W243" i="11"/>
  <c r="X243" i="11"/>
  <c r="Y243" i="11"/>
  <c r="U241" i="11"/>
  <c r="V241" i="11"/>
  <c r="W241" i="11"/>
  <c r="X241" i="11"/>
  <c r="Y241" i="11"/>
  <c r="U240" i="11"/>
  <c r="V240" i="11"/>
  <c r="W240" i="11"/>
  <c r="X240" i="11"/>
  <c r="Y240" i="11"/>
  <c r="U235" i="11"/>
  <c r="V235" i="11"/>
  <c r="W235" i="11"/>
  <c r="X235" i="11"/>
  <c r="Y235" i="11"/>
  <c r="U236" i="11"/>
  <c r="V236" i="11"/>
  <c r="W236" i="11"/>
  <c r="X236" i="11"/>
  <c r="Y236" i="11"/>
  <c r="U237" i="11"/>
  <c r="V237" i="11"/>
  <c r="W237" i="11"/>
  <c r="X237" i="11"/>
  <c r="Y237" i="11"/>
  <c r="U238" i="11"/>
  <c r="V238" i="11"/>
  <c r="W238" i="11"/>
  <c r="X238" i="11"/>
  <c r="Y238" i="11"/>
  <c r="U234" i="11"/>
  <c r="V234" i="11"/>
  <c r="W234" i="11"/>
  <c r="X234" i="11"/>
  <c r="Y234" i="11"/>
  <c r="H46" i="11"/>
  <c r="F46" i="11"/>
  <c r="G46" i="11"/>
  <c r="H47" i="11"/>
  <c r="F47" i="11"/>
  <c r="G47" i="11"/>
  <c r="H48" i="11"/>
  <c r="F48" i="11"/>
  <c r="G48" i="11"/>
  <c r="H49" i="11"/>
  <c r="F49" i="11"/>
  <c r="G49" i="11"/>
  <c r="H50" i="11"/>
  <c r="F50" i="11"/>
  <c r="G50" i="11"/>
  <c r="H51" i="11"/>
  <c r="F51" i="11"/>
  <c r="G51" i="11"/>
  <c r="H52" i="11"/>
  <c r="F52" i="11"/>
  <c r="G52" i="11"/>
  <c r="H53" i="11"/>
  <c r="F53" i="11"/>
  <c r="G53" i="11"/>
  <c r="H54" i="11"/>
  <c r="F54" i="11"/>
  <c r="G54" i="11"/>
  <c r="H45" i="11"/>
  <c r="F45" i="11"/>
  <c r="G4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AH35" i="10"/>
  <c r="AH37" i="10"/>
  <c r="AH94" i="10"/>
  <c r="AG16" i="10"/>
  <c r="AG17" i="10"/>
  <c r="AG15" i="10"/>
  <c r="U120" i="2"/>
  <c r="V120" i="2"/>
  <c r="W120" i="2"/>
  <c r="X120" i="2"/>
  <c r="U121" i="2"/>
  <c r="V121" i="2"/>
  <c r="W121" i="2"/>
  <c r="X121" i="2"/>
  <c r="U122" i="2"/>
  <c r="V122" i="2"/>
  <c r="W122" i="2"/>
  <c r="X122" i="2"/>
  <c r="U123" i="2"/>
  <c r="V123" i="2"/>
  <c r="W123" i="2"/>
  <c r="X123" i="2"/>
  <c r="U119" i="2"/>
  <c r="V119" i="2"/>
  <c r="W119" i="2"/>
  <c r="X119" i="2"/>
  <c r="U117" i="2"/>
  <c r="V117" i="2"/>
  <c r="W117" i="2"/>
  <c r="X117" i="2"/>
  <c r="U114" i="2"/>
  <c r="V114" i="2"/>
  <c r="W114" i="2"/>
  <c r="X114" i="2"/>
  <c r="U115" i="2"/>
  <c r="V115" i="2"/>
  <c r="W115" i="2"/>
  <c r="X115" i="2"/>
  <c r="U116" i="2"/>
  <c r="V116" i="2"/>
  <c r="W116" i="2"/>
  <c r="X116" i="2"/>
  <c r="U113" i="2"/>
  <c r="V113" i="2"/>
  <c r="W113" i="2"/>
  <c r="X113" i="2"/>
  <c r="U107" i="2"/>
  <c r="V107" i="2"/>
  <c r="W107" i="2"/>
  <c r="X107" i="2"/>
  <c r="U108" i="2"/>
  <c r="V108" i="2"/>
  <c r="W108" i="2"/>
  <c r="X108" i="2"/>
  <c r="U109" i="2"/>
  <c r="V109" i="2"/>
  <c r="W109" i="2"/>
  <c r="X109" i="2"/>
  <c r="U110" i="2"/>
  <c r="V110" i="2"/>
  <c r="W110" i="2"/>
  <c r="X110" i="2"/>
  <c r="U111" i="2"/>
  <c r="V111" i="2"/>
  <c r="W111" i="2"/>
  <c r="X111" i="2"/>
  <c r="U105" i="2"/>
  <c r="V105" i="2"/>
  <c r="W105" i="2"/>
  <c r="X105" i="2"/>
  <c r="U89" i="2"/>
  <c r="V89" i="2"/>
  <c r="W89" i="2"/>
  <c r="X89" i="2"/>
  <c r="E21" i="2"/>
  <c r="E22" i="2"/>
  <c r="E23" i="2"/>
  <c r="E24" i="2"/>
  <c r="E25" i="2"/>
  <c r="E26" i="2"/>
  <c r="E27" i="2"/>
  <c r="E28" i="2"/>
  <c r="E29" i="2"/>
  <c r="E30" i="2"/>
  <c r="E31" i="2"/>
  <c r="F4" i="2"/>
  <c r="S126" i="2"/>
  <c r="T126" i="2"/>
  <c r="U126" i="2"/>
  <c r="S160" i="2"/>
  <c r="T160" i="2"/>
  <c r="U160" i="2"/>
  <c r="S157" i="2"/>
  <c r="T157" i="2"/>
  <c r="U157" i="2"/>
  <c r="S158" i="2"/>
  <c r="T158" i="2"/>
  <c r="U158" i="2"/>
  <c r="S159" i="2"/>
  <c r="T159" i="2"/>
  <c r="U159" i="2"/>
  <c r="S156" i="2"/>
  <c r="T156" i="2"/>
  <c r="U156" i="2"/>
  <c r="S151" i="2"/>
  <c r="T151" i="2"/>
  <c r="U151" i="2"/>
  <c r="S152" i="2"/>
  <c r="T152" i="2"/>
  <c r="U152" i="2"/>
  <c r="S153" i="2"/>
  <c r="T153" i="2"/>
  <c r="U153" i="2"/>
  <c r="S154" i="2"/>
  <c r="T154" i="2"/>
  <c r="U154" i="2"/>
  <c r="S150" i="2"/>
  <c r="T150" i="2"/>
  <c r="U150" i="2"/>
  <c r="S145" i="2"/>
  <c r="T145" i="2"/>
  <c r="S146" i="2"/>
  <c r="T146" i="2"/>
  <c r="S147" i="2"/>
  <c r="T147" i="2"/>
  <c r="S148" i="2"/>
  <c r="T148" i="2"/>
  <c r="S144" i="2"/>
  <c r="T144" i="2"/>
  <c r="U145" i="2"/>
  <c r="U146" i="2"/>
  <c r="U147" i="2"/>
  <c r="U148" i="2"/>
  <c r="U144" i="2"/>
  <c r="S132" i="2"/>
  <c r="T132" i="2"/>
  <c r="U132" i="2"/>
  <c r="U95" i="2"/>
  <c r="V95" i="2"/>
  <c r="W95" i="2"/>
  <c r="X95" i="2"/>
  <c r="E35" i="2"/>
  <c r="E36" i="2"/>
  <c r="E37" i="2"/>
  <c r="E38" i="2"/>
  <c r="E39" i="2"/>
  <c r="E40" i="2"/>
  <c r="E41" i="2"/>
  <c r="E42" i="2"/>
  <c r="E43" i="2"/>
  <c r="E44" i="2"/>
  <c r="E45" i="2"/>
  <c r="G4" i="2"/>
  <c r="S195" i="2"/>
  <c r="T195" i="2"/>
  <c r="U195" i="2"/>
  <c r="S196" i="2"/>
  <c r="T196" i="2"/>
  <c r="U196" i="2"/>
  <c r="S197" i="2"/>
  <c r="T197" i="2"/>
  <c r="U197" i="2"/>
  <c r="S198" i="2"/>
  <c r="T198" i="2"/>
  <c r="U198" i="2"/>
  <c r="S194" i="2"/>
  <c r="T194" i="2"/>
  <c r="U194" i="2"/>
  <c r="S189" i="2"/>
  <c r="T189" i="2"/>
  <c r="U189" i="2"/>
  <c r="S190" i="2"/>
  <c r="T190" i="2"/>
  <c r="U190" i="2"/>
  <c r="S191" i="2"/>
  <c r="T191" i="2"/>
  <c r="U191" i="2"/>
  <c r="S192" i="2"/>
  <c r="T192" i="2"/>
  <c r="U192" i="2"/>
  <c r="S188" i="2"/>
  <c r="T188" i="2"/>
  <c r="U188" i="2"/>
  <c r="S164" i="2"/>
  <c r="T164" i="2"/>
  <c r="U164" i="2"/>
  <c r="S170" i="2"/>
  <c r="T170" i="2"/>
  <c r="U170" i="2"/>
  <c r="S176" i="2"/>
  <c r="T176" i="2"/>
  <c r="U176" i="2"/>
  <c r="S183" i="2"/>
  <c r="T183" i="2"/>
  <c r="U183" i="2"/>
  <c r="S184" i="2"/>
  <c r="T184" i="2"/>
  <c r="U184" i="2"/>
  <c r="S185" i="2"/>
  <c r="T185" i="2"/>
  <c r="U185" i="2"/>
  <c r="S186" i="2"/>
  <c r="T186" i="2"/>
  <c r="U186" i="2"/>
  <c r="S182" i="2"/>
  <c r="T182" i="2"/>
  <c r="U182" i="2"/>
  <c r="AE42" i="2"/>
  <c r="S180" i="2"/>
  <c r="S179" i="2"/>
  <c r="S178" i="2"/>
  <c r="S177" i="2"/>
  <c r="S174" i="2"/>
  <c r="S173" i="2"/>
  <c r="S172" i="2"/>
  <c r="S171" i="2"/>
  <c r="S168" i="2"/>
  <c r="S167" i="2"/>
  <c r="S166" i="2"/>
  <c r="S165" i="2"/>
  <c r="S142" i="2"/>
  <c r="S141" i="2"/>
  <c r="S140" i="2"/>
  <c r="S139" i="2"/>
  <c r="S138" i="2"/>
  <c r="S136" i="2"/>
  <c r="S135" i="2"/>
  <c r="S134" i="2"/>
  <c r="S133" i="2"/>
  <c r="S130" i="2"/>
  <c r="S129" i="2"/>
  <c r="S128" i="2"/>
  <c r="S127" i="2"/>
  <c r="U104" i="2"/>
  <c r="V104" i="2"/>
  <c r="U103" i="2"/>
  <c r="V103" i="2"/>
  <c r="U102" i="2"/>
  <c r="V102" i="2"/>
  <c r="U101" i="2"/>
  <c r="V101" i="2"/>
  <c r="U99" i="2"/>
  <c r="V99" i="2"/>
  <c r="U98" i="2"/>
  <c r="V98" i="2"/>
  <c r="U97" i="2"/>
  <c r="V97" i="2"/>
  <c r="U96" i="2"/>
  <c r="V96" i="2"/>
  <c r="U90" i="2"/>
  <c r="V90" i="2"/>
  <c r="U91" i="2"/>
  <c r="V91" i="2"/>
  <c r="U92" i="2"/>
  <c r="V92" i="2"/>
  <c r="U93" i="2"/>
  <c r="V93" i="2"/>
  <c r="F36" i="2"/>
  <c r="F37" i="2"/>
  <c r="F38" i="2"/>
  <c r="F39" i="2"/>
  <c r="F40" i="2"/>
  <c r="F41" i="2"/>
  <c r="F42" i="2"/>
  <c r="F43" i="2"/>
  <c r="F44" i="2"/>
  <c r="F35" i="2"/>
  <c r="U28" i="2"/>
  <c r="V28" i="2"/>
  <c r="U29" i="2"/>
  <c r="V29" i="2"/>
  <c r="U30" i="2"/>
  <c r="V30" i="2"/>
  <c r="U31" i="2"/>
  <c r="V31" i="2"/>
  <c r="U33" i="2"/>
  <c r="V33" i="2"/>
  <c r="U34" i="2"/>
  <c r="V34" i="2"/>
  <c r="U35" i="2"/>
  <c r="V35" i="2"/>
  <c r="U36" i="2"/>
  <c r="V36" i="2"/>
  <c r="U37" i="2"/>
  <c r="V37" i="2"/>
  <c r="U39" i="2"/>
  <c r="V39" i="2"/>
  <c r="U40" i="2"/>
  <c r="V40" i="2"/>
  <c r="U41" i="2"/>
  <c r="V41" i="2"/>
  <c r="U42" i="2"/>
  <c r="V42" i="2"/>
  <c r="U43" i="2"/>
  <c r="V43" i="2"/>
  <c r="U27" i="2"/>
  <c r="V27" i="2"/>
  <c r="I17" i="2"/>
  <c r="G17" i="2"/>
  <c r="H17" i="2"/>
  <c r="E17" i="2"/>
  <c r="I16" i="2"/>
  <c r="I15" i="2"/>
  <c r="I12" i="2"/>
  <c r="I11" i="2"/>
  <c r="I10" i="2"/>
  <c r="I9" i="2"/>
  <c r="I8" i="2"/>
  <c r="S68" i="2"/>
  <c r="S69" i="2"/>
  <c r="S70" i="2"/>
  <c r="S71" i="2"/>
  <c r="S73" i="2"/>
  <c r="S74" i="2"/>
  <c r="S75" i="2"/>
  <c r="S76" i="2"/>
  <c r="S77" i="2"/>
  <c r="S79" i="2"/>
  <c r="S80" i="2"/>
  <c r="S81" i="2"/>
  <c r="S82" i="2"/>
  <c r="S83" i="2"/>
  <c r="S67" i="2"/>
  <c r="S48" i="2"/>
  <c r="S49" i="2"/>
  <c r="S50" i="2"/>
  <c r="S51" i="2"/>
  <c r="S53" i="2"/>
  <c r="S54" i="2"/>
  <c r="S55" i="2"/>
  <c r="S56" i="2"/>
  <c r="S57" i="2"/>
  <c r="S59" i="2"/>
  <c r="S60" i="2"/>
  <c r="S61" i="2"/>
  <c r="S62" i="2"/>
  <c r="S63" i="2"/>
  <c r="S47" i="2"/>
  <c r="G9" i="2"/>
  <c r="G10" i="2"/>
  <c r="G11" i="2"/>
  <c r="G12" i="2"/>
  <c r="I13" i="2"/>
  <c r="G13" i="2"/>
  <c r="I14" i="2"/>
  <c r="G14" i="2"/>
  <c r="G15" i="2"/>
  <c r="G16" i="2"/>
  <c r="G8" i="2"/>
  <c r="H8" i="12"/>
  <c r="F8" i="12"/>
  <c r="G8" i="12"/>
  <c r="H8" i="2"/>
  <c r="F30" i="2"/>
  <c r="F29" i="2"/>
  <c r="F28" i="2"/>
  <c r="F27" i="2"/>
  <c r="F26" i="2"/>
  <c r="F25" i="2"/>
  <c r="F24" i="2"/>
  <c r="F23" i="2"/>
  <c r="F22" i="2"/>
  <c r="F21" i="2"/>
  <c r="F17" i="2"/>
  <c r="H16" i="2"/>
  <c r="F16" i="2"/>
  <c r="E16" i="2"/>
  <c r="H15" i="2"/>
  <c r="F15" i="2"/>
  <c r="E15" i="2"/>
  <c r="H14" i="2"/>
  <c r="F14" i="2"/>
  <c r="E14" i="2"/>
  <c r="H13" i="2"/>
  <c r="F13" i="2"/>
  <c r="E13" i="2"/>
  <c r="H12" i="2"/>
  <c r="F12" i="2"/>
  <c r="E12" i="2"/>
  <c r="H11" i="2"/>
  <c r="F11" i="2"/>
  <c r="E11" i="2"/>
  <c r="H10" i="2"/>
  <c r="F10" i="2"/>
  <c r="E10" i="2"/>
  <c r="H9" i="2"/>
  <c r="F9" i="2"/>
  <c r="E9" i="2"/>
  <c r="F8" i="2"/>
  <c r="E8" i="2"/>
  <c r="R227" i="10"/>
  <c r="R221" i="10"/>
  <c r="R215" i="10"/>
  <c r="R203" i="10"/>
  <c r="R197" i="10"/>
  <c r="R191" i="10"/>
  <c r="T458" i="11"/>
  <c r="U458" i="11"/>
  <c r="V458" i="11"/>
  <c r="W458" i="11"/>
  <c r="X458" i="11"/>
  <c r="T459" i="11"/>
  <c r="U459" i="11"/>
  <c r="V459" i="11"/>
  <c r="W459" i="11"/>
  <c r="X459" i="11"/>
  <c r="T460" i="11"/>
  <c r="U460" i="11"/>
  <c r="V460" i="11"/>
  <c r="W460" i="11"/>
  <c r="X460" i="11"/>
  <c r="T461" i="11"/>
  <c r="U461" i="11"/>
  <c r="V461" i="11"/>
  <c r="W461" i="11"/>
  <c r="X461" i="11"/>
  <c r="T462" i="11"/>
  <c r="U462" i="11"/>
  <c r="V462" i="11"/>
  <c r="W462" i="11"/>
  <c r="X462" i="11"/>
  <c r="T452" i="11"/>
  <c r="U452" i="11"/>
  <c r="V452" i="11"/>
  <c r="W452" i="11"/>
  <c r="X452" i="11"/>
  <c r="T453" i="11"/>
  <c r="U453" i="11"/>
  <c r="V453" i="11"/>
  <c r="W453" i="11"/>
  <c r="X453" i="11"/>
  <c r="T454" i="11"/>
  <c r="U454" i="11"/>
  <c r="V454" i="11"/>
  <c r="W454" i="11"/>
  <c r="X454" i="11"/>
  <c r="T455" i="11"/>
  <c r="U455" i="11"/>
  <c r="V455" i="11"/>
  <c r="W455" i="11"/>
  <c r="X455" i="11"/>
  <c r="T456" i="11"/>
  <c r="U456" i="11"/>
  <c r="V456" i="11"/>
  <c r="W456" i="11"/>
  <c r="X456" i="11"/>
  <c r="T446" i="11"/>
  <c r="U446" i="11"/>
  <c r="V446" i="11"/>
  <c r="W446" i="11"/>
  <c r="X446" i="11"/>
  <c r="T447" i="11"/>
  <c r="U447" i="11"/>
  <c r="V447" i="11"/>
  <c r="W447" i="11"/>
  <c r="X447" i="11"/>
  <c r="T448" i="11"/>
  <c r="U448" i="11"/>
  <c r="V448" i="11"/>
  <c r="W448" i="11"/>
  <c r="X448" i="11"/>
  <c r="T449" i="11"/>
  <c r="U449" i="11"/>
  <c r="V449" i="11"/>
  <c r="W449" i="11"/>
  <c r="X449" i="11"/>
  <c r="T450" i="11"/>
  <c r="U450" i="11"/>
  <c r="V450" i="11"/>
  <c r="W450" i="11"/>
  <c r="X450" i="11"/>
  <c r="T434" i="11"/>
  <c r="U434" i="11"/>
  <c r="V434" i="11"/>
  <c r="W434" i="11"/>
  <c r="X434" i="11"/>
  <c r="T435" i="11"/>
  <c r="U435" i="11"/>
  <c r="V435" i="11"/>
  <c r="W435" i="11"/>
  <c r="X435" i="11"/>
  <c r="T436" i="11"/>
  <c r="U436" i="11"/>
  <c r="V436" i="11"/>
  <c r="W436" i="11"/>
  <c r="X436" i="11"/>
  <c r="T437" i="11"/>
  <c r="U437" i="11"/>
  <c r="V437" i="11"/>
  <c r="W437" i="11"/>
  <c r="X437" i="11"/>
  <c r="T438" i="11"/>
  <c r="U438" i="11"/>
  <c r="V438" i="11"/>
  <c r="W438" i="11"/>
  <c r="X438" i="11"/>
  <c r="T428" i="11"/>
  <c r="U428" i="11"/>
  <c r="V428" i="11"/>
  <c r="W428" i="11"/>
  <c r="X428" i="11"/>
  <c r="T429" i="11"/>
  <c r="U429" i="11"/>
  <c r="V429" i="11"/>
  <c r="W429" i="11"/>
  <c r="X429" i="11"/>
  <c r="T430" i="11"/>
  <c r="U430" i="11"/>
  <c r="V430" i="11"/>
  <c r="W430" i="11"/>
  <c r="X430" i="11"/>
  <c r="T431" i="11"/>
  <c r="U431" i="11"/>
  <c r="V431" i="11"/>
  <c r="W431" i="11"/>
  <c r="X431" i="11"/>
  <c r="T432" i="11"/>
  <c r="U432" i="11"/>
  <c r="V432" i="11"/>
  <c r="W432" i="11"/>
  <c r="X432" i="11"/>
  <c r="T422" i="11"/>
  <c r="U422" i="11"/>
  <c r="V422" i="11"/>
  <c r="W422" i="11"/>
  <c r="X422" i="11"/>
  <c r="T423" i="11"/>
  <c r="U423" i="11"/>
  <c r="V423" i="11"/>
  <c r="W423" i="11"/>
  <c r="X423" i="11"/>
  <c r="T424" i="11"/>
  <c r="U424" i="11"/>
  <c r="V424" i="11"/>
  <c r="W424" i="11"/>
  <c r="X424" i="11"/>
  <c r="T425" i="11"/>
  <c r="U425" i="11"/>
  <c r="V425" i="11"/>
  <c r="W425" i="11"/>
  <c r="X425" i="11"/>
  <c r="T426" i="11"/>
  <c r="U426" i="11"/>
  <c r="V426" i="11"/>
  <c r="W426" i="11"/>
  <c r="X426" i="11"/>
  <c r="T413" i="11"/>
  <c r="U413" i="11"/>
  <c r="V413" i="11"/>
  <c r="W413" i="11"/>
  <c r="X413" i="11"/>
  <c r="T414" i="11"/>
  <c r="U414" i="11"/>
  <c r="V414" i="11"/>
  <c r="W414" i="11"/>
  <c r="X414" i="11"/>
  <c r="T415" i="11"/>
  <c r="U415" i="11"/>
  <c r="V415" i="11"/>
  <c r="W415" i="11"/>
  <c r="X415" i="11"/>
  <c r="T416" i="11"/>
  <c r="U416" i="11"/>
  <c r="V416" i="11"/>
  <c r="W416" i="11"/>
  <c r="X416" i="11"/>
  <c r="T417" i="11"/>
  <c r="U417" i="11"/>
  <c r="V417" i="11"/>
  <c r="W417" i="11"/>
  <c r="X417" i="11"/>
  <c r="T407" i="11"/>
  <c r="U407" i="11"/>
  <c r="V407" i="11"/>
  <c r="W407" i="11"/>
  <c r="X407" i="11"/>
  <c r="T408" i="11"/>
  <c r="U408" i="11"/>
  <c r="V408" i="11"/>
  <c r="W408" i="11"/>
  <c r="X408" i="11"/>
  <c r="T409" i="11"/>
  <c r="U409" i="11"/>
  <c r="V409" i="11"/>
  <c r="W409" i="11"/>
  <c r="X409" i="11"/>
  <c r="T410" i="11"/>
  <c r="U410" i="11"/>
  <c r="V410" i="11"/>
  <c r="W410" i="11"/>
  <c r="X410" i="11"/>
  <c r="T411" i="11"/>
  <c r="U411" i="11"/>
  <c r="V411" i="11"/>
  <c r="W411" i="11"/>
  <c r="X411" i="11"/>
  <c r="T401" i="11"/>
  <c r="U401" i="11"/>
  <c r="V401" i="11"/>
  <c r="W401" i="11"/>
  <c r="X401" i="11"/>
  <c r="T402" i="11"/>
  <c r="U402" i="11"/>
  <c r="V402" i="11"/>
  <c r="W402" i="11"/>
  <c r="X402" i="11"/>
  <c r="T403" i="11"/>
  <c r="U403" i="11"/>
  <c r="V403" i="11"/>
  <c r="W403" i="11"/>
  <c r="X403" i="11"/>
  <c r="T404" i="11"/>
  <c r="U404" i="11"/>
  <c r="V404" i="11"/>
  <c r="W404" i="11"/>
  <c r="X404" i="11"/>
  <c r="T405" i="11"/>
  <c r="U405" i="11"/>
  <c r="V405" i="11"/>
  <c r="W405" i="11"/>
  <c r="X405" i="11"/>
  <c r="T389" i="11"/>
  <c r="U389" i="11"/>
  <c r="V389" i="11"/>
  <c r="W389" i="11"/>
  <c r="X389" i="11"/>
  <c r="T390" i="11"/>
  <c r="U390" i="11"/>
  <c r="V390" i="11"/>
  <c r="W390" i="11"/>
  <c r="X390" i="11"/>
  <c r="T391" i="11"/>
  <c r="U391" i="11"/>
  <c r="V391" i="11"/>
  <c r="W391" i="11"/>
  <c r="X391" i="11"/>
  <c r="T392" i="11"/>
  <c r="U392" i="11"/>
  <c r="V392" i="11"/>
  <c r="W392" i="11"/>
  <c r="X392" i="11"/>
  <c r="T393" i="11"/>
  <c r="U393" i="11"/>
  <c r="V393" i="11"/>
  <c r="W393" i="11"/>
  <c r="X393" i="11"/>
  <c r="T383" i="11"/>
  <c r="U383" i="11"/>
  <c r="V383" i="11"/>
  <c r="W383" i="11"/>
  <c r="X383" i="11"/>
  <c r="T384" i="11"/>
  <c r="U384" i="11"/>
  <c r="V384" i="11"/>
  <c r="W384" i="11"/>
  <c r="X384" i="11"/>
  <c r="T385" i="11"/>
  <c r="U385" i="11"/>
  <c r="V385" i="11"/>
  <c r="W385" i="11"/>
  <c r="X385" i="11"/>
  <c r="T386" i="11"/>
  <c r="U386" i="11"/>
  <c r="V386" i="11"/>
  <c r="W386" i="11"/>
  <c r="X386" i="11"/>
  <c r="T387" i="11"/>
  <c r="U387" i="11"/>
  <c r="V387" i="11"/>
  <c r="W387" i="11"/>
  <c r="X387" i="11"/>
  <c r="T377" i="11"/>
  <c r="U377" i="11"/>
  <c r="V377" i="11"/>
  <c r="W377" i="11"/>
  <c r="X377" i="11"/>
  <c r="T378" i="11"/>
  <c r="U378" i="11"/>
  <c r="V378" i="11"/>
  <c r="W378" i="11"/>
  <c r="X378" i="11"/>
  <c r="T379" i="11"/>
  <c r="U379" i="11"/>
  <c r="V379" i="11"/>
  <c r="W379" i="11"/>
  <c r="X379" i="11"/>
  <c r="T380" i="11"/>
  <c r="U380" i="11"/>
  <c r="V380" i="11"/>
  <c r="W380" i="11"/>
  <c r="X380" i="11"/>
  <c r="T381" i="11"/>
  <c r="U381" i="11"/>
  <c r="V381" i="11"/>
  <c r="W381" i="11"/>
  <c r="X381" i="11"/>
  <c r="T368" i="11"/>
  <c r="U368" i="11"/>
  <c r="V368" i="11"/>
  <c r="W368" i="11"/>
  <c r="X368" i="11"/>
  <c r="T369" i="11"/>
  <c r="U369" i="11"/>
  <c r="V369" i="11"/>
  <c r="W369" i="11"/>
  <c r="X369" i="11"/>
  <c r="T370" i="11"/>
  <c r="U370" i="11"/>
  <c r="V370" i="11"/>
  <c r="W370" i="11"/>
  <c r="X370" i="11"/>
  <c r="T371" i="11"/>
  <c r="U371" i="11"/>
  <c r="V371" i="11"/>
  <c r="W371" i="11"/>
  <c r="X371" i="11"/>
  <c r="T372" i="11"/>
  <c r="U372" i="11"/>
  <c r="V372" i="11"/>
  <c r="W372" i="11"/>
  <c r="X372" i="11"/>
  <c r="T362" i="11"/>
  <c r="U362" i="11"/>
  <c r="V362" i="11"/>
  <c r="W362" i="11"/>
  <c r="X362" i="11"/>
  <c r="T363" i="11"/>
  <c r="U363" i="11"/>
  <c r="V363" i="11"/>
  <c r="W363" i="11"/>
  <c r="X363" i="11"/>
  <c r="T364" i="11"/>
  <c r="U364" i="11"/>
  <c r="V364" i="11"/>
  <c r="W364" i="11"/>
  <c r="X364" i="11"/>
  <c r="T365" i="11"/>
  <c r="U365" i="11"/>
  <c r="V365" i="11"/>
  <c r="W365" i="11"/>
  <c r="X365" i="11"/>
  <c r="T366" i="11"/>
  <c r="U366" i="11"/>
  <c r="V366" i="11"/>
  <c r="W366" i="11"/>
  <c r="X366" i="11"/>
  <c r="T356" i="11"/>
  <c r="U356" i="11"/>
  <c r="V356" i="11"/>
  <c r="W356" i="11"/>
  <c r="X356" i="11"/>
  <c r="T357" i="11"/>
  <c r="U357" i="11"/>
  <c r="V357" i="11"/>
  <c r="W357" i="11"/>
  <c r="X357" i="11"/>
  <c r="T358" i="11"/>
  <c r="U358" i="11"/>
  <c r="V358" i="11"/>
  <c r="W358" i="11"/>
  <c r="X358" i="11"/>
  <c r="T359" i="11"/>
  <c r="U359" i="11"/>
  <c r="V359" i="11"/>
  <c r="W359" i="11"/>
  <c r="X359" i="11"/>
  <c r="T360" i="11"/>
  <c r="U360" i="11"/>
  <c r="V360" i="11"/>
  <c r="W360" i="11"/>
  <c r="X360" i="11"/>
  <c r="T344" i="11"/>
  <c r="U344" i="11"/>
  <c r="V344" i="11"/>
  <c r="W344" i="11"/>
  <c r="X344" i="11"/>
  <c r="T345" i="11"/>
  <c r="U345" i="11"/>
  <c r="V345" i="11"/>
  <c r="W345" i="11"/>
  <c r="X345" i="11"/>
  <c r="T346" i="11"/>
  <c r="U346" i="11"/>
  <c r="V346" i="11"/>
  <c r="W346" i="11"/>
  <c r="X346" i="11"/>
  <c r="T347" i="11"/>
  <c r="U347" i="11"/>
  <c r="V347" i="11"/>
  <c r="W347" i="11"/>
  <c r="X347" i="11"/>
  <c r="T348" i="11"/>
  <c r="U348" i="11"/>
  <c r="V348" i="11"/>
  <c r="W348" i="11"/>
  <c r="X348" i="11"/>
  <c r="T338" i="11"/>
  <c r="U338" i="11"/>
  <c r="V338" i="11"/>
  <c r="W338" i="11"/>
  <c r="X338" i="11"/>
  <c r="T339" i="11"/>
  <c r="U339" i="11"/>
  <c r="V339" i="11"/>
  <c r="W339" i="11"/>
  <c r="X339" i="11"/>
  <c r="T340" i="11"/>
  <c r="U340" i="11"/>
  <c r="V340" i="11"/>
  <c r="W340" i="11"/>
  <c r="X340" i="11"/>
  <c r="T341" i="11"/>
  <c r="U341" i="11"/>
  <c r="V341" i="11"/>
  <c r="W341" i="11"/>
  <c r="X341" i="11"/>
  <c r="T342" i="11"/>
  <c r="U342" i="11"/>
  <c r="V342" i="11"/>
  <c r="W342" i="11"/>
  <c r="X342" i="11"/>
  <c r="T332" i="11"/>
  <c r="U332" i="11"/>
  <c r="V332" i="11"/>
  <c r="W332" i="11"/>
  <c r="X332" i="11"/>
  <c r="T333" i="11"/>
  <c r="U333" i="11"/>
  <c r="V333" i="11"/>
  <c r="W333" i="11"/>
  <c r="X333" i="11"/>
  <c r="T334" i="11"/>
  <c r="U334" i="11"/>
  <c r="V334" i="11"/>
  <c r="W334" i="11"/>
  <c r="X334" i="11"/>
  <c r="T335" i="11"/>
  <c r="U335" i="11"/>
  <c r="V335" i="11"/>
  <c r="W335" i="11"/>
  <c r="X335" i="11"/>
  <c r="T336" i="11"/>
  <c r="U336" i="11"/>
  <c r="V336" i="11"/>
  <c r="W336" i="11"/>
  <c r="X336" i="11"/>
  <c r="U177" i="11"/>
  <c r="V177" i="11"/>
  <c r="W177" i="11"/>
  <c r="X177" i="11"/>
  <c r="Y177" i="11"/>
  <c r="U178" i="11"/>
  <c r="V178" i="11"/>
  <c r="W178" i="11"/>
  <c r="X178" i="11"/>
  <c r="Y178" i="11"/>
  <c r="U179" i="11"/>
  <c r="V179" i="11"/>
  <c r="W179" i="11"/>
  <c r="X179" i="11"/>
  <c r="Y179" i="11"/>
  <c r="U180" i="11"/>
  <c r="V180" i="11"/>
  <c r="W180" i="11"/>
  <c r="X180" i="11"/>
  <c r="Y180" i="11"/>
  <c r="U181" i="11"/>
  <c r="V181" i="11"/>
  <c r="W181" i="11"/>
  <c r="X181" i="11"/>
  <c r="Y181" i="11"/>
  <c r="U189" i="11"/>
  <c r="V189" i="11"/>
  <c r="W189" i="11"/>
  <c r="X189" i="11"/>
  <c r="Y189" i="11"/>
  <c r="U190" i="11"/>
  <c r="V190" i="11"/>
  <c r="W190" i="11"/>
  <c r="X190" i="11"/>
  <c r="Y190" i="11"/>
  <c r="U191" i="11"/>
  <c r="V191" i="11"/>
  <c r="W191" i="11"/>
  <c r="X191" i="11"/>
  <c r="Y191" i="11"/>
  <c r="U192" i="11"/>
  <c r="V192" i="11"/>
  <c r="W192" i="11"/>
  <c r="X192" i="11"/>
  <c r="Y192" i="11"/>
  <c r="U193" i="11"/>
  <c r="V193" i="11"/>
  <c r="W193" i="11"/>
  <c r="X193" i="11"/>
  <c r="Y193" i="11"/>
  <c r="U201" i="11"/>
  <c r="V201" i="11"/>
  <c r="W201" i="11"/>
  <c r="X201" i="11"/>
  <c r="Y201" i="11"/>
  <c r="U202" i="11"/>
  <c r="V202" i="11"/>
  <c r="W202" i="11"/>
  <c r="X202" i="11"/>
  <c r="Y202" i="11"/>
  <c r="U203" i="11"/>
  <c r="V203" i="11"/>
  <c r="W203" i="11"/>
  <c r="X203" i="11"/>
  <c r="Y203" i="11"/>
  <c r="U204" i="11"/>
  <c r="V204" i="11"/>
  <c r="W204" i="11"/>
  <c r="X204" i="11"/>
  <c r="Y204" i="11"/>
  <c r="U205" i="11"/>
  <c r="V205" i="11"/>
  <c r="W205" i="11"/>
  <c r="X205" i="11"/>
  <c r="Y205" i="11"/>
  <c r="V108" i="11"/>
  <c r="W108" i="11"/>
  <c r="X108" i="11"/>
  <c r="Y108" i="11"/>
  <c r="V109" i="11"/>
  <c r="W109" i="11"/>
  <c r="X109" i="11"/>
  <c r="Y109" i="11"/>
  <c r="V110" i="11"/>
  <c r="W110" i="11"/>
  <c r="X110" i="11"/>
  <c r="Y110" i="11"/>
  <c r="V111" i="11"/>
  <c r="W111" i="11"/>
  <c r="X111" i="11"/>
  <c r="Y111" i="11"/>
  <c r="V112" i="11"/>
  <c r="W112" i="11"/>
  <c r="X112" i="11"/>
  <c r="Y112" i="11"/>
  <c r="U120" i="11"/>
  <c r="V120" i="11"/>
  <c r="W120" i="11"/>
  <c r="X120" i="11"/>
  <c r="Y120" i="11"/>
  <c r="U121" i="11"/>
  <c r="V121" i="11"/>
  <c r="W121" i="11"/>
  <c r="X121" i="11"/>
  <c r="Y121" i="11"/>
  <c r="U122" i="11"/>
  <c r="V122" i="11"/>
  <c r="W122" i="11"/>
  <c r="X122" i="11"/>
  <c r="Y122" i="11"/>
  <c r="U123" i="11"/>
  <c r="V123" i="11"/>
  <c r="W123" i="11"/>
  <c r="X123" i="11"/>
  <c r="Y123" i="11"/>
  <c r="U124" i="11"/>
  <c r="V124" i="11"/>
  <c r="W124" i="11"/>
  <c r="X124" i="11"/>
  <c r="Y124" i="11"/>
  <c r="U132" i="11"/>
  <c r="V132" i="11"/>
  <c r="W132" i="11"/>
  <c r="X132" i="11"/>
  <c r="Y132" i="11"/>
  <c r="U133" i="11"/>
  <c r="V133" i="11"/>
  <c r="W133" i="11"/>
  <c r="X133" i="11"/>
  <c r="Y133" i="11"/>
  <c r="U134" i="11"/>
  <c r="V134" i="11"/>
  <c r="W134" i="11"/>
  <c r="X134" i="11"/>
  <c r="Y134" i="11"/>
  <c r="U135" i="11"/>
  <c r="V135" i="11"/>
  <c r="W135" i="11"/>
  <c r="X135" i="11"/>
  <c r="Y135" i="11"/>
  <c r="U136" i="11"/>
  <c r="V136" i="11"/>
  <c r="W136" i="11"/>
  <c r="X136" i="11"/>
  <c r="Y136" i="11"/>
  <c r="U39" i="11"/>
  <c r="V39" i="11"/>
  <c r="W39" i="11"/>
  <c r="X39" i="11"/>
  <c r="Y39" i="11"/>
  <c r="U40" i="11"/>
  <c r="V40" i="11"/>
  <c r="W40" i="11"/>
  <c r="X40" i="11"/>
  <c r="Y40" i="11"/>
  <c r="U41" i="11"/>
  <c r="V41" i="11"/>
  <c r="W41" i="11"/>
  <c r="X41" i="11"/>
  <c r="Y41" i="11"/>
  <c r="U42" i="11"/>
  <c r="V42" i="11"/>
  <c r="W42" i="11"/>
  <c r="X42" i="11"/>
  <c r="Y42" i="11"/>
  <c r="U43" i="11"/>
  <c r="V43" i="11"/>
  <c r="W43" i="11"/>
  <c r="X43" i="11"/>
  <c r="Y43" i="11"/>
  <c r="U51" i="11"/>
  <c r="V51" i="11"/>
  <c r="W51" i="11"/>
  <c r="X51" i="11"/>
  <c r="Y51" i="11"/>
  <c r="U52" i="11"/>
  <c r="V52" i="11"/>
  <c r="W52" i="11"/>
  <c r="X52" i="11"/>
  <c r="Y52" i="11"/>
  <c r="U53" i="11"/>
  <c r="V53" i="11"/>
  <c r="W53" i="11"/>
  <c r="X53" i="11"/>
  <c r="Y53" i="11"/>
  <c r="U54" i="11"/>
  <c r="V54" i="11"/>
  <c r="W54" i="11"/>
  <c r="X54" i="11"/>
  <c r="Y54" i="11"/>
  <c r="U55" i="11"/>
  <c r="V55" i="11"/>
  <c r="W55" i="11"/>
  <c r="X55" i="11"/>
  <c r="Y55" i="11"/>
  <c r="AG37" i="10"/>
  <c r="AG36" i="10"/>
  <c r="AG35" i="10"/>
  <c r="AG30" i="10"/>
  <c r="AG29" i="10"/>
  <c r="AG28" i="10"/>
  <c r="AG23" i="10"/>
  <c r="AG24" i="10"/>
  <c r="AG22" i="10"/>
  <c r="AH24" i="10"/>
  <c r="AH23" i="10"/>
  <c r="AH22" i="10"/>
  <c r="AH30" i="10"/>
  <c r="AH29" i="10"/>
  <c r="AH28" i="10"/>
  <c r="AH36" i="10"/>
  <c r="H33" i="12"/>
  <c r="F33" i="12"/>
  <c r="G33" i="12"/>
  <c r="H34" i="12"/>
  <c r="F34" i="12"/>
  <c r="G34" i="12"/>
  <c r="H35" i="12"/>
  <c r="F35" i="12"/>
  <c r="G35" i="12"/>
  <c r="H36" i="12"/>
  <c r="F36" i="12"/>
  <c r="G36" i="12"/>
  <c r="H37" i="12"/>
  <c r="F37" i="12"/>
  <c r="G37" i="12"/>
  <c r="H38" i="12"/>
  <c r="F38" i="12"/>
  <c r="G38" i="12"/>
  <c r="H39" i="12"/>
  <c r="F39" i="12"/>
  <c r="G39" i="12"/>
  <c r="H40" i="12"/>
  <c r="F40" i="12"/>
  <c r="G40" i="12"/>
  <c r="H41" i="12"/>
  <c r="F41" i="12"/>
  <c r="G41" i="12"/>
  <c r="H32" i="12"/>
  <c r="F32" i="12"/>
  <c r="G32" i="12"/>
  <c r="H21" i="12"/>
  <c r="F21" i="12"/>
  <c r="G21" i="12"/>
  <c r="H22" i="12"/>
  <c r="F22" i="12"/>
  <c r="G22" i="12"/>
  <c r="H23" i="12"/>
  <c r="F23" i="12"/>
  <c r="G23" i="12"/>
  <c r="H24" i="12"/>
  <c r="F24" i="12"/>
  <c r="G24" i="12"/>
  <c r="H25" i="12"/>
  <c r="F25" i="12"/>
  <c r="G25" i="12"/>
  <c r="H26" i="12"/>
  <c r="F26" i="12"/>
  <c r="G26" i="12"/>
  <c r="H27" i="12"/>
  <c r="F27" i="12"/>
  <c r="G27" i="12"/>
  <c r="H28" i="12"/>
  <c r="F28" i="12"/>
  <c r="G28" i="12"/>
  <c r="H29" i="12"/>
  <c r="F29" i="12"/>
  <c r="G29" i="12"/>
  <c r="H20" i="12"/>
  <c r="F20" i="12"/>
  <c r="G20" i="12"/>
  <c r="H9" i="12"/>
  <c r="F9" i="12"/>
  <c r="G9" i="12"/>
  <c r="H10" i="12"/>
  <c r="F10" i="12"/>
  <c r="G10" i="12"/>
  <c r="H11" i="12"/>
  <c r="F11" i="12"/>
  <c r="G11" i="12"/>
  <c r="H12" i="12"/>
  <c r="F12" i="12"/>
  <c r="G12" i="12"/>
  <c r="H13" i="12"/>
  <c r="F13" i="12"/>
  <c r="G13" i="12"/>
  <c r="H14" i="12"/>
  <c r="F14" i="12"/>
  <c r="G14" i="12"/>
  <c r="H15" i="12"/>
  <c r="F15" i="12"/>
  <c r="G15" i="12"/>
  <c r="H16" i="12"/>
  <c r="F16" i="12"/>
  <c r="G16" i="12"/>
  <c r="H17" i="12"/>
  <c r="F17" i="12"/>
  <c r="G17" i="12"/>
  <c r="S234" i="9"/>
  <c r="T234" i="9"/>
  <c r="U234" i="9"/>
  <c r="V234" i="9"/>
  <c r="W234" i="9"/>
  <c r="S233" i="9"/>
  <c r="T233" i="9"/>
  <c r="U233" i="9"/>
  <c r="V233" i="9"/>
  <c r="W233" i="9"/>
  <c r="S232" i="9"/>
  <c r="T232" i="9"/>
  <c r="U232" i="9"/>
  <c r="V232" i="9"/>
  <c r="W232" i="9"/>
  <c r="S231" i="9"/>
  <c r="T231" i="9"/>
  <c r="U231" i="9"/>
  <c r="V231" i="9"/>
  <c r="W231" i="9"/>
  <c r="S230" i="9"/>
  <c r="T230" i="9"/>
  <c r="U230" i="9"/>
  <c r="V230" i="9"/>
  <c r="W230" i="9"/>
  <c r="S228" i="9"/>
  <c r="T228" i="9"/>
  <c r="U228" i="9"/>
  <c r="V228" i="9"/>
  <c r="W228" i="9"/>
  <c r="S227" i="9"/>
  <c r="T227" i="9"/>
  <c r="U227" i="9"/>
  <c r="V227" i="9"/>
  <c r="W227" i="9"/>
  <c r="S226" i="9"/>
  <c r="T226" i="9"/>
  <c r="U226" i="9"/>
  <c r="V226" i="9"/>
  <c r="W226" i="9"/>
  <c r="S225" i="9"/>
  <c r="T225" i="9"/>
  <c r="U225" i="9"/>
  <c r="V225" i="9"/>
  <c r="W225" i="9"/>
  <c r="S224" i="9"/>
  <c r="T224" i="9"/>
  <c r="U224" i="9"/>
  <c r="V224" i="9"/>
  <c r="W224" i="9"/>
  <c r="S222" i="9"/>
  <c r="T222" i="9"/>
  <c r="U222" i="9"/>
  <c r="V222" i="9"/>
  <c r="W222" i="9"/>
  <c r="S221" i="9"/>
  <c r="T221" i="9"/>
  <c r="U221" i="9"/>
  <c r="V221" i="9"/>
  <c r="W221" i="9"/>
  <c r="S220" i="9"/>
  <c r="T220" i="9"/>
  <c r="U220" i="9"/>
  <c r="V220" i="9"/>
  <c r="W220" i="9"/>
  <c r="S219" i="9"/>
  <c r="T219" i="9"/>
  <c r="U219" i="9"/>
  <c r="V219" i="9"/>
  <c r="W219" i="9"/>
  <c r="S218" i="9"/>
  <c r="T218" i="9"/>
  <c r="U218" i="9"/>
  <c r="V218" i="9"/>
  <c r="W218" i="9"/>
  <c r="S210" i="9"/>
  <c r="T210" i="9"/>
  <c r="U210" i="9"/>
  <c r="V210" i="9"/>
  <c r="W210" i="9"/>
  <c r="S209" i="9"/>
  <c r="T209" i="9"/>
  <c r="U209" i="9"/>
  <c r="V209" i="9"/>
  <c r="W209" i="9"/>
  <c r="S208" i="9"/>
  <c r="T208" i="9"/>
  <c r="U208" i="9"/>
  <c r="V208" i="9"/>
  <c r="W208" i="9"/>
  <c r="S207" i="9"/>
  <c r="T207" i="9"/>
  <c r="U207" i="9"/>
  <c r="V207" i="9"/>
  <c r="W207" i="9"/>
  <c r="S206" i="9"/>
  <c r="T206" i="9"/>
  <c r="U206" i="9"/>
  <c r="V206" i="9"/>
  <c r="W206" i="9"/>
  <c r="S204" i="9"/>
  <c r="T204" i="9"/>
  <c r="U204" i="9"/>
  <c r="V204" i="9"/>
  <c r="W204" i="9"/>
  <c r="S203" i="9"/>
  <c r="T203" i="9"/>
  <c r="U203" i="9"/>
  <c r="V203" i="9"/>
  <c r="W203" i="9"/>
  <c r="S202" i="9"/>
  <c r="T202" i="9"/>
  <c r="U202" i="9"/>
  <c r="V202" i="9"/>
  <c r="W202" i="9"/>
  <c r="S201" i="9"/>
  <c r="T201" i="9"/>
  <c r="U201" i="9"/>
  <c r="V201" i="9"/>
  <c r="W201" i="9"/>
  <c r="S200" i="9"/>
  <c r="T200" i="9"/>
  <c r="U200" i="9"/>
  <c r="V200" i="9"/>
  <c r="W200" i="9"/>
  <c r="S198" i="9"/>
  <c r="T198" i="9"/>
  <c r="U198" i="9"/>
  <c r="V198" i="9"/>
  <c r="W198" i="9"/>
  <c r="S197" i="9"/>
  <c r="T197" i="9"/>
  <c r="U197" i="9"/>
  <c r="V197" i="9"/>
  <c r="W197" i="9"/>
  <c r="S196" i="9"/>
  <c r="T196" i="9"/>
  <c r="U196" i="9"/>
  <c r="V196" i="9"/>
  <c r="W196" i="9"/>
  <c r="S195" i="9"/>
  <c r="T195" i="9"/>
  <c r="U195" i="9"/>
  <c r="V195" i="9"/>
  <c r="W195" i="9"/>
  <c r="S194" i="9"/>
  <c r="T194" i="9"/>
  <c r="U194" i="9"/>
  <c r="V194" i="9"/>
  <c r="W194" i="9"/>
  <c r="S38" i="9"/>
  <c r="T38" i="9"/>
  <c r="U38" i="9"/>
  <c r="V38" i="9"/>
  <c r="W38" i="9"/>
  <c r="S37" i="9"/>
  <c r="T37" i="9"/>
  <c r="U37" i="9"/>
  <c r="V37" i="9"/>
  <c r="W37" i="9"/>
  <c r="S36" i="9"/>
  <c r="T36" i="9"/>
  <c r="U36" i="9"/>
  <c r="V36" i="9"/>
  <c r="W36" i="9"/>
  <c r="S35" i="9"/>
  <c r="T35" i="9"/>
  <c r="U35" i="9"/>
  <c r="V35" i="9"/>
  <c r="W35" i="9"/>
  <c r="S34" i="9"/>
  <c r="T34" i="9"/>
  <c r="U34" i="9"/>
  <c r="V34" i="9"/>
  <c r="W34" i="9"/>
  <c r="S32" i="9"/>
  <c r="T32" i="9"/>
  <c r="U32" i="9"/>
  <c r="V32" i="9"/>
  <c r="W32" i="9"/>
  <c r="S31" i="9"/>
  <c r="T31" i="9"/>
  <c r="U31" i="9"/>
  <c r="V31" i="9"/>
  <c r="W31" i="9"/>
  <c r="S30" i="9"/>
  <c r="T30" i="9"/>
  <c r="U30" i="9"/>
  <c r="V30" i="9"/>
  <c r="W30" i="9"/>
  <c r="S29" i="9"/>
  <c r="T29" i="9"/>
  <c r="U29" i="9"/>
  <c r="V29" i="9"/>
  <c r="W29" i="9"/>
  <c r="S28" i="9"/>
  <c r="T28" i="9"/>
  <c r="U28" i="9"/>
  <c r="V28" i="9"/>
  <c r="W28" i="9"/>
  <c r="S23" i="9"/>
  <c r="T23" i="9"/>
  <c r="U23" i="9"/>
  <c r="V23" i="9"/>
  <c r="W23" i="9"/>
  <c r="S24" i="9"/>
  <c r="T24" i="9"/>
  <c r="U24" i="9"/>
  <c r="V24" i="9"/>
  <c r="W24" i="9"/>
  <c r="S25" i="9"/>
  <c r="T25" i="9"/>
  <c r="U25" i="9"/>
  <c r="V25" i="9"/>
  <c r="W25" i="9"/>
  <c r="S26" i="9"/>
  <c r="T26" i="9"/>
  <c r="U26" i="9"/>
  <c r="V26" i="9"/>
  <c r="W26" i="9"/>
  <c r="S22" i="9"/>
  <c r="T22" i="9"/>
  <c r="U22" i="9"/>
  <c r="V22" i="9"/>
  <c r="W22" i="9"/>
  <c r="AH90" i="10"/>
  <c r="AH89" i="10"/>
  <c r="AH88" i="10"/>
  <c r="AH87" i="10"/>
  <c r="AH86" i="10"/>
  <c r="AH85" i="10"/>
  <c r="AH76" i="10"/>
  <c r="T388" i="12"/>
  <c r="U388" i="12"/>
  <c r="V388" i="12"/>
  <c r="W388" i="12"/>
  <c r="X388" i="12"/>
  <c r="T490" i="12"/>
  <c r="U490" i="12"/>
  <c r="V490" i="12"/>
  <c r="W490" i="12"/>
  <c r="X490" i="12"/>
  <c r="T489" i="12"/>
  <c r="U489" i="12"/>
  <c r="V489" i="12"/>
  <c r="W489" i="12"/>
  <c r="X489" i="12"/>
  <c r="T488" i="12"/>
  <c r="U488" i="12"/>
  <c r="V488" i="12"/>
  <c r="W488" i="12"/>
  <c r="X488" i="12"/>
  <c r="T487" i="12"/>
  <c r="U487" i="12"/>
  <c r="V487" i="12"/>
  <c r="W487" i="12"/>
  <c r="X487" i="12"/>
  <c r="T486" i="12"/>
  <c r="U486" i="12"/>
  <c r="V486" i="12"/>
  <c r="W486" i="12"/>
  <c r="X486" i="12"/>
  <c r="T484" i="12"/>
  <c r="U484" i="12"/>
  <c r="V484" i="12"/>
  <c r="W484" i="12"/>
  <c r="X484" i="12"/>
  <c r="T483" i="12"/>
  <c r="U483" i="12"/>
  <c r="V483" i="12"/>
  <c r="W483" i="12"/>
  <c r="X483" i="12"/>
  <c r="T482" i="12"/>
  <c r="U482" i="12"/>
  <c r="V482" i="12"/>
  <c r="W482" i="12"/>
  <c r="X482" i="12"/>
  <c r="T481" i="12"/>
  <c r="U481" i="12"/>
  <c r="V481" i="12"/>
  <c r="W481" i="12"/>
  <c r="X481" i="12"/>
  <c r="T480" i="12"/>
  <c r="U480" i="12"/>
  <c r="V480" i="12"/>
  <c r="W480" i="12"/>
  <c r="X480" i="12"/>
  <c r="T478" i="12"/>
  <c r="U478" i="12"/>
  <c r="V478" i="12"/>
  <c r="W478" i="12"/>
  <c r="X478" i="12"/>
  <c r="T477" i="12"/>
  <c r="U477" i="12"/>
  <c r="V477" i="12"/>
  <c r="W477" i="12"/>
  <c r="X477" i="12"/>
  <c r="T476" i="12"/>
  <c r="U476" i="12"/>
  <c r="V476" i="12"/>
  <c r="W476" i="12"/>
  <c r="X476" i="12"/>
  <c r="T475" i="12"/>
  <c r="U475" i="12"/>
  <c r="V475" i="12"/>
  <c r="W475" i="12"/>
  <c r="X475" i="12"/>
  <c r="T474" i="12"/>
  <c r="U474" i="12"/>
  <c r="V474" i="12"/>
  <c r="W474" i="12"/>
  <c r="X474" i="12"/>
  <c r="T466" i="12"/>
  <c r="U466" i="12"/>
  <c r="V466" i="12"/>
  <c r="W466" i="12"/>
  <c r="X466" i="12"/>
  <c r="T465" i="12"/>
  <c r="U465" i="12"/>
  <c r="V465" i="12"/>
  <c r="W465" i="12"/>
  <c r="X465" i="12"/>
  <c r="T464" i="12"/>
  <c r="U464" i="12"/>
  <c r="V464" i="12"/>
  <c r="W464" i="12"/>
  <c r="X464" i="12"/>
  <c r="T463" i="12"/>
  <c r="U463" i="12"/>
  <c r="V463" i="12"/>
  <c r="W463" i="12"/>
  <c r="X463" i="12"/>
  <c r="T462" i="12"/>
  <c r="U462" i="12"/>
  <c r="V462" i="12"/>
  <c r="W462" i="12"/>
  <c r="X462" i="12"/>
  <c r="T460" i="12"/>
  <c r="U460" i="12"/>
  <c r="V460" i="12"/>
  <c r="W460" i="12"/>
  <c r="X460" i="12"/>
  <c r="T459" i="12"/>
  <c r="U459" i="12"/>
  <c r="V459" i="12"/>
  <c r="W459" i="12"/>
  <c r="X459" i="12"/>
  <c r="T458" i="12"/>
  <c r="U458" i="12"/>
  <c r="V458" i="12"/>
  <c r="W458" i="12"/>
  <c r="X458" i="12"/>
  <c r="T457" i="12"/>
  <c r="U457" i="12"/>
  <c r="V457" i="12"/>
  <c r="W457" i="12"/>
  <c r="X457" i="12"/>
  <c r="T456" i="12"/>
  <c r="U456" i="12"/>
  <c r="V456" i="12"/>
  <c r="W456" i="12"/>
  <c r="X456" i="12"/>
  <c r="T454" i="12"/>
  <c r="U454" i="12"/>
  <c r="V454" i="12"/>
  <c r="W454" i="12"/>
  <c r="X454" i="12"/>
  <c r="T453" i="12"/>
  <c r="U453" i="12"/>
  <c r="V453" i="12"/>
  <c r="W453" i="12"/>
  <c r="X453" i="12"/>
  <c r="T452" i="12"/>
  <c r="U452" i="12"/>
  <c r="V452" i="12"/>
  <c r="W452" i="12"/>
  <c r="X452" i="12"/>
  <c r="T451" i="12"/>
  <c r="U451" i="12"/>
  <c r="V451" i="12"/>
  <c r="W451" i="12"/>
  <c r="X451" i="12"/>
  <c r="T450" i="12"/>
  <c r="U450" i="12"/>
  <c r="V450" i="12"/>
  <c r="W450" i="12"/>
  <c r="X450" i="12"/>
  <c r="T364" i="12"/>
  <c r="U364" i="12"/>
  <c r="V364" i="12"/>
  <c r="W364" i="12"/>
  <c r="X364" i="12"/>
  <c r="T363" i="12"/>
  <c r="U363" i="12"/>
  <c r="V363" i="12"/>
  <c r="W363" i="12"/>
  <c r="X363" i="12"/>
  <c r="T362" i="12"/>
  <c r="U362" i="12"/>
  <c r="V362" i="12"/>
  <c r="W362" i="12"/>
  <c r="X362" i="12"/>
  <c r="T361" i="12"/>
  <c r="U361" i="12"/>
  <c r="V361" i="12"/>
  <c r="W361" i="12"/>
  <c r="X361" i="12"/>
  <c r="T360" i="12"/>
  <c r="U360" i="12"/>
  <c r="V360" i="12"/>
  <c r="W360" i="12"/>
  <c r="X360" i="12"/>
  <c r="T445" i="12"/>
  <c r="U445" i="12"/>
  <c r="V445" i="12"/>
  <c r="W445" i="12"/>
  <c r="X445" i="12"/>
  <c r="T444" i="12"/>
  <c r="U444" i="12"/>
  <c r="V444" i="12"/>
  <c r="W444" i="12"/>
  <c r="X444" i="12"/>
  <c r="T443" i="12"/>
  <c r="U443" i="12"/>
  <c r="V443" i="12"/>
  <c r="W443" i="12"/>
  <c r="X443" i="12"/>
  <c r="T442" i="12"/>
  <c r="U442" i="12"/>
  <c r="V442" i="12"/>
  <c r="W442" i="12"/>
  <c r="X442" i="12"/>
  <c r="T441" i="12"/>
  <c r="U441" i="12"/>
  <c r="V441" i="12"/>
  <c r="W441" i="12"/>
  <c r="X441" i="12"/>
  <c r="T439" i="12"/>
  <c r="U439" i="12"/>
  <c r="V439" i="12"/>
  <c r="W439" i="12"/>
  <c r="X439" i="12"/>
  <c r="T438" i="12"/>
  <c r="U438" i="12"/>
  <c r="V438" i="12"/>
  <c r="W438" i="12"/>
  <c r="X438" i="12"/>
  <c r="T437" i="12"/>
  <c r="U437" i="12"/>
  <c r="V437" i="12"/>
  <c r="W437" i="12"/>
  <c r="X437" i="12"/>
  <c r="T436" i="12"/>
  <c r="U436" i="12"/>
  <c r="V436" i="12"/>
  <c r="W436" i="12"/>
  <c r="X436" i="12"/>
  <c r="T435" i="12"/>
  <c r="U435" i="12"/>
  <c r="V435" i="12"/>
  <c r="W435" i="12"/>
  <c r="X435" i="12"/>
  <c r="T433" i="12"/>
  <c r="U433" i="12"/>
  <c r="V433" i="12"/>
  <c r="W433" i="12"/>
  <c r="X433" i="12"/>
  <c r="T432" i="12"/>
  <c r="U432" i="12"/>
  <c r="V432" i="12"/>
  <c r="W432" i="12"/>
  <c r="X432" i="12"/>
  <c r="T431" i="12"/>
  <c r="U431" i="12"/>
  <c r="V431" i="12"/>
  <c r="W431" i="12"/>
  <c r="X431" i="12"/>
  <c r="T430" i="12"/>
  <c r="U430" i="12"/>
  <c r="V430" i="12"/>
  <c r="W430" i="12"/>
  <c r="X430" i="12"/>
  <c r="T429" i="12"/>
  <c r="U429" i="12"/>
  <c r="V429" i="12"/>
  <c r="W429" i="12"/>
  <c r="X429" i="12"/>
  <c r="T421" i="12"/>
  <c r="U421" i="12"/>
  <c r="V421" i="12"/>
  <c r="W421" i="12"/>
  <c r="X421" i="12"/>
  <c r="T420" i="12"/>
  <c r="U420" i="12"/>
  <c r="V420" i="12"/>
  <c r="W420" i="12"/>
  <c r="X420" i="12"/>
  <c r="T419" i="12"/>
  <c r="U419" i="12"/>
  <c r="V419" i="12"/>
  <c r="W419" i="12"/>
  <c r="X419" i="12"/>
  <c r="T418" i="12"/>
  <c r="U418" i="12"/>
  <c r="V418" i="12"/>
  <c r="W418" i="12"/>
  <c r="X418" i="12"/>
  <c r="T417" i="12"/>
  <c r="U417" i="12"/>
  <c r="V417" i="12"/>
  <c r="W417" i="12"/>
  <c r="X417" i="12"/>
  <c r="T415" i="12"/>
  <c r="U415" i="12"/>
  <c r="V415" i="12"/>
  <c r="W415" i="12"/>
  <c r="X415" i="12"/>
  <c r="T414" i="12"/>
  <c r="U414" i="12"/>
  <c r="V414" i="12"/>
  <c r="W414" i="12"/>
  <c r="X414" i="12"/>
  <c r="T413" i="12"/>
  <c r="U413" i="12"/>
  <c r="V413" i="12"/>
  <c r="W413" i="12"/>
  <c r="X413" i="12"/>
  <c r="T412" i="12"/>
  <c r="U412" i="12"/>
  <c r="V412" i="12"/>
  <c r="W412" i="12"/>
  <c r="X412" i="12"/>
  <c r="T411" i="12"/>
  <c r="U411" i="12"/>
  <c r="V411" i="12"/>
  <c r="W411" i="12"/>
  <c r="X411" i="12"/>
  <c r="T409" i="12"/>
  <c r="U409" i="12"/>
  <c r="V409" i="12"/>
  <c r="W409" i="12"/>
  <c r="X409" i="12"/>
  <c r="T408" i="12"/>
  <c r="U408" i="12"/>
  <c r="V408" i="12"/>
  <c r="W408" i="12"/>
  <c r="X408" i="12"/>
  <c r="T407" i="12"/>
  <c r="U407" i="12"/>
  <c r="V407" i="12"/>
  <c r="W407" i="12"/>
  <c r="X407" i="12"/>
  <c r="T406" i="12"/>
  <c r="U406" i="12"/>
  <c r="V406" i="12"/>
  <c r="W406" i="12"/>
  <c r="X406" i="12"/>
  <c r="T405" i="12"/>
  <c r="U405" i="12"/>
  <c r="V405" i="12"/>
  <c r="W405" i="12"/>
  <c r="X405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T400" i="12"/>
  <c r="U400" i="12"/>
  <c r="V400" i="12"/>
  <c r="W400" i="12"/>
  <c r="X400" i="12"/>
  <c r="T399" i="12"/>
  <c r="U399" i="12"/>
  <c r="V399" i="12"/>
  <c r="W399" i="12"/>
  <c r="X399" i="12"/>
  <c r="T398" i="12"/>
  <c r="U398" i="12"/>
  <c r="V398" i="12"/>
  <c r="W398" i="12"/>
  <c r="X398" i="12"/>
  <c r="T397" i="12"/>
  <c r="U397" i="12"/>
  <c r="V397" i="12"/>
  <c r="W397" i="12"/>
  <c r="X397" i="12"/>
  <c r="T396" i="12"/>
  <c r="U396" i="12"/>
  <c r="V396" i="12"/>
  <c r="W396" i="12"/>
  <c r="X396" i="12"/>
  <c r="T394" i="12"/>
  <c r="U394" i="12"/>
  <c r="V394" i="12"/>
  <c r="W394" i="12"/>
  <c r="X394" i="12"/>
  <c r="T393" i="12"/>
  <c r="U393" i="12"/>
  <c r="V393" i="12"/>
  <c r="W393" i="12"/>
  <c r="X393" i="12"/>
  <c r="T392" i="12"/>
  <c r="U392" i="12"/>
  <c r="V392" i="12"/>
  <c r="W392" i="12"/>
  <c r="X392" i="12"/>
  <c r="T391" i="12"/>
  <c r="U391" i="12"/>
  <c r="V391" i="12"/>
  <c r="W391" i="12"/>
  <c r="X391" i="12"/>
  <c r="T390" i="12"/>
  <c r="U390" i="12"/>
  <c r="V390" i="12"/>
  <c r="W390" i="12"/>
  <c r="X390" i="12"/>
  <c r="T387" i="12"/>
  <c r="U387" i="12"/>
  <c r="V387" i="12"/>
  <c r="W387" i="12"/>
  <c r="X387" i="12"/>
  <c r="T386" i="12"/>
  <c r="U386" i="12"/>
  <c r="V386" i="12"/>
  <c r="W386" i="12"/>
  <c r="X386" i="12"/>
  <c r="T385" i="12"/>
  <c r="U385" i="12"/>
  <c r="V385" i="12"/>
  <c r="W385" i="12"/>
  <c r="X385" i="12"/>
  <c r="T384" i="12"/>
  <c r="U384" i="12"/>
  <c r="V384" i="12"/>
  <c r="W384" i="12"/>
  <c r="X384" i="12"/>
  <c r="T376" i="12"/>
  <c r="U376" i="12"/>
  <c r="V376" i="12"/>
  <c r="W376" i="12"/>
  <c r="X376" i="12"/>
  <c r="T375" i="12"/>
  <c r="U375" i="12"/>
  <c r="V375" i="12"/>
  <c r="W375" i="12"/>
  <c r="X375" i="12"/>
  <c r="T374" i="12"/>
  <c r="U374" i="12"/>
  <c r="V374" i="12"/>
  <c r="W374" i="12"/>
  <c r="X374" i="12"/>
  <c r="T373" i="12"/>
  <c r="U373" i="12"/>
  <c r="V373" i="12"/>
  <c r="W373" i="12"/>
  <c r="X373" i="12"/>
  <c r="T372" i="12"/>
  <c r="U372" i="12"/>
  <c r="V372" i="12"/>
  <c r="W372" i="12"/>
  <c r="X372" i="12"/>
  <c r="T370" i="12"/>
  <c r="U370" i="12"/>
  <c r="V370" i="12"/>
  <c r="W370" i="12"/>
  <c r="X370" i="12"/>
  <c r="T369" i="12"/>
  <c r="U369" i="12"/>
  <c r="V369" i="12"/>
  <c r="W369" i="12"/>
  <c r="X369" i="12"/>
  <c r="T368" i="12"/>
  <c r="U368" i="12"/>
  <c r="V368" i="12"/>
  <c r="W368" i="12"/>
  <c r="X368" i="12"/>
  <c r="T367" i="12"/>
  <c r="U367" i="12"/>
  <c r="V367" i="12"/>
  <c r="W367" i="12"/>
  <c r="X367" i="12"/>
  <c r="T366" i="12"/>
  <c r="U366" i="12"/>
  <c r="V366" i="12"/>
  <c r="W366" i="12"/>
  <c r="X366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AB40" i="10"/>
  <c r="AB41" i="10"/>
  <c r="AB39" i="10"/>
  <c r="AH81" i="10"/>
  <c r="AH80" i="10"/>
  <c r="AH79" i="10"/>
  <c r="AH78" i="10"/>
  <c r="AH77" i="10"/>
  <c r="AH99" i="10"/>
  <c r="AH95" i="10"/>
  <c r="AH96" i="10"/>
  <c r="AH97" i="10"/>
  <c r="AH98" i="10"/>
  <c r="AD40" i="10"/>
  <c r="AD41" i="10"/>
  <c r="AD39" i="10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261" i="3"/>
  <c r="S261" i="3"/>
  <c r="T261" i="3"/>
  <c r="U261" i="3"/>
  <c r="V261" i="3"/>
  <c r="R260" i="3"/>
  <c r="S260" i="3"/>
  <c r="T260" i="3"/>
  <c r="U260" i="3"/>
  <c r="V260" i="3"/>
  <c r="R259" i="3"/>
  <c r="S259" i="3"/>
  <c r="T259" i="3"/>
  <c r="U259" i="3"/>
  <c r="V259" i="3"/>
  <c r="R258" i="3"/>
  <c r="S258" i="3"/>
  <c r="T258" i="3"/>
  <c r="U258" i="3"/>
  <c r="V258" i="3"/>
  <c r="R257" i="3"/>
  <c r="S257" i="3"/>
  <c r="T257" i="3"/>
  <c r="U257" i="3"/>
  <c r="V257" i="3"/>
  <c r="R255" i="3"/>
  <c r="S255" i="3"/>
  <c r="T255" i="3"/>
  <c r="U255" i="3"/>
  <c r="V255" i="3"/>
  <c r="R254" i="3"/>
  <c r="S254" i="3"/>
  <c r="T254" i="3"/>
  <c r="U254" i="3"/>
  <c r="V254" i="3"/>
  <c r="R253" i="3"/>
  <c r="S253" i="3"/>
  <c r="T253" i="3"/>
  <c r="U253" i="3"/>
  <c r="V253" i="3"/>
  <c r="R252" i="3"/>
  <c r="S252" i="3"/>
  <c r="T252" i="3"/>
  <c r="U252" i="3"/>
  <c r="V252" i="3"/>
  <c r="R251" i="3"/>
  <c r="S251" i="3"/>
  <c r="T251" i="3"/>
  <c r="U251" i="3"/>
  <c r="V251" i="3"/>
  <c r="R249" i="3"/>
  <c r="S249" i="3"/>
  <c r="T249" i="3"/>
  <c r="U249" i="3"/>
  <c r="V249" i="3"/>
  <c r="R248" i="3"/>
  <c r="S248" i="3"/>
  <c r="T248" i="3"/>
  <c r="U248" i="3"/>
  <c r="V248" i="3"/>
  <c r="R247" i="3"/>
  <c r="S247" i="3"/>
  <c r="T247" i="3"/>
  <c r="U247" i="3"/>
  <c r="V247" i="3"/>
  <c r="R246" i="3"/>
  <c r="S246" i="3"/>
  <c r="T246" i="3"/>
  <c r="U246" i="3"/>
  <c r="V246" i="3"/>
  <c r="R245" i="3"/>
  <c r="S245" i="3"/>
  <c r="T245" i="3"/>
  <c r="U245" i="3"/>
  <c r="V245" i="3"/>
  <c r="R237" i="3"/>
  <c r="S237" i="3"/>
  <c r="T237" i="3"/>
  <c r="U237" i="3"/>
  <c r="V237" i="3"/>
  <c r="R236" i="3"/>
  <c r="S236" i="3"/>
  <c r="T236" i="3"/>
  <c r="U236" i="3"/>
  <c r="V236" i="3"/>
  <c r="R235" i="3"/>
  <c r="S235" i="3"/>
  <c r="T235" i="3"/>
  <c r="U235" i="3"/>
  <c r="V235" i="3"/>
  <c r="R234" i="3"/>
  <c r="S234" i="3"/>
  <c r="T234" i="3"/>
  <c r="U234" i="3"/>
  <c r="V234" i="3"/>
  <c r="R233" i="3"/>
  <c r="S233" i="3"/>
  <c r="T233" i="3"/>
  <c r="U233" i="3"/>
  <c r="V233" i="3"/>
  <c r="R231" i="3"/>
  <c r="S231" i="3"/>
  <c r="T231" i="3"/>
  <c r="U231" i="3"/>
  <c r="V231" i="3"/>
  <c r="R230" i="3"/>
  <c r="S230" i="3"/>
  <c r="T230" i="3"/>
  <c r="U230" i="3"/>
  <c r="V230" i="3"/>
  <c r="R229" i="3"/>
  <c r="S229" i="3"/>
  <c r="T229" i="3"/>
  <c r="U229" i="3"/>
  <c r="V229" i="3"/>
  <c r="R228" i="3"/>
  <c r="S228" i="3"/>
  <c r="T228" i="3"/>
  <c r="U228" i="3"/>
  <c r="V228" i="3"/>
  <c r="R227" i="3"/>
  <c r="S227" i="3"/>
  <c r="T227" i="3"/>
  <c r="U227" i="3"/>
  <c r="V227" i="3"/>
  <c r="R225" i="3"/>
  <c r="S225" i="3"/>
  <c r="T225" i="3"/>
  <c r="U225" i="3"/>
  <c r="V225" i="3"/>
  <c r="R224" i="3"/>
  <c r="S224" i="3"/>
  <c r="T224" i="3"/>
  <c r="U224" i="3"/>
  <c r="V224" i="3"/>
  <c r="R223" i="3"/>
  <c r="S223" i="3"/>
  <c r="T223" i="3"/>
  <c r="U223" i="3"/>
  <c r="V223" i="3"/>
  <c r="R222" i="3"/>
  <c r="S222" i="3"/>
  <c r="T222" i="3"/>
  <c r="U222" i="3"/>
  <c r="V222" i="3"/>
  <c r="R221" i="3"/>
  <c r="S221" i="3"/>
  <c r="T221" i="3"/>
  <c r="U221" i="3"/>
  <c r="V221" i="3"/>
  <c r="O24" i="3"/>
  <c r="O25" i="3"/>
  <c r="O26" i="3"/>
  <c r="O27" i="3"/>
  <c r="O28" i="3"/>
  <c r="O29" i="3"/>
  <c r="O30" i="3"/>
  <c r="O31" i="3"/>
  <c r="O32" i="3"/>
  <c r="O23" i="3"/>
  <c r="I4" i="10"/>
  <c r="B16" i="3"/>
  <c r="C16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I16" i="3"/>
  <c r="J16" i="3"/>
  <c r="S226" i="10"/>
  <c r="T226" i="10"/>
  <c r="U226" i="10"/>
  <c r="V226" i="10"/>
  <c r="W226" i="10"/>
  <c r="S225" i="10"/>
  <c r="T225" i="10"/>
  <c r="U225" i="10"/>
  <c r="V225" i="10"/>
  <c r="W225" i="10"/>
  <c r="S224" i="10"/>
  <c r="T224" i="10"/>
  <c r="U224" i="10"/>
  <c r="V224" i="10"/>
  <c r="W224" i="10"/>
  <c r="S223" i="10"/>
  <c r="T223" i="10"/>
  <c r="U223" i="10"/>
  <c r="V223" i="10"/>
  <c r="W223" i="10"/>
  <c r="S222" i="10"/>
  <c r="T222" i="10"/>
  <c r="U222" i="10"/>
  <c r="V222" i="10"/>
  <c r="W222" i="10"/>
  <c r="S220" i="10"/>
  <c r="T220" i="10"/>
  <c r="U220" i="10"/>
  <c r="V220" i="10"/>
  <c r="W220" i="10"/>
  <c r="S219" i="10"/>
  <c r="T219" i="10"/>
  <c r="U219" i="10"/>
  <c r="V219" i="10"/>
  <c r="W219" i="10"/>
  <c r="S218" i="10"/>
  <c r="T218" i="10"/>
  <c r="U218" i="10"/>
  <c r="V218" i="10"/>
  <c r="W218" i="10"/>
  <c r="S217" i="10"/>
  <c r="T217" i="10"/>
  <c r="U217" i="10"/>
  <c r="V217" i="10"/>
  <c r="W217" i="10"/>
  <c r="S216" i="10"/>
  <c r="T216" i="10"/>
  <c r="U216" i="10"/>
  <c r="V216" i="10"/>
  <c r="W216" i="10"/>
  <c r="S214" i="10"/>
  <c r="T214" i="10"/>
  <c r="U214" i="10"/>
  <c r="V214" i="10"/>
  <c r="W214" i="10"/>
  <c r="S213" i="10"/>
  <c r="T213" i="10"/>
  <c r="U213" i="10"/>
  <c r="V213" i="10"/>
  <c r="W213" i="10"/>
  <c r="S212" i="10"/>
  <c r="T212" i="10"/>
  <c r="U212" i="10"/>
  <c r="V212" i="10"/>
  <c r="W212" i="10"/>
  <c r="S211" i="10"/>
  <c r="T211" i="10"/>
  <c r="U211" i="10"/>
  <c r="V211" i="10"/>
  <c r="W211" i="10"/>
  <c r="S210" i="10"/>
  <c r="T210" i="10"/>
  <c r="U210" i="10"/>
  <c r="V210" i="10"/>
  <c r="W210" i="10"/>
  <c r="S202" i="10"/>
  <c r="T202" i="10"/>
  <c r="U202" i="10"/>
  <c r="V202" i="10"/>
  <c r="W202" i="10"/>
  <c r="S201" i="10"/>
  <c r="T201" i="10"/>
  <c r="U201" i="10"/>
  <c r="V201" i="10"/>
  <c r="W201" i="10"/>
  <c r="S200" i="10"/>
  <c r="T200" i="10"/>
  <c r="U200" i="10"/>
  <c r="V200" i="10"/>
  <c r="W200" i="10"/>
  <c r="S199" i="10"/>
  <c r="T199" i="10"/>
  <c r="U199" i="10"/>
  <c r="V199" i="10"/>
  <c r="W199" i="10"/>
  <c r="S198" i="10"/>
  <c r="T198" i="10"/>
  <c r="U198" i="10"/>
  <c r="V198" i="10"/>
  <c r="W198" i="10"/>
  <c r="S196" i="10"/>
  <c r="T196" i="10"/>
  <c r="U196" i="10"/>
  <c r="V196" i="10"/>
  <c r="W196" i="10"/>
  <c r="S195" i="10"/>
  <c r="T195" i="10"/>
  <c r="U195" i="10"/>
  <c r="V195" i="10"/>
  <c r="W195" i="10"/>
  <c r="S194" i="10"/>
  <c r="T194" i="10"/>
  <c r="U194" i="10"/>
  <c r="V194" i="10"/>
  <c r="W194" i="10"/>
  <c r="S193" i="10"/>
  <c r="T193" i="10"/>
  <c r="U193" i="10"/>
  <c r="V193" i="10"/>
  <c r="W193" i="10"/>
  <c r="S192" i="10"/>
  <c r="T192" i="10"/>
  <c r="U192" i="10"/>
  <c r="V192" i="10"/>
  <c r="W192" i="10"/>
  <c r="S190" i="10"/>
  <c r="T190" i="10"/>
  <c r="U190" i="10"/>
  <c r="V190" i="10"/>
  <c r="W190" i="10"/>
  <c r="S189" i="10"/>
  <c r="T189" i="10"/>
  <c r="U189" i="10"/>
  <c r="V189" i="10"/>
  <c r="W189" i="10"/>
  <c r="S188" i="10"/>
  <c r="T188" i="10"/>
  <c r="U188" i="10"/>
  <c r="V188" i="10"/>
  <c r="W188" i="10"/>
  <c r="S187" i="10"/>
  <c r="T187" i="10"/>
  <c r="U187" i="10"/>
  <c r="V187" i="10"/>
  <c r="W187" i="10"/>
  <c r="S186" i="10"/>
  <c r="T186" i="10"/>
  <c r="U186" i="10"/>
  <c r="V186" i="10"/>
  <c r="W186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D41" i="10"/>
  <c r="C41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D27" i="10"/>
  <c r="C27" i="10"/>
  <c r="I13" i="10"/>
  <c r="F13" i="10"/>
  <c r="E13" i="10"/>
  <c r="I12" i="10"/>
  <c r="F12" i="10"/>
  <c r="E12" i="10"/>
  <c r="I11" i="10"/>
  <c r="F11" i="10"/>
  <c r="E11" i="10"/>
  <c r="I10" i="10"/>
  <c r="F10" i="10"/>
  <c r="E10" i="10"/>
  <c r="I9" i="10"/>
  <c r="F9" i="10"/>
  <c r="E9" i="10"/>
  <c r="I8" i="10"/>
  <c r="F8" i="10"/>
  <c r="E8" i="10"/>
  <c r="I7" i="10"/>
  <c r="F7" i="10"/>
  <c r="E7" i="10"/>
  <c r="I6" i="10"/>
  <c r="F6" i="10"/>
  <c r="E6" i="10"/>
  <c r="I5" i="10"/>
  <c r="F5" i="10"/>
  <c r="E5" i="10"/>
  <c r="E4" i="10"/>
  <c r="AE35" i="9"/>
  <c r="AE30" i="9"/>
  <c r="AE29" i="9"/>
  <c r="AE28" i="9"/>
  <c r="AE37" i="9"/>
  <c r="AE36" i="9"/>
  <c r="I13" i="9"/>
  <c r="I5" i="9"/>
  <c r="I6" i="9"/>
  <c r="I7" i="9"/>
  <c r="I8" i="9"/>
  <c r="I9" i="9"/>
  <c r="I10" i="9"/>
  <c r="I11" i="9"/>
  <c r="I12" i="9"/>
  <c r="I4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D41" i="9"/>
  <c r="C41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17" i="9"/>
  <c r="G17" i="9"/>
  <c r="D27" i="9"/>
  <c r="C27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K64" i="7"/>
  <c r="I64" i="7"/>
  <c r="K67" i="7"/>
  <c r="I66" i="7"/>
  <c r="K68" i="7"/>
  <c r="F62" i="7"/>
  <c r="D64" i="7"/>
  <c r="D65" i="7"/>
  <c r="D63" i="7"/>
  <c r="E63" i="7"/>
  <c r="F66" i="7"/>
  <c r="E69" i="7"/>
  <c r="E68" i="7"/>
  <c r="E67" i="7"/>
  <c r="D67" i="7"/>
  <c r="D68" i="7"/>
  <c r="D69" i="7"/>
  <c r="D59" i="7"/>
  <c r="E57" i="7"/>
  <c r="D57" i="7"/>
  <c r="E56" i="7"/>
  <c r="D56" i="7"/>
  <c r="E55" i="7"/>
  <c r="E64" i="7"/>
  <c r="E65" i="7"/>
  <c r="E60" i="7"/>
  <c r="E61" i="7"/>
  <c r="E59" i="7"/>
  <c r="D60" i="7"/>
  <c r="D61" i="7"/>
  <c r="D55" i="7"/>
  <c r="AB52" i="3"/>
  <c r="AB51" i="3"/>
  <c r="AB50" i="3"/>
  <c r="AE43" i="2"/>
  <c r="AE44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Y32" i="2"/>
  <c r="U56" i="7"/>
  <c r="T56" i="7"/>
  <c r="S56" i="7"/>
  <c r="M64" i="7"/>
  <c r="M66" i="7"/>
  <c r="K66" i="7"/>
  <c r="O64" i="7"/>
  <c r="O66" i="7"/>
  <c r="I38" i="7"/>
  <c r="I39" i="7"/>
  <c r="I40" i="7"/>
  <c r="I41" i="7"/>
  <c r="I42" i="7"/>
  <c r="I43" i="7"/>
  <c r="I44" i="7"/>
  <c r="I45" i="7"/>
  <c r="I46" i="7"/>
  <c r="I47" i="7"/>
  <c r="I48" i="7"/>
  <c r="E38" i="7"/>
  <c r="E39" i="7"/>
  <c r="E40" i="7"/>
  <c r="E41" i="7"/>
  <c r="E42" i="7"/>
  <c r="E43" i="7"/>
  <c r="E44" i="7"/>
  <c r="E45" i="7"/>
  <c r="E46" i="7"/>
  <c r="E47" i="7"/>
  <c r="E48" i="7"/>
  <c r="I50" i="7"/>
  <c r="V30" i="7"/>
  <c r="H13" i="7"/>
  <c r="V32" i="7"/>
  <c r="T30" i="7"/>
  <c r="H15" i="7"/>
  <c r="T32" i="7"/>
  <c r="R30" i="7"/>
  <c r="R32" i="7"/>
  <c r="I13" i="7"/>
  <c r="I15" i="7"/>
  <c r="J64" i="7"/>
  <c r="H64" i="7"/>
  <c r="H66" i="7"/>
  <c r="J66" i="7"/>
  <c r="M67" i="7"/>
  <c r="L64" i="7"/>
  <c r="L66" i="7"/>
  <c r="N64" i="7"/>
  <c r="N66" i="7"/>
  <c r="O67" i="7"/>
  <c r="O65" i="7"/>
  <c r="I65" i="7"/>
  <c r="O68" i="7"/>
  <c r="O31" i="7"/>
  <c r="F14" i="7"/>
  <c r="O34" i="7"/>
  <c r="M68" i="7"/>
  <c r="H65" i="7"/>
  <c r="K69" i="7"/>
  <c r="N65" i="7"/>
  <c r="M65" i="7"/>
  <c r="L65" i="7"/>
  <c r="K65" i="7"/>
  <c r="J65" i="7"/>
  <c r="M38" i="7"/>
  <c r="M39" i="7"/>
  <c r="M40" i="7"/>
  <c r="M41" i="7"/>
  <c r="M42" i="7"/>
  <c r="M43" i="7"/>
  <c r="M44" i="7"/>
  <c r="M45" i="7"/>
  <c r="M46" i="7"/>
  <c r="M47" i="7"/>
  <c r="M49" i="7"/>
  <c r="M48" i="7"/>
  <c r="W30" i="7"/>
  <c r="W33" i="7"/>
  <c r="H38" i="7"/>
  <c r="H39" i="7"/>
  <c r="H40" i="7"/>
  <c r="H41" i="7"/>
  <c r="H42" i="7"/>
  <c r="H43" i="7"/>
  <c r="H44" i="7"/>
  <c r="H45" i="7"/>
  <c r="H46" i="7"/>
  <c r="H47" i="7"/>
  <c r="H49" i="7"/>
  <c r="L38" i="7"/>
  <c r="L39" i="7"/>
  <c r="L40" i="7"/>
  <c r="L42" i="7"/>
  <c r="L43" i="7"/>
  <c r="L44" i="7"/>
  <c r="L45" i="7"/>
  <c r="L46" i="7"/>
  <c r="L47" i="7"/>
  <c r="L49" i="7"/>
  <c r="D39" i="7"/>
  <c r="D40" i="7"/>
  <c r="D41" i="7"/>
  <c r="D42" i="7"/>
  <c r="D43" i="7"/>
  <c r="D44" i="7"/>
  <c r="D45" i="7"/>
  <c r="D46" i="7"/>
  <c r="D47" i="7"/>
  <c r="D38" i="7"/>
  <c r="O4" i="7"/>
  <c r="Q4" i="7"/>
  <c r="O5" i="7"/>
  <c r="Q5" i="7"/>
  <c r="O6" i="7"/>
  <c r="Q6" i="7"/>
  <c r="O7" i="7"/>
  <c r="Q7" i="7"/>
  <c r="O8" i="7"/>
  <c r="Q8" i="7"/>
  <c r="O9" i="7"/>
  <c r="Q9" i="7"/>
  <c r="O10" i="7"/>
  <c r="Q10" i="7"/>
  <c r="O11" i="7"/>
  <c r="Q11" i="7"/>
  <c r="O12" i="7"/>
  <c r="Q12" i="7"/>
  <c r="O3" i="7"/>
  <c r="Q3" i="7"/>
  <c r="P4" i="7"/>
  <c r="P5" i="7"/>
  <c r="P6" i="7"/>
  <c r="P7" i="7"/>
  <c r="P8" i="7"/>
  <c r="P9" i="7"/>
  <c r="P10" i="7"/>
  <c r="P11" i="7"/>
  <c r="P12" i="7"/>
  <c r="P3" i="7"/>
  <c r="I14" i="7"/>
  <c r="E30" i="7"/>
  <c r="C13" i="7"/>
  <c r="E33" i="7"/>
  <c r="C30" i="7"/>
  <c r="C33" i="7"/>
  <c r="E34" i="7"/>
  <c r="O30" i="7"/>
  <c r="F13" i="7"/>
  <c r="O33" i="7"/>
  <c r="M30" i="7"/>
  <c r="M33" i="7"/>
  <c r="K30" i="7"/>
  <c r="K33" i="7"/>
  <c r="M34" i="7"/>
  <c r="F15" i="7"/>
  <c r="K34" i="7"/>
  <c r="U30" i="7"/>
  <c r="U33" i="7"/>
  <c r="S30" i="7"/>
  <c r="S33" i="7"/>
  <c r="U34" i="7"/>
  <c r="U35" i="7"/>
  <c r="S34" i="7"/>
  <c r="S35" i="7"/>
  <c r="K35" i="7"/>
  <c r="C15" i="7"/>
  <c r="C34" i="7"/>
  <c r="C35" i="7"/>
  <c r="W31" i="7"/>
  <c r="V31" i="7"/>
  <c r="U31" i="7"/>
  <c r="T31" i="7"/>
  <c r="S31" i="7"/>
  <c r="R31" i="7"/>
  <c r="H14" i="7"/>
  <c r="E49" i="7"/>
  <c r="G31" i="7"/>
  <c r="C14" i="7"/>
  <c r="G34" i="7"/>
  <c r="G30" i="7"/>
  <c r="G33" i="7"/>
  <c r="I49" i="7"/>
  <c r="D49" i="7"/>
  <c r="L48" i="7"/>
  <c r="H48" i="7"/>
  <c r="D48" i="7"/>
  <c r="C48" i="7"/>
  <c r="K48" i="7"/>
  <c r="G48" i="7"/>
  <c r="J48" i="7"/>
  <c r="B13" i="7"/>
  <c r="F48" i="7"/>
  <c r="B15" i="7"/>
  <c r="B48" i="7"/>
  <c r="L30" i="7"/>
  <c r="E13" i="7"/>
  <c r="E15" i="7"/>
  <c r="L32" i="7"/>
  <c r="N30" i="7"/>
  <c r="N32" i="7"/>
  <c r="J30" i="7"/>
  <c r="J32" i="7"/>
  <c r="N31" i="7"/>
  <c r="M31" i="7"/>
  <c r="L31" i="7"/>
  <c r="K31" i="7"/>
  <c r="J31" i="7"/>
  <c r="F30" i="7"/>
  <c r="F32" i="7"/>
  <c r="F31" i="7"/>
  <c r="D30" i="7"/>
  <c r="D32" i="7"/>
  <c r="B30" i="7"/>
  <c r="B32" i="7"/>
  <c r="E31" i="7"/>
  <c r="D31" i="7"/>
  <c r="C31" i="7"/>
  <c r="B31" i="7"/>
  <c r="E14" i="7"/>
  <c r="B14" i="7"/>
  <c r="J17" i="3"/>
  <c r="I17" i="3"/>
  <c r="C17" i="3"/>
  <c r="B17" i="3"/>
  <c r="T356" i="3"/>
  <c r="T357" i="3"/>
  <c r="K28" i="3"/>
  <c r="L28" i="3"/>
  <c r="K29" i="3"/>
  <c r="L29" i="3"/>
  <c r="K30" i="3"/>
  <c r="L30" i="3"/>
  <c r="K31" i="3"/>
  <c r="L31" i="3"/>
  <c r="K32" i="3"/>
  <c r="L32" i="3"/>
  <c r="L23" i="3"/>
  <c r="L24" i="3"/>
  <c r="L25" i="3"/>
  <c r="L26" i="3"/>
  <c r="L27" i="3"/>
  <c r="K23" i="3"/>
  <c r="K24" i="3"/>
  <c r="K25" i="3"/>
  <c r="K26" i="3"/>
  <c r="K27" i="3"/>
  <c r="V194" i="2"/>
  <c r="V195" i="2"/>
  <c r="V196" i="2"/>
  <c r="V197" i="2"/>
  <c r="V198" i="2"/>
  <c r="V199" i="2"/>
  <c r="V188" i="2"/>
  <c r="V189" i="2"/>
  <c r="V190" i="2"/>
  <c r="V191" i="2"/>
  <c r="V192" i="2"/>
  <c r="V193" i="2"/>
  <c r="V182" i="2"/>
  <c r="V183" i="2"/>
  <c r="V184" i="2"/>
  <c r="V185" i="2"/>
  <c r="V186" i="2"/>
  <c r="V187" i="2"/>
  <c r="V156" i="2"/>
  <c r="V157" i="2"/>
  <c r="V158" i="2"/>
  <c r="V159" i="2"/>
  <c r="V160" i="2"/>
  <c r="V161" i="2"/>
  <c r="V150" i="2"/>
  <c r="V151" i="2"/>
  <c r="V152" i="2"/>
  <c r="V153" i="2"/>
  <c r="V154" i="2"/>
  <c r="V155" i="2"/>
  <c r="V144" i="2"/>
  <c r="V145" i="2"/>
  <c r="V146" i="2"/>
  <c r="V147" i="2"/>
  <c r="V148" i="2"/>
  <c r="V149" i="2"/>
  <c r="Y119" i="2"/>
  <c r="Y120" i="2"/>
  <c r="Y121" i="2"/>
  <c r="Y122" i="2"/>
  <c r="Y123" i="2"/>
  <c r="Y124" i="2"/>
  <c r="Y113" i="2"/>
  <c r="Y114" i="2"/>
  <c r="Y115" i="2"/>
  <c r="Y116" i="2"/>
  <c r="Y117" i="2"/>
  <c r="Y118" i="2"/>
  <c r="Y107" i="2"/>
  <c r="Y108" i="2"/>
  <c r="Y109" i="2"/>
  <c r="Y110" i="2"/>
  <c r="Y111" i="2"/>
  <c r="Y112" i="2"/>
  <c r="T165" i="2"/>
  <c r="T166" i="2"/>
  <c r="T167" i="2"/>
  <c r="T168" i="2"/>
  <c r="T177" i="2"/>
  <c r="T178" i="2"/>
  <c r="T179" i="2"/>
  <c r="T180" i="2"/>
  <c r="T171" i="2"/>
  <c r="T172" i="2"/>
  <c r="T173" i="2"/>
  <c r="T174" i="2"/>
  <c r="T139" i="2"/>
  <c r="T140" i="2"/>
  <c r="T141" i="2"/>
  <c r="T142" i="2"/>
  <c r="T138" i="2"/>
  <c r="T133" i="2"/>
  <c r="T134" i="2"/>
  <c r="T135" i="2"/>
  <c r="T136" i="2"/>
  <c r="T127" i="2"/>
  <c r="T128" i="2"/>
  <c r="T129" i="2"/>
  <c r="T130" i="2"/>
  <c r="V176" i="2"/>
  <c r="U177" i="2"/>
  <c r="V177" i="2"/>
  <c r="U178" i="2"/>
  <c r="V178" i="2"/>
  <c r="U179" i="2"/>
  <c r="V179" i="2"/>
  <c r="U180" i="2"/>
  <c r="V180" i="2"/>
  <c r="V181" i="2"/>
  <c r="V170" i="2"/>
  <c r="U171" i="2"/>
  <c r="V171" i="2"/>
  <c r="U172" i="2"/>
  <c r="V172" i="2"/>
  <c r="U173" i="2"/>
  <c r="V173" i="2"/>
  <c r="U174" i="2"/>
  <c r="V174" i="2"/>
  <c r="V175" i="2"/>
  <c r="V164" i="2"/>
  <c r="U165" i="2"/>
  <c r="V165" i="2"/>
  <c r="U166" i="2"/>
  <c r="V166" i="2"/>
  <c r="U167" i="2"/>
  <c r="V167" i="2"/>
  <c r="U168" i="2"/>
  <c r="V168" i="2"/>
  <c r="V169" i="2"/>
  <c r="U138" i="2"/>
  <c r="V138" i="2"/>
  <c r="U139" i="2"/>
  <c r="V139" i="2"/>
  <c r="U140" i="2"/>
  <c r="V140" i="2"/>
  <c r="U141" i="2"/>
  <c r="V141" i="2"/>
  <c r="U142" i="2"/>
  <c r="V142" i="2"/>
  <c r="V143" i="2"/>
  <c r="V132" i="2"/>
  <c r="U133" i="2"/>
  <c r="V133" i="2"/>
  <c r="U134" i="2"/>
  <c r="V134" i="2"/>
  <c r="U135" i="2"/>
  <c r="V135" i="2"/>
  <c r="U136" i="2"/>
  <c r="V136" i="2"/>
  <c r="V137" i="2"/>
  <c r="V126" i="2"/>
  <c r="U127" i="2"/>
  <c r="V127" i="2"/>
  <c r="U128" i="2"/>
  <c r="V128" i="2"/>
  <c r="U129" i="2"/>
  <c r="V129" i="2"/>
  <c r="U130" i="2"/>
  <c r="V130" i="2"/>
  <c r="V131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Y105" i="2"/>
  <c r="Y106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Y100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Y94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V84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V78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V72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V64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V58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V52" i="2"/>
  <c r="W40" i="2"/>
  <c r="X40" i="2"/>
  <c r="Y40" i="2"/>
  <c r="W41" i="2"/>
  <c r="X41" i="2"/>
  <c r="Y41" i="2"/>
  <c r="W42" i="2"/>
  <c r="X42" i="2"/>
  <c r="Y42" i="2"/>
  <c r="W43" i="2"/>
  <c r="X43" i="2"/>
  <c r="Y43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Y38" i="2"/>
  <c r="W39" i="2"/>
  <c r="X39" i="2"/>
  <c r="Y39" i="2"/>
  <c r="Y44" i="2"/>
  <c r="W215" i="10"/>
  <c r="W45" i="10"/>
  <c r="W27" i="10"/>
  <c r="W197" i="10"/>
  <c r="W191" i="10"/>
  <c r="W33" i="10"/>
  <c r="W221" i="10"/>
  <c r="F27" i="10"/>
  <c r="W209" i="10"/>
  <c r="G27" i="10"/>
  <c r="Q99" i="10"/>
  <c r="R99" i="10"/>
  <c r="S99" i="10"/>
  <c r="T99" i="10"/>
  <c r="Q87" i="10"/>
  <c r="R87" i="10"/>
  <c r="S87" i="10"/>
  <c r="T87" i="10"/>
  <c r="Q78" i="10"/>
  <c r="R78" i="10"/>
  <c r="S78" i="10"/>
  <c r="T78" i="10"/>
  <c r="Q73" i="10"/>
  <c r="R73" i="10"/>
  <c r="S73" i="10"/>
  <c r="T73" i="10"/>
  <c r="Q269" i="10"/>
  <c r="R269" i="10"/>
  <c r="S269" i="10"/>
  <c r="T269" i="10"/>
  <c r="Q236" i="10"/>
  <c r="R236" i="10"/>
  <c r="S236" i="10"/>
  <c r="T236" i="10"/>
  <c r="Q231" i="10"/>
  <c r="R231" i="10"/>
  <c r="S231" i="10"/>
  <c r="T231" i="10"/>
  <c r="Q103" i="10"/>
  <c r="R103" i="10"/>
  <c r="S103" i="10"/>
  <c r="T103" i="10"/>
  <c r="Q268" i="10"/>
  <c r="R268" i="10"/>
  <c r="S268" i="10"/>
  <c r="T268" i="10"/>
  <c r="Q93" i="10"/>
  <c r="R93" i="10"/>
  <c r="S93" i="10"/>
  <c r="T93" i="10"/>
  <c r="Q86" i="10"/>
  <c r="R86" i="10"/>
  <c r="S86" i="10"/>
  <c r="T86" i="10"/>
  <c r="Q68" i="10"/>
  <c r="R68" i="10"/>
  <c r="S68" i="10"/>
  <c r="T68" i="10"/>
  <c r="Q229" i="10"/>
  <c r="R229" i="10"/>
  <c r="S229" i="10"/>
  <c r="T229" i="10"/>
  <c r="Q267" i="10"/>
  <c r="R267" i="10"/>
  <c r="S267" i="10"/>
  <c r="T267" i="10"/>
  <c r="Q85" i="10"/>
  <c r="R85" i="10"/>
  <c r="S85" i="10"/>
  <c r="T85" i="10"/>
  <c r="Q63" i="10"/>
  <c r="R63" i="10"/>
  <c r="S63" i="10"/>
  <c r="T63" i="10"/>
  <c r="Q253" i="10"/>
  <c r="R253" i="10"/>
  <c r="S253" i="10"/>
  <c r="T253" i="10"/>
  <c r="Q243" i="10"/>
  <c r="R243" i="10"/>
  <c r="S243" i="10"/>
  <c r="T243" i="10"/>
  <c r="Q266" i="10"/>
  <c r="R266" i="10"/>
  <c r="S266" i="10"/>
  <c r="T266" i="10"/>
  <c r="Q61" i="10"/>
  <c r="R61" i="10"/>
  <c r="S61" i="10"/>
  <c r="T61" i="10"/>
  <c r="Q247" i="10"/>
  <c r="R247" i="10"/>
  <c r="S247" i="10"/>
  <c r="T247" i="10"/>
  <c r="Q235" i="10"/>
  <c r="R235" i="10"/>
  <c r="S235" i="10"/>
  <c r="T235" i="10"/>
  <c r="Q84" i="10"/>
  <c r="R84" i="10"/>
  <c r="S84" i="10"/>
  <c r="T84" i="10"/>
  <c r="Q58" i="10"/>
  <c r="R58" i="10"/>
  <c r="S58" i="10"/>
  <c r="T58" i="10"/>
  <c r="Q242" i="10"/>
  <c r="R242" i="10"/>
  <c r="S242" i="10"/>
  <c r="T242" i="10"/>
  <c r="Q260" i="10"/>
  <c r="R260" i="10"/>
  <c r="S260" i="10"/>
  <c r="T260" i="10"/>
  <c r="Q107" i="10"/>
  <c r="R107" i="10"/>
  <c r="S107" i="10"/>
  <c r="T107" i="10"/>
  <c r="Q83" i="10"/>
  <c r="R83" i="10"/>
  <c r="S83" i="10"/>
  <c r="T83" i="10"/>
  <c r="Q79" i="10"/>
  <c r="R79" i="10"/>
  <c r="S79" i="10"/>
  <c r="T79" i="10"/>
  <c r="Q74" i="10"/>
  <c r="R74" i="10"/>
  <c r="S74" i="10"/>
  <c r="T74" i="10"/>
  <c r="Q237" i="10"/>
  <c r="R237" i="10"/>
  <c r="S237" i="10"/>
  <c r="T237" i="10"/>
  <c r="Q232" i="10"/>
  <c r="R232" i="10"/>
  <c r="S232" i="10"/>
  <c r="T232" i="10"/>
  <c r="Q238" i="10"/>
  <c r="R238" i="10"/>
  <c r="S238" i="10"/>
  <c r="T238" i="10"/>
  <c r="Q239" i="10"/>
  <c r="R239" i="10"/>
  <c r="S239" i="10"/>
  <c r="T239" i="10"/>
  <c r="Q55" i="10"/>
  <c r="R55" i="10"/>
  <c r="S55" i="10"/>
  <c r="T55" i="10"/>
  <c r="Q262" i="10"/>
  <c r="R262" i="10"/>
  <c r="S262" i="10"/>
  <c r="T262" i="10"/>
  <c r="Q251" i="10"/>
  <c r="R251" i="10"/>
  <c r="S251" i="10"/>
  <c r="T251" i="10"/>
  <c r="Q230" i="10"/>
  <c r="R230" i="10"/>
  <c r="S230" i="10"/>
  <c r="T230" i="10"/>
  <c r="Q106" i="10"/>
  <c r="R106" i="10"/>
  <c r="S106" i="10"/>
  <c r="T106" i="10"/>
  <c r="Q69" i="10"/>
  <c r="R69" i="10"/>
  <c r="S69" i="10"/>
  <c r="T69" i="10"/>
  <c r="Q259" i="10"/>
  <c r="R259" i="10"/>
  <c r="S259" i="10"/>
  <c r="T259" i="10"/>
  <c r="Q233" i="10"/>
  <c r="R233" i="10"/>
  <c r="S233" i="10"/>
  <c r="T233" i="10"/>
  <c r="Q250" i="10"/>
  <c r="R250" i="10"/>
  <c r="S250" i="10"/>
  <c r="T250" i="10"/>
  <c r="Q66" i="10"/>
  <c r="R66" i="10"/>
  <c r="S66" i="10"/>
  <c r="T66" i="10"/>
  <c r="Q105" i="10"/>
  <c r="R105" i="10"/>
  <c r="S105" i="10"/>
  <c r="T105" i="10"/>
  <c r="Q64" i="10"/>
  <c r="R64" i="10"/>
  <c r="S64" i="10"/>
  <c r="T64" i="10"/>
  <c r="Q254" i="10"/>
  <c r="R254" i="10"/>
  <c r="S254" i="10"/>
  <c r="T254" i="10"/>
  <c r="Q104" i="10"/>
  <c r="R104" i="10"/>
  <c r="S104" i="10"/>
  <c r="T104" i="10"/>
  <c r="Q92" i="10"/>
  <c r="R92" i="10"/>
  <c r="S92" i="10"/>
  <c r="T92" i="10"/>
  <c r="Q244" i="10"/>
  <c r="R244" i="10"/>
  <c r="S244" i="10"/>
  <c r="T244" i="10"/>
  <c r="Q94" i="10"/>
  <c r="R94" i="10"/>
  <c r="S94" i="10"/>
  <c r="T94" i="10"/>
  <c r="Q98" i="10"/>
  <c r="R98" i="10"/>
  <c r="S98" i="10"/>
  <c r="T98" i="10"/>
  <c r="Q91" i="10"/>
  <c r="R91" i="10"/>
  <c r="S91" i="10"/>
  <c r="T91" i="10"/>
  <c r="Q80" i="10"/>
  <c r="R80" i="10"/>
  <c r="S80" i="10"/>
  <c r="T80" i="10"/>
  <c r="Q75" i="10"/>
  <c r="R75" i="10"/>
  <c r="S75" i="10"/>
  <c r="T75" i="10"/>
  <c r="Q265" i="10"/>
  <c r="R265" i="10"/>
  <c r="S265" i="10"/>
  <c r="T265" i="10"/>
  <c r="Q261" i="10"/>
  <c r="R261" i="10"/>
  <c r="S261" i="10"/>
  <c r="T261" i="10"/>
  <c r="Q88" i="10"/>
  <c r="R88" i="10"/>
  <c r="S88" i="10"/>
  <c r="T88" i="10"/>
  <c r="Q90" i="10"/>
  <c r="R90" i="10"/>
  <c r="S90" i="10"/>
  <c r="T90" i="10"/>
  <c r="Q70" i="10"/>
  <c r="R70" i="10"/>
  <c r="S70" i="10"/>
  <c r="T70" i="10"/>
  <c r="Q89" i="10"/>
  <c r="R89" i="10"/>
  <c r="S89" i="10"/>
  <c r="T89" i="10"/>
  <c r="Q255" i="10"/>
  <c r="R255" i="10"/>
  <c r="S255" i="10"/>
  <c r="T255" i="10"/>
  <c r="Q96" i="10"/>
  <c r="R96" i="10"/>
  <c r="S96" i="10"/>
  <c r="T96" i="10"/>
  <c r="Q112" i="10"/>
  <c r="R112" i="10"/>
  <c r="S112" i="10"/>
  <c r="T112" i="10"/>
  <c r="Q54" i="10"/>
  <c r="R54" i="10"/>
  <c r="S54" i="10"/>
  <c r="T54" i="10"/>
  <c r="Q95" i="10"/>
  <c r="R95" i="10"/>
  <c r="S95" i="10"/>
  <c r="T95" i="10"/>
  <c r="Q111" i="10"/>
  <c r="R111" i="10"/>
  <c r="S111" i="10"/>
  <c r="T111" i="10"/>
  <c r="Q81" i="10"/>
  <c r="R81" i="10"/>
  <c r="S81" i="10"/>
  <c r="T81" i="10"/>
  <c r="Q76" i="10"/>
  <c r="R76" i="10"/>
  <c r="S76" i="10"/>
  <c r="T76" i="10"/>
  <c r="Q248" i="10"/>
  <c r="R248" i="10"/>
  <c r="S248" i="10"/>
  <c r="T248" i="10"/>
  <c r="Q245" i="10"/>
  <c r="R245" i="10"/>
  <c r="S245" i="10"/>
  <c r="T245" i="10"/>
  <c r="Q110" i="10"/>
  <c r="R110" i="10"/>
  <c r="S110" i="10"/>
  <c r="T110" i="10"/>
  <c r="Q257" i="10"/>
  <c r="R257" i="10"/>
  <c r="S257" i="10"/>
  <c r="T257" i="10"/>
  <c r="Q109" i="10"/>
  <c r="R109" i="10"/>
  <c r="S109" i="10"/>
  <c r="T109" i="10"/>
  <c r="Q97" i="10"/>
  <c r="R97" i="10"/>
  <c r="S97" i="10"/>
  <c r="T97" i="10"/>
  <c r="Q60" i="10"/>
  <c r="R60" i="10"/>
  <c r="S60" i="10"/>
  <c r="T60" i="10"/>
  <c r="Q249" i="10"/>
  <c r="R249" i="10"/>
  <c r="S249" i="10"/>
  <c r="T249" i="10"/>
  <c r="Q256" i="10"/>
  <c r="R256" i="10"/>
  <c r="S256" i="10"/>
  <c r="T256" i="10"/>
  <c r="Q82" i="10"/>
  <c r="R82" i="10"/>
  <c r="S82" i="10"/>
  <c r="T82" i="10"/>
  <c r="Q56" i="10"/>
  <c r="R56" i="10"/>
  <c r="S56" i="10"/>
  <c r="T56" i="10"/>
  <c r="Q108" i="10"/>
  <c r="R108" i="10"/>
  <c r="S108" i="10"/>
  <c r="T108" i="10"/>
  <c r="W51" i="10"/>
  <c r="X45" i="10"/>
  <c r="X33" i="10"/>
  <c r="Q57" i="10"/>
  <c r="R57" i="10"/>
  <c r="S57" i="10"/>
  <c r="T57" i="10"/>
  <c r="W203" i="10"/>
  <c r="Q263" i="10"/>
  <c r="R263" i="10"/>
  <c r="S263" i="10"/>
  <c r="T263" i="10"/>
  <c r="Q62" i="10"/>
  <c r="R62" i="10"/>
  <c r="S62" i="10"/>
  <c r="T62" i="10"/>
  <c r="G41" i="10"/>
  <c r="Q100" i="10"/>
  <c r="R100" i="10"/>
  <c r="S100" i="10"/>
  <c r="T100" i="10"/>
  <c r="X39" i="10"/>
  <c r="W39" i="10"/>
  <c r="Q67" i="10"/>
  <c r="R67" i="10"/>
  <c r="S67" i="10"/>
  <c r="T67" i="10"/>
  <c r="X27" i="10"/>
  <c r="Q101" i="10"/>
  <c r="R101" i="10"/>
  <c r="S101" i="10"/>
  <c r="T101" i="10"/>
  <c r="W227" i="10"/>
  <c r="Q241" i="10"/>
  <c r="R241" i="10"/>
  <c r="S241" i="10"/>
  <c r="T241" i="10"/>
  <c r="F41" i="10"/>
  <c r="Q102" i="10"/>
  <c r="R102" i="10"/>
  <c r="S102" i="10"/>
  <c r="T102" i="10"/>
  <c r="X51" i="10"/>
  <c r="V262" i="3"/>
  <c r="S99" i="9"/>
  <c r="T99" i="9"/>
  <c r="S98" i="9"/>
  <c r="T98" i="9"/>
  <c r="S101" i="9"/>
  <c r="T101" i="9"/>
  <c r="S100" i="9"/>
  <c r="T100" i="9"/>
  <c r="S97" i="9"/>
  <c r="T97" i="9"/>
  <c r="T102" i="9"/>
  <c r="S107" i="9"/>
  <c r="T107" i="9"/>
  <c r="S106" i="9"/>
  <c r="T106" i="9"/>
  <c r="S105" i="9"/>
  <c r="T105" i="9"/>
  <c r="S103" i="9"/>
  <c r="T103" i="9"/>
  <c r="S104" i="9"/>
  <c r="T104" i="9"/>
  <c r="S110" i="9"/>
  <c r="T110" i="9"/>
  <c r="S109" i="9"/>
  <c r="T109" i="9"/>
  <c r="S112" i="9"/>
  <c r="T112" i="9"/>
  <c r="S113" i="9"/>
  <c r="T113" i="9"/>
  <c r="S111" i="9"/>
  <c r="T111" i="9"/>
  <c r="S87" i="9"/>
  <c r="T87" i="9"/>
  <c r="S89" i="9"/>
  <c r="T89" i="9"/>
  <c r="S88" i="9"/>
  <c r="T88" i="9"/>
  <c r="S85" i="9"/>
  <c r="T85" i="9"/>
  <c r="S86" i="9"/>
  <c r="T86" i="9"/>
  <c r="S77" i="9"/>
  <c r="T77" i="9"/>
  <c r="S76" i="9"/>
  <c r="T76" i="9"/>
  <c r="S75" i="9"/>
  <c r="T75" i="9"/>
  <c r="S73" i="9"/>
  <c r="T73" i="9"/>
  <c r="S74" i="9"/>
  <c r="T74" i="9"/>
  <c r="Q55" i="9"/>
  <c r="R55" i="9"/>
  <c r="S55" i="9"/>
  <c r="T55" i="9"/>
  <c r="S65" i="9"/>
  <c r="T65" i="9"/>
  <c r="S64" i="9"/>
  <c r="T64" i="9"/>
  <c r="S63" i="9"/>
  <c r="T63" i="9"/>
  <c r="S61" i="9"/>
  <c r="T61" i="9"/>
  <c r="S62" i="9"/>
  <c r="T62" i="9"/>
  <c r="Q92" i="9"/>
  <c r="R92" i="9"/>
  <c r="S92" i="9"/>
  <c r="T92" i="9"/>
  <c r="Q265" i="9"/>
  <c r="R265" i="9"/>
  <c r="S265" i="9"/>
  <c r="T265" i="9"/>
  <c r="W235" i="9"/>
  <c r="Q267" i="9"/>
  <c r="R267" i="9"/>
  <c r="S267" i="9"/>
  <c r="T267" i="9"/>
  <c r="W27" i="9"/>
  <c r="Q59" i="9"/>
  <c r="R59" i="9"/>
  <c r="S59" i="9"/>
  <c r="T59" i="9"/>
  <c r="Q93" i="9"/>
  <c r="R93" i="9"/>
  <c r="S93" i="9"/>
  <c r="T93" i="9"/>
  <c r="W199" i="9"/>
  <c r="W205" i="9"/>
  <c r="W211" i="9"/>
  <c r="G27" i="9"/>
  <c r="W51" i="9"/>
  <c r="W45" i="9"/>
  <c r="W229" i="9"/>
  <c r="W217" i="9"/>
  <c r="W39" i="9"/>
  <c r="G41" i="9"/>
  <c r="W223" i="9"/>
  <c r="W33" i="9"/>
  <c r="F41" i="9"/>
  <c r="Q269" i="9"/>
  <c r="R269" i="9"/>
  <c r="S269" i="9"/>
  <c r="T269" i="9"/>
  <c r="Q82" i="9"/>
  <c r="R82" i="9"/>
  <c r="S82" i="9"/>
  <c r="T82" i="9"/>
  <c r="Q241" i="9"/>
  <c r="R241" i="9"/>
  <c r="S241" i="9"/>
  <c r="T241" i="9"/>
  <c r="Q57" i="9"/>
  <c r="R57" i="9"/>
  <c r="S57" i="9"/>
  <c r="T57" i="9"/>
  <c r="Q81" i="9"/>
  <c r="R81" i="9"/>
  <c r="S81" i="9"/>
  <c r="T81" i="9"/>
  <c r="Q56" i="9"/>
  <c r="R56" i="9"/>
  <c r="S56" i="9"/>
  <c r="T56" i="9"/>
  <c r="Q273" i="9"/>
  <c r="R273" i="9"/>
  <c r="S273" i="9"/>
  <c r="T273" i="9"/>
  <c r="Q68" i="9"/>
  <c r="R68" i="9"/>
  <c r="S68" i="9"/>
  <c r="T68" i="9"/>
  <c r="Q238" i="9"/>
  <c r="R238" i="9"/>
  <c r="S238" i="9"/>
  <c r="T238" i="9"/>
  <c r="Q115" i="9"/>
  <c r="R115" i="9"/>
  <c r="S115" i="9"/>
  <c r="T115" i="9"/>
  <c r="F27" i="9"/>
  <c r="Q119" i="9"/>
  <c r="R119" i="9"/>
  <c r="S119" i="9"/>
  <c r="T119" i="9"/>
  <c r="Q268" i="9"/>
  <c r="R268" i="9"/>
  <c r="S268" i="9"/>
  <c r="T268" i="9"/>
  <c r="Q239" i="9"/>
  <c r="R239" i="9"/>
  <c r="S239" i="9"/>
  <c r="T239" i="9"/>
  <c r="Q79" i="9"/>
  <c r="R79" i="9"/>
  <c r="S79" i="9"/>
  <c r="T79" i="9"/>
  <c r="Q271" i="9"/>
  <c r="R271" i="9"/>
  <c r="S271" i="9"/>
  <c r="T271" i="9"/>
  <c r="Q67" i="9"/>
  <c r="R67" i="9"/>
  <c r="S67" i="9"/>
  <c r="T67" i="9"/>
  <c r="Q246" i="9"/>
  <c r="R246" i="9"/>
  <c r="S246" i="9"/>
  <c r="T246" i="9"/>
  <c r="Q118" i="9"/>
  <c r="R118" i="9"/>
  <c r="S118" i="9"/>
  <c r="T118" i="9"/>
  <c r="Q117" i="9"/>
  <c r="R117" i="9"/>
  <c r="S117" i="9"/>
  <c r="T117" i="9"/>
  <c r="Q58" i="9"/>
  <c r="R58" i="9"/>
  <c r="S58" i="9"/>
  <c r="T58" i="9"/>
  <c r="Q270" i="9"/>
  <c r="R270" i="9"/>
  <c r="S270" i="9"/>
  <c r="T270" i="9"/>
  <c r="Q275" i="9"/>
  <c r="R275" i="9"/>
  <c r="S275" i="9"/>
  <c r="T275" i="9"/>
  <c r="Q276" i="9"/>
  <c r="R276" i="9"/>
  <c r="S276" i="9"/>
  <c r="T276" i="9"/>
  <c r="Q249" i="9"/>
  <c r="R249" i="9"/>
  <c r="S249" i="9"/>
  <c r="T249" i="9"/>
  <c r="Q250" i="9"/>
  <c r="R250" i="9"/>
  <c r="S250" i="9"/>
  <c r="T250" i="9"/>
  <c r="Q240" i="9"/>
  <c r="R240" i="9"/>
  <c r="S240" i="9"/>
  <c r="T240" i="9"/>
  <c r="Q91" i="9"/>
  <c r="R91" i="9"/>
  <c r="S91" i="9"/>
  <c r="T91" i="9"/>
  <c r="Q255" i="9"/>
  <c r="R255" i="9"/>
  <c r="S255" i="9"/>
  <c r="T255" i="9"/>
  <c r="Q80" i="9"/>
  <c r="R80" i="9"/>
  <c r="S80" i="9"/>
  <c r="T80" i="9"/>
  <c r="Q251" i="9"/>
  <c r="R251" i="9"/>
  <c r="S251" i="9"/>
  <c r="T251" i="9"/>
  <c r="Q116" i="9"/>
  <c r="R116" i="9"/>
  <c r="S116" i="9"/>
  <c r="T116" i="9"/>
  <c r="Q277" i="9"/>
  <c r="R277" i="9"/>
  <c r="S277" i="9"/>
  <c r="T277" i="9"/>
  <c r="Q252" i="9"/>
  <c r="R252" i="9"/>
  <c r="S252" i="9"/>
  <c r="T252" i="9"/>
  <c r="Q259" i="9"/>
  <c r="R259" i="9"/>
  <c r="S259" i="9"/>
  <c r="T259" i="9"/>
  <c r="Q237" i="9"/>
  <c r="R237" i="9"/>
  <c r="S237" i="9"/>
  <c r="T237" i="9"/>
  <c r="Q83" i="9"/>
  <c r="R83" i="9"/>
  <c r="S83" i="9"/>
  <c r="T83" i="9"/>
  <c r="Q69" i="9"/>
  <c r="R69" i="9"/>
  <c r="S69" i="9"/>
  <c r="T69" i="9"/>
  <c r="Q70" i="9"/>
  <c r="R70" i="9"/>
  <c r="S70" i="9"/>
  <c r="T70" i="9"/>
  <c r="Q71" i="9"/>
  <c r="R71" i="9"/>
  <c r="S71" i="9"/>
  <c r="T71" i="9"/>
  <c r="Q253" i="9"/>
  <c r="R253" i="9"/>
  <c r="S253" i="9"/>
  <c r="T253" i="9"/>
  <c r="Q244" i="9"/>
  <c r="R244" i="9"/>
  <c r="S244" i="9"/>
  <c r="T244" i="9"/>
  <c r="Q261" i="9"/>
  <c r="R261" i="9"/>
  <c r="S261" i="9"/>
  <c r="T261" i="9"/>
  <c r="Q245" i="9"/>
  <c r="R245" i="9"/>
  <c r="S245" i="9"/>
  <c r="T245" i="9"/>
  <c r="Q258" i="9"/>
  <c r="R258" i="9"/>
  <c r="S258" i="9"/>
  <c r="T258" i="9"/>
  <c r="Q262" i="9"/>
  <c r="R262" i="9"/>
  <c r="S262" i="9"/>
  <c r="T262" i="9"/>
  <c r="Q274" i="9"/>
  <c r="R274" i="9"/>
  <c r="S274" i="9"/>
  <c r="T274" i="9"/>
  <c r="Q247" i="9"/>
  <c r="R247" i="9"/>
  <c r="S247" i="9"/>
  <c r="T247" i="9"/>
  <c r="Q95" i="9"/>
  <c r="R95" i="9"/>
  <c r="S95" i="9"/>
  <c r="T95" i="9"/>
  <c r="Q263" i="9"/>
  <c r="R263" i="9"/>
  <c r="S263" i="9"/>
  <c r="T263" i="9"/>
  <c r="Q257" i="9"/>
  <c r="R257" i="9"/>
  <c r="S257" i="9"/>
  <c r="T257" i="9"/>
  <c r="Q94" i="9"/>
  <c r="R94" i="9"/>
  <c r="S94" i="9"/>
  <c r="T94" i="9"/>
  <c r="Q264" i="9"/>
  <c r="R264" i="9"/>
  <c r="S264" i="9"/>
  <c r="T264" i="9"/>
  <c r="Q243" i="9"/>
  <c r="R243" i="9"/>
  <c r="S243" i="9"/>
  <c r="T243" i="9"/>
  <c r="P178" i="3"/>
  <c r="Q178" i="3"/>
  <c r="R178" i="3"/>
  <c r="S178" i="3"/>
  <c r="P332" i="3"/>
  <c r="Q332" i="3"/>
  <c r="R332" i="3"/>
  <c r="S332" i="3"/>
  <c r="P152" i="3"/>
  <c r="Q152" i="3"/>
  <c r="R152" i="3"/>
  <c r="S152" i="3"/>
  <c r="P326" i="3"/>
  <c r="Q326" i="3"/>
  <c r="R326" i="3"/>
  <c r="S326" i="3"/>
  <c r="P164" i="3"/>
  <c r="Q164" i="3"/>
  <c r="R164" i="3"/>
  <c r="S164" i="3"/>
  <c r="P166" i="3"/>
  <c r="Q166" i="3"/>
  <c r="R166" i="3"/>
  <c r="S166" i="3"/>
  <c r="P339" i="3"/>
  <c r="Q339" i="3"/>
  <c r="R339" i="3"/>
  <c r="S339" i="3"/>
  <c r="P327" i="3"/>
  <c r="Q327" i="3"/>
  <c r="R327" i="3"/>
  <c r="S327" i="3"/>
  <c r="P214" i="3"/>
  <c r="Q214" i="3"/>
  <c r="R214" i="3"/>
  <c r="S214" i="3"/>
  <c r="P165" i="3"/>
  <c r="Q165" i="3"/>
  <c r="R165" i="3"/>
  <c r="S165" i="3"/>
  <c r="P340" i="3"/>
  <c r="Q340" i="3"/>
  <c r="R340" i="3"/>
  <c r="S340" i="3"/>
  <c r="P328" i="3"/>
  <c r="Q328" i="3"/>
  <c r="R328" i="3"/>
  <c r="S328" i="3"/>
  <c r="P344" i="3"/>
  <c r="Q344" i="3"/>
  <c r="R344" i="3"/>
  <c r="S344" i="3"/>
  <c r="P156" i="3"/>
  <c r="Q156" i="3"/>
  <c r="R156" i="3"/>
  <c r="S156" i="3"/>
  <c r="P329" i="3"/>
  <c r="Q329" i="3"/>
  <c r="R329" i="3"/>
  <c r="S329" i="3"/>
  <c r="P336" i="3"/>
  <c r="Q336" i="3"/>
  <c r="R336" i="3"/>
  <c r="S336" i="3"/>
  <c r="P312" i="3"/>
  <c r="Q312" i="3"/>
  <c r="R312" i="3"/>
  <c r="S312" i="3"/>
  <c r="P155" i="3"/>
  <c r="Q155" i="3"/>
  <c r="R155" i="3"/>
  <c r="S155" i="3"/>
  <c r="V232" i="3"/>
  <c r="L16" i="3"/>
  <c r="V238" i="3"/>
  <c r="P310" i="3"/>
  <c r="Q310" i="3"/>
  <c r="R310" i="3"/>
  <c r="S310" i="3"/>
  <c r="P213" i="3"/>
  <c r="Q213" i="3"/>
  <c r="R213" i="3"/>
  <c r="S213" i="3"/>
  <c r="P177" i="3"/>
  <c r="Q177" i="3"/>
  <c r="R177" i="3"/>
  <c r="S177" i="3"/>
  <c r="P347" i="3"/>
  <c r="Q347" i="3"/>
  <c r="R347" i="3"/>
  <c r="S347" i="3"/>
  <c r="P311" i="3"/>
  <c r="Q311" i="3"/>
  <c r="R311" i="3"/>
  <c r="S311" i="3"/>
  <c r="P309" i="3"/>
  <c r="Q309" i="3"/>
  <c r="R309" i="3"/>
  <c r="S309" i="3"/>
  <c r="P351" i="3"/>
  <c r="Q351" i="3"/>
  <c r="R351" i="3"/>
  <c r="S351" i="3"/>
  <c r="P318" i="3"/>
  <c r="Q318" i="3"/>
  <c r="R318" i="3"/>
  <c r="S318" i="3"/>
  <c r="M16" i="3"/>
  <c r="P315" i="3"/>
  <c r="Q315" i="3"/>
  <c r="R315" i="3"/>
  <c r="S315" i="3"/>
  <c r="P320" i="3"/>
  <c r="Q320" i="3"/>
  <c r="R320" i="3"/>
  <c r="S320" i="3"/>
  <c r="P348" i="3"/>
  <c r="Q348" i="3"/>
  <c r="R348" i="3"/>
  <c r="S348" i="3"/>
  <c r="D16" i="3"/>
  <c r="P78" i="3"/>
  <c r="Q78" i="3"/>
  <c r="R78" i="3"/>
  <c r="S78" i="3"/>
  <c r="P352" i="3"/>
  <c r="Q352" i="3"/>
  <c r="R352" i="3"/>
  <c r="S352" i="3"/>
  <c r="P317" i="3"/>
  <c r="Q317" i="3"/>
  <c r="R317" i="3"/>
  <c r="S317" i="3"/>
  <c r="P168" i="3"/>
  <c r="Q168" i="3"/>
  <c r="R168" i="3"/>
  <c r="S168" i="3"/>
  <c r="P176" i="3"/>
  <c r="Q176" i="3"/>
  <c r="R176" i="3"/>
  <c r="S176" i="3"/>
  <c r="P308" i="3"/>
  <c r="Q308" i="3"/>
  <c r="R308" i="3"/>
  <c r="S308" i="3"/>
  <c r="P314" i="3"/>
  <c r="Q314" i="3"/>
  <c r="R314" i="3"/>
  <c r="S314" i="3"/>
  <c r="P316" i="3"/>
  <c r="Q316" i="3"/>
  <c r="R316" i="3"/>
  <c r="S316" i="3"/>
  <c r="P346" i="3"/>
  <c r="Q346" i="3"/>
  <c r="R346" i="3"/>
  <c r="S346" i="3"/>
  <c r="E16" i="3"/>
  <c r="P345" i="3"/>
  <c r="Q345" i="3"/>
  <c r="R345" i="3"/>
  <c r="S345" i="3"/>
  <c r="P167" i="3"/>
  <c r="Q167" i="3"/>
  <c r="R167" i="3"/>
  <c r="S167" i="3"/>
  <c r="V244" i="3"/>
  <c r="P330" i="3"/>
  <c r="Q330" i="3"/>
  <c r="R330" i="3"/>
  <c r="S330" i="3"/>
  <c r="F16" i="3"/>
  <c r="W54" i="3"/>
  <c r="V42" i="3"/>
  <c r="V66" i="3"/>
  <c r="V48" i="3"/>
  <c r="W60" i="3"/>
  <c r="V226" i="3"/>
  <c r="V256" i="3"/>
  <c r="V54" i="3"/>
  <c r="V250" i="3"/>
  <c r="W42" i="3"/>
  <c r="W48" i="3"/>
  <c r="V60" i="3"/>
  <c r="W66" i="3"/>
  <c r="P154" i="3"/>
  <c r="Q154" i="3"/>
  <c r="R154" i="3"/>
  <c r="S154" i="3"/>
  <c r="P153" i="3"/>
  <c r="Q153" i="3"/>
  <c r="R153" i="3"/>
  <c r="S153" i="3"/>
  <c r="P322" i="3"/>
  <c r="Q322" i="3"/>
  <c r="R322" i="3"/>
  <c r="S322" i="3"/>
  <c r="P338" i="3"/>
  <c r="Q338" i="3"/>
  <c r="R338" i="3"/>
  <c r="S338" i="3"/>
  <c r="P180" i="3"/>
  <c r="Q180" i="3"/>
  <c r="R180" i="3"/>
  <c r="S180" i="3"/>
  <c r="P323" i="3"/>
  <c r="Q323" i="3"/>
  <c r="R323" i="3"/>
  <c r="S323" i="3"/>
  <c r="P212" i="3"/>
  <c r="Q212" i="3"/>
  <c r="R212" i="3"/>
  <c r="S212" i="3"/>
  <c r="P321" i="3"/>
  <c r="Q321" i="3"/>
  <c r="R321" i="3"/>
  <c r="S321" i="3"/>
  <c r="P355" i="3"/>
  <c r="Q355" i="3"/>
  <c r="R355" i="3"/>
  <c r="S355" i="3"/>
  <c r="P188" i="3"/>
  <c r="Q188" i="3"/>
  <c r="R188" i="3"/>
  <c r="S188" i="3"/>
  <c r="P324" i="3"/>
  <c r="Q324" i="3"/>
  <c r="R324" i="3"/>
  <c r="S324" i="3"/>
  <c r="P334" i="3"/>
  <c r="Q334" i="3"/>
  <c r="R334" i="3"/>
  <c r="S334" i="3"/>
  <c r="P192" i="3"/>
  <c r="Q192" i="3"/>
  <c r="R192" i="3"/>
  <c r="S192" i="3"/>
  <c r="P342" i="3"/>
  <c r="Q342" i="3"/>
  <c r="R342" i="3"/>
  <c r="S342" i="3"/>
  <c r="P179" i="3"/>
  <c r="Q179" i="3"/>
  <c r="R179" i="3"/>
  <c r="S179" i="3"/>
  <c r="P216" i="3"/>
  <c r="Q216" i="3"/>
  <c r="R216" i="3"/>
  <c r="S216" i="3"/>
  <c r="P191" i="3"/>
  <c r="Q191" i="3"/>
  <c r="R191" i="3"/>
  <c r="S191" i="3"/>
  <c r="P335" i="3"/>
  <c r="Q335" i="3"/>
  <c r="R335" i="3"/>
  <c r="S335" i="3"/>
  <c r="P190" i="3"/>
  <c r="Q190" i="3"/>
  <c r="R190" i="3"/>
  <c r="S190" i="3"/>
  <c r="P333" i="3"/>
  <c r="Q333" i="3"/>
  <c r="R333" i="3"/>
  <c r="S333" i="3"/>
  <c r="S337" i="3"/>
  <c r="P215" i="3"/>
  <c r="Q215" i="3"/>
  <c r="R215" i="3"/>
  <c r="S215" i="3"/>
  <c r="P189" i="3"/>
  <c r="Q189" i="3"/>
  <c r="R189" i="3"/>
  <c r="S189" i="3"/>
  <c r="P341" i="3"/>
  <c r="Q341" i="3"/>
  <c r="R341" i="3"/>
  <c r="S341" i="3"/>
  <c r="Y270" i="16"/>
  <c r="Y246" i="16"/>
  <c r="Y134" i="16"/>
  <c r="Y440" i="16"/>
  <c r="Y258" i="16"/>
  <c r="Y499" i="16"/>
  <c r="Y535" i="16"/>
  <c r="Y234" i="16"/>
  <c r="Y511" i="16"/>
  <c r="Y428" i="16"/>
  <c r="Y220" i="16"/>
  <c r="Y479" i="16"/>
  <c r="Y446" i="16"/>
  <c r="Y416" i="16"/>
  <c r="Y377" i="16"/>
  <c r="Y383" i="16"/>
  <c r="Y473" i="16"/>
  <c r="Y410" i="16"/>
  <c r="Y401" i="16"/>
  <c r="Y389" i="16"/>
  <c r="Y110" i="16"/>
  <c r="Y178" i="16"/>
  <c r="Y523" i="16"/>
  <c r="Y461" i="16"/>
  <c r="Y365" i="16"/>
  <c r="Y467" i="16"/>
  <c r="Y422" i="16"/>
  <c r="Z42" i="16"/>
  <c r="Z90" i="16"/>
  <c r="AA90" i="16"/>
  <c r="AA30" i="16"/>
  <c r="Z30" i="16"/>
  <c r="Y158" i="16"/>
  <c r="Y166" i="16"/>
  <c r="Y505" i="16"/>
  <c r="Y371" i="16"/>
  <c r="Y517" i="16"/>
  <c r="Y98" i="16"/>
  <c r="Y190" i="16"/>
  <c r="Y226" i="16"/>
  <c r="Y122" i="16"/>
  <c r="Y485" i="16"/>
  <c r="AA54" i="16"/>
  <c r="Y491" i="16"/>
  <c r="Y395" i="16"/>
  <c r="Y529" i="16"/>
  <c r="Y455" i="16"/>
  <c r="Y294" i="16"/>
  <c r="AA42" i="16"/>
  <c r="Y434" i="16"/>
  <c r="Z54" i="16"/>
  <c r="Y31" i="12"/>
  <c r="Y30" i="12"/>
  <c r="X371" i="12"/>
  <c r="X422" i="12"/>
  <c r="X395" i="12"/>
  <c r="Y166" i="12"/>
  <c r="Y190" i="12"/>
  <c r="X401" i="12"/>
  <c r="X434" i="12"/>
  <c r="X98" i="12"/>
  <c r="X529" i="12"/>
  <c r="Y54" i="12"/>
  <c r="X485" i="12"/>
  <c r="Y98" i="12"/>
  <c r="X122" i="12"/>
  <c r="X517" i="12"/>
  <c r="X166" i="12"/>
  <c r="Y234" i="12"/>
  <c r="X479" i="12"/>
  <c r="X446" i="12"/>
  <c r="X377" i="12"/>
  <c r="X473" i="12"/>
  <c r="X234" i="12"/>
  <c r="X428" i="12"/>
  <c r="Y134" i="12"/>
  <c r="Y91" i="12"/>
  <c r="X505" i="12"/>
  <c r="X383" i="12"/>
  <c r="X110" i="12"/>
  <c r="X410" i="12"/>
  <c r="X416" i="12"/>
  <c r="X294" i="12"/>
  <c r="X461" i="12"/>
  <c r="X523" i="12"/>
  <c r="Y42" i="12"/>
  <c r="Y48" i="12"/>
  <c r="X246" i="12"/>
  <c r="Y158" i="12"/>
  <c r="X158" i="12"/>
  <c r="X258" i="12"/>
  <c r="X440" i="12"/>
  <c r="X511" i="12"/>
  <c r="X226" i="12"/>
  <c r="X270" i="12"/>
  <c r="Y294" i="12"/>
  <c r="X467" i="12"/>
  <c r="Y246" i="12"/>
  <c r="Y258" i="12"/>
  <c r="X491" i="12"/>
  <c r="X535" i="12"/>
  <c r="Y90" i="12"/>
  <c r="X499" i="12"/>
  <c r="X365" i="12"/>
  <c r="X455" i="12"/>
  <c r="Y226" i="12"/>
  <c r="Y270" i="12"/>
  <c r="X389" i="12"/>
  <c r="Y178" i="12"/>
  <c r="Y49" i="12"/>
  <c r="X190" i="12"/>
  <c r="X178" i="12"/>
  <c r="Y55" i="12"/>
  <c r="Y122" i="12"/>
  <c r="Y43" i="12"/>
  <c r="Y110" i="12"/>
  <c r="X134" i="12"/>
  <c r="G67" i="11"/>
  <c r="Y511" i="11"/>
  <c r="Z266" i="11"/>
  <c r="Y529" i="11"/>
  <c r="X439" i="11"/>
  <c r="X349" i="11"/>
  <c r="Z230" i="11"/>
  <c r="Y44" i="11"/>
  <c r="Z44" i="11"/>
  <c r="X418" i="11"/>
  <c r="Y463" i="11"/>
  <c r="X463" i="11"/>
  <c r="G19" i="11"/>
  <c r="Y113" i="11"/>
  <c r="Z113" i="11"/>
  <c r="Z239" i="11"/>
  <c r="Y239" i="11"/>
  <c r="Z194" i="11"/>
  <c r="Y32" i="11"/>
  <c r="Z32" i="11"/>
  <c r="Z92" i="11"/>
  <c r="Z161" i="11"/>
  <c r="Y400" i="11"/>
  <c r="X400" i="11"/>
  <c r="Y412" i="11"/>
  <c r="Z272" i="11"/>
  <c r="Y272" i="11"/>
  <c r="Z125" i="11"/>
  <c r="Y125" i="11"/>
  <c r="Y388" i="11"/>
  <c r="X388" i="11"/>
  <c r="Z245" i="11"/>
  <c r="Y245" i="11"/>
  <c r="Y472" i="11"/>
  <c r="X472" i="11"/>
  <c r="X327" i="11"/>
  <c r="Y355" i="11"/>
  <c r="X355" i="11"/>
  <c r="X427" i="11"/>
  <c r="Y427" i="11"/>
  <c r="X343" i="11"/>
  <c r="Y343" i="11"/>
  <c r="Y367" i="11"/>
  <c r="X367" i="11"/>
  <c r="G43" i="11"/>
  <c r="Y320" i="11"/>
  <c r="X361" i="11"/>
  <c r="Y182" i="11"/>
  <c r="Y373" i="11"/>
  <c r="X373" i="11"/>
  <c r="Y56" i="11"/>
  <c r="Z56" i="11"/>
  <c r="Z206" i="11"/>
  <c r="X433" i="11"/>
  <c r="Y433" i="11"/>
  <c r="X457" i="11"/>
  <c r="Y457" i="11"/>
  <c r="Y490" i="11"/>
  <c r="X490" i="11"/>
  <c r="X451" i="11"/>
  <c r="Y484" i="11"/>
  <c r="Z296" i="11"/>
  <c r="Y296" i="11"/>
  <c r="Y535" i="11"/>
  <c r="Y496" i="11"/>
  <c r="X496" i="11"/>
  <c r="Y523" i="11"/>
  <c r="X523" i="11"/>
  <c r="Y349" i="11"/>
  <c r="Y445" i="11"/>
  <c r="X445" i="11"/>
  <c r="Y394" i="11"/>
  <c r="X394" i="11"/>
  <c r="Z284" i="11"/>
  <c r="Y284" i="11"/>
  <c r="Z101" i="11"/>
  <c r="Y101" i="11"/>
  <c r="Y361" i="11"/>
  <c r="Y541" i="11"/>
  <c r="X541" i="11"/>
  <c r="Z170" i="11"/>
  <c r="Y170" i="11"/>
  <c r="Y439" i="11"/>
  <c r="Y517" i="11"/>
  <c r="X517" i="11"/>
  <c r="X547" i="11"/>
  <c r="Y547" i="11"/>
  <c r="X406" i="11"/>
  <c r="Y451" i="11"/>
  <c r="Y337" i="11"/>
  <c r="X337" i="11"/>
  <c r="Z251" i="11"/>
  <c r="Y251" i="11"/>
  <c r="Z137" i="11"/>
  <c r="Y137" i="11"/>
  <c r="Y382" i="11"/>
  <c r="X382" i="11"/>
  <c r="Y478" i="11"/>
  <c r="X478" i="11"/>
  <c r="G31" i="11"/>
  <c r="X564" i="11"/>
  <c r="Y564" i="11"/>
  <c r="Z182" i="11"/>
  <c r="Y418" i="11"/>
  <c r="Y92" i="11"/>
  <c r="Y327" i="11"/>
  <c r="Y230" i="11"/>
  <c r="Y206" i="11"/>
  <c r="Y266" i="11"/>
  <c r="Z320" i="11"/>
  <c r="Y194" i="11"/>
  <c r="X484" i="11"/>
  <c r="Y161" i="11"/>
  <c r="X511" i="11"/>
  <c r="X529" i="11"/>
  <c r="X502" i="11"/>
  <c r="X535" i="11"/>
  <c r="Y406" i="11"/>
  <c r="X412" i="11"/>
  <c r="Y582" i="11"/>
  <c r="X582" i="11"/>
  <c r="Y576" i="11"/>
  <c r="X576" i="11"/>
  <c r="X570" i="11"/>
  <c r="Y570" i="11"/>
  <c r="X558" i="11"/>
  <c r="Y558" i="11"/>
  <c r="S150" i="10"/>
  <c r="T150" i="10"/>
  <c r="S149" i="10"/>
  <c r="T149" i="10"/>
  <c r="S148" i="10"/>
  <c r="T148" i="10"/>
  <c r="S146" i="10"/>
  <c r="T146" i="10"/>
  <c r="S147" i="10"/>
  <c r="T147" i="10"/>
  <c r="S138" i="10"/>
  <c r="T138" i="10"/>
  <c r="S137" i="10"/>
  <c r="T137" i="10"/>
  <c r="S136" i="10"/>
  <c r="T136" i="10"/>
  <c r="S134" i="10"/>
  <c r="T134" i="10"/>
  <c r="S135" i="10"/>
  <c r="T135" i="10"/>
  <c r="S125" i="10"/>
  <c r="T125" i="10"/>
  <c r="S126" i="10"/>
  <c r="T126" i="10"/>
  <c r="S124" i="10"/>
  <c r="T124" i="10"/>
  <c r="S123" i="10"/>
  <c r="T123" i="10"/>
  <c r="S122" i="10"/>
  <c r="T122" i="10"/>
  <c r="S166" i="10"/>
  <c r="T166" i="10"/>
  <c r="S168" i="10"/>
  <c r="T168" i="10"/>
  <c r="S167" i="10"/>
  <c r="T167" i="10"/>
  <c r="S165" i="10"/>
  <c r="T165" i="10"/>
  <c r="S164" i="10"/>
  <c r="T164" i="10"/>
  <c r="S172" i="10"/>
  <c r="T172" i="10"/>
  <c r="S173" i="10"/>
  <c r="T173" i="10"/>
  <c r="S174" i="10"/>
  <c r="T174" i="10"/>
  <c r="S170" i="10"/>
  <c r="T170" i="10"/>
  <c r="S171" i="10"/>
  <c r="T171" i="10"/>
  <c r="G10" i="10"/>
  <c r="H10" i="10"/>
  <c r="S161" i="10"/>
  <c r="T161" i="10"/>
  <c r="S162" i="10"/>
  <c r="T162" i="10"/>
  <c r="S160" i="10"/>
  <c r="T160" i="10"/>
  <c r="S159" i="10"/>
  <c r="T159" i="10"/>
  <c r="S158" i="10"/>
  <c r="T158" i="10"/>
  <c r="T264" i="10"/>
  <c r="T258" i="10"/>
  <c r="G12" i="10"/>
  <c r="H12" i="10"/>
  <c r="U77" i="10"/>
  <c r="T240" i="10"/>
  <c r="T252" i="10"/>
  <c r="T71" i="10"/>
  <c r="U71" i="10"/>
  <c r="Q177" i="10"/>
  <c r="R177" i="10"/>
  <c r="S177" i="10"/>
  <c r="T177" i="10"/>
  <c r="S154" i="10"/>
  <c r="T154" i="10"/>
  <c r="Q298" i="10"/>
  <c r="R298" i="10"/>
  <c r="S298" i="10"/>
  <c r="T298" i="10"/>
  <c r="Q289" i="10"/>
  <c r="R289" i="10"/>
  <c r="S289" i="10"/>
  <c r="T289" i="10"/>
  <c r="G11" i="10"/>
  <c r="H11" i="10"/>
  <c r="S120" i="10"/>
  <c r="T120" i="10"/>
  <c r="Q280" i="10"/>
  <c r="R280" i="10"/>
  <c r="S280" i="10"/>
  <c r="T280" i="10"/>
  <c r="Q295" i="10"/>
  <c r="R295" i="10"/>
  <c r="S295" i="10"/>
  <c r="T295" i="10"/>
  <c r="Q287" i="10"/>
  <c r="R287" i="10"/>
  <c r="S287" i="10"/>
  <c r="T287" i="10"/>
  <c r="G6" i="10"/>
  <c r="H6" i="10"/>
  <c r="Q273" i="10"/>
  <c r="R273" i="10"/>
  <c r="S273" i="10"/>
  <c r="T273" i="10"/>
  <c r="S129" i="10"/>
  <c r="T129" i="10"/>
  <c r="Q309" i="10"/>
  <c r="R309" i="10"/>
  <c r="S309" i="10"/>
  <c r="T309" i="10"/>
  <c r="Q282" i="10"/>
  <c r="R282" i="10"/>
  <c r="S282" i="10"/>
  <c r="T282" i="10"/>
  <c r="Q310" i="10"/>
  <c r="R310" i="10"/>
  <c r="S310" i="10"/>
  <c r="T310" i="10"/>
  <c r="S118" i="10"/>
  <c r="T118" i="10"/>
  <c r="Q292" i="10"/>
  <c r="R292" i="10"/>
  <c r="S292" i="10"/>
  <c r="T292" i="10"/>
  <c r="S116" i="10"/>
  <c r="T116" i="10"/>
  <c r="S142" i="10"/>
  <c r="T142" i="10"/>
  <c r="Q291" i="10"/>
  <c r="R291" i="10"/>
  <c r="S291" i="10"/>
  <c r="T291" i="10"/>
  <c r="Q304" i="10"/>
  <c r="R304" i="10"/>
  <c r="S304" i="10"/>
  <c r="T304" i="10"/>
  <c r="Q277" i="10"/>
  <c r="R277" i="10"/>
  <c r="S277" i="10"/>
  <c r="T277" i="10"/>
  <c r="G7" i="10"/>
  <c r="H7" i="10"/>
  <c r="Q178" i="10"/>
  <c r="R178" i="10"/>
  <c r="S178" i="10"/>
  <c r="T178" i="10"/>
  <c r="S155" i="10"/>
  <c r="T155" i="10"/>
  <c r="Q299" i="10"/>
  <c r="R299" i="10"/>
  <c r="S299" i="10"/>
  <c r="T299" i="10"/>
  <c r="Q311" i="10"/>
  <c r="R311" i="10"/>
  <c r="S311" i="10"/>
  <c r="T311" i="10"/>
  <c r="S152" i="10"/>
  <c r="T152" i="10"/>
  <c r="Q285" i="10"/>
  <c r="R285" i="10"/>
  <c r="S285" i="10"/>
  <c r="T285" i="10"/>
  <c r="Q313" i="10"/>
  <c r="R313" i="10"/>
  <c r="S313" i="10"/>
  <c r="T313" i="10"/>
  <c r="Q275" i="10"/>
  <c r="R275" i="10"/>
  <c r="S275" i="10"/>
  <c r="T275" i="10"/>
  <c r="S153" i="10"/>
  <c r="T153" i="10"/>
  <c r="Q288" i="10"/>
  <c r="R288" i="10"/>
  <c r="S288" i="10"/>
  <c r="T288" i="10"/>
  <c r="Q283" i="10"/>
  <c r="R283" i="10"/>
  <c r="S283" i="10"/>
  <c r="T283" i="10"/>
  <c r="Q305" i="10"/>
  <c r="R305" i="10"/>
  <c r="S305" i="10"/>
  <c r="T305" i="10"/>
  <c r="Q300" i="10"/>
  <c r="R300" i="10"/>
  <c r="S300" i="10"/>
  <c r="T300" i="10"/>
  <c r="S140" i="10"/>
  <c r="T140" i="10"/>
  <c r="Q176" i="10"/>
  <c r="R176" i="10"/>
  <c r="S176" i="10"/>
  <c r="T176" i="10"/>
  <c r="Q297" i="10"/>
  <c r="R297" i="10"/>
  <c r="S297" i="10"/>
  <c r="T297" i="10"/>
  <c r="S130" i="10"/>
  <c r="T130" i="10"/>
  <c r="Q301" i="10"/>
  <c r="R301" i="10"/>
  <c r="S301" i="10"/>
  <c r="T301" i="10"/>
  <c r="Q274" i="10"/>
  <c r="R274" i="10"/>
  <c r="S274" i="10"/>
  <c r="T274" i="10"/>
  <c r="S117" i="10"/>
  <c r="T117" i="10"/>
  <c r="S143" i="10"/>
  <c r="T143" i="10"/>
  <c r="Q307" i="10"/>
  <c r="R307" i="10"/>
  <c r="S307" i="10"/>
  <c r="T307" i="10"/>
  <c r="Q179" i="10"/>
  <c r="R179" i="10"/>
  <c r="S179" i="10"/>
  <c r="T179" i="10"/>
  <c r="S156" i="10"/>
  <c r="T156" i="10"/>
  <c r="G4" i="10"/>
  <c r="H4" i="10"/>
  <c r="S131" i="10"/>
  <c r="T131" i="10"/>
  <c r="S119" i="10"/>
  <c r="T119" i="10"/>
  <c r="S144" i="10"/>
  <c r="T144" i="10"/>
  <c r="Q306" i="10"/>
  <c r="R306" i="10"/>
  <c r="S306" i="10"/>
  <c r="T306" i="10"/>
  <c r="Q180" i="10"/>
  <c r="R180" i="10"/>
  <c r="S180" i="10"/>
  <c r="T180" i="10"/>
  <c r="G9" i="10"/>
  <c r="H9" i="10"/>
  <c r="S132" i="10"/>
  <c r="T132" i="10"/>
  <c r="Q312" i="10"/>
  <c r="R312" i="10"/>
  <c r="S312" i="10"/>
  <c r="T312" i="10"/>
  <c r="Q279" i="10"/>
  <c r="R279" i="10"/>
  <c r="S279" i="10"/>
  <c r="T279" i="10"/>
  <c r="G5" i="10"/>
  <c r="H5" i="10"/>
  <c r="G13" i="10"/>
  <c r="H13" i="10"/>
  <c r="S128" i="10"/>
  <c r="T128" i="10"/>
  <c r="Q276" i="10"/>
  <c r="R276" i="10"/>
  <c r="S276" i="10"/>
  <c r="T276" i="10"/>
  <c r="S141" i="10"/>
  <c r="T141" i="10"/>
  <c r="Q293" i="10"/>
  <c r="R293" i="10"/>
  <c r="S293" i="10"/>
  <c r="T293" i="10"/>
  <c r="Q303" i="10"/>
  <c r="R303" i="10"/>
  <c r="S303" i="10"/>
  <c r="T303" i="10"/>
  <c r="Q286" i="10"/>
  <c r="R286" i="10"/>
  <c r="S286" i="10"/>
  <c r="T286" i="10"/>
  <c r="Q294" i="10"/>
  <c r="R294" i="10"/>
  <c r="S294" i="10"/>
  <c r="T294" i="10"/>
  <c r="Q281" i="10"/>
  <c r="R281" i="10"/>
  <c r="S281" i="10"/>
  <c r="T281" i="10"/>
  <c r="V87" i="10"/>
  <c r="U87" i="10"/>
  <c r="G8" i="10"/>
  <c r="H8" i="10"/>
  <c r="T234" i="10"/>
  <c r="V92" i="10"/>
  <c r="U92" i="10"/>
  <c r="V97" i="10"/>
  <c r="U97" i="10"/>
  <c r="V107" i="10"/>
  <c r="U107" i="10"/>
  <c r="T246" i="10"/>
  <c r="U65" i="10"/>
  <c r="T65" i="10"/>
  <c r="T77" i="10"/>
  <c r="T59" i="10"/>
  <c r="U59" i="10"/>
  <c r="V112" i="10"/>
  <c r="U112" i="10"/>
  <c r="T270" i="10"/>
  <c r="V102" i="10"/>
  <c r="U102" i="10"/>
  <c r="U82" i="10"/>
  <c r="V82" i="10"/>
  <c r="R198" i="3"/>
  <c r="S198" i="3"/>
  <c r="R194" i="3"/>
  <c r="S194" i="3"/>
  <c r="R197" i="3"/>
  <c r="S197" i="3"/>
  <c r="R196" i="3"/>
  <c r="S196" i="3"/>
  <c r="R195" i="3"/>
  <c r="S195" i="3"/>
  <c r="R204" i="3"/>
  <c r="S204" i="3"/>
  <c r="R203" i="3"/>
  <c r="S203" i="3"/>
  <c r="R200" i="3"/>
  <c r="S200" i="3"/>
  <c r="R201" i="3"/>
  <c r="S201" i="3"/>
  <c r="R202" i="3"/>
  <c r="S202" i="3"/>
  <c r="R210" i="3"/>
  <c r="S210" i="3"/>
  <c r="R209" i="3"/>
  <c r="S209" i="3"/>
  <c r="R208" i="3"/>
  <c r="S208" i="3"/>
  <c r="R207" i="3"/>
  <c r="S207" i="3"/>
  <c r="R206" i="3"/>
  <c r="S206" i="3"/>
  <c r="S211" i="3"/>
  <c r="R186" i="3"/>
  <c r="S186" i="3"/>
  <c r="R184" i="3"/>
  <c r="S184" i="3"/>
  <c r="R185" i="3"/>
  <c r="S185" i="3"/>
  <c r="R182" i="3"/>
  <c r="S182" i="3"/>
  <c r="R183" i="3"/>
  <c r="S183" i="3"/>
  <c r="R173" i="3"/>
  <c r="S173" i="3"/>
  <c r="R174" i="3"/>
  <c r="S174" i="3"/>
  <c r="R172" i="3"/>
  <c r="S172" i="3"/>
  <c r="R171" i="3"/>
  <c r="S171" i="3"/>
  <c r="R170" i="3"/>
  <c r="S170" i="3"/>
  <c r="R159" i="3"/>
  <c r="S159" i="3"/>
  <c r="R162" i="3"/>
  <c r="S162" i="3"/>
  <c r="R160" i="3"/>
  <c r="S160" i="3"/>
  <c r="R161" i="3"/>
  <c r="S161" i="3"/>
  <c r="R158" i="3"/>
  <c r="S158" i="3"/>
  <c r="P267" i="3"/>
  <c r="Q267" i="3"/>
  <c r="R267" i="3"/>
  <c r="S267" i="3"/>
  <c r="P73" i="3"/>
  <c r="Q73" i="3"/>
  <c r="R73" i="3"/>
  <c r="S73" i="3"/>
  <c r="P301" i="3"/>
  <c r="Q301" i="3"/>
  <c r="R301" i="3"/>
  <c r="S301" i="3"/>
  <c r="P283" i="3"/>
  <c r="Q283" i="3"/>
  <c r="R283" i="3"/>
  <c r="S283" i="3"/>
  <c r="P298" i="3"/>
  <c r="Q298" i="3"/>
  <c r="R298" i="3"/>
  <c r="S298" i="3"/>
  <c r="P273" i="3"/>
  <c r="Q273" i="3"/>
  <c r="R273" i="3"/>
  <c r="S273" i="3"/>
  <c r="P146" i="3"/>
  <c r="P148" i="3"/>
  <c r="P144" i="3"/>
  <c r="P145" i="3"/>
  <c r="P147" i="3"/>
  <c r="P294" i="3"/>
  <c r="Q294" i="3"/>
  <c r="R294" i="3"/>
  <c r="S294" i="3"/>
  <c r="P96" i="3"/>
  <c r="Q96" i="3"/>
  <c r="R96" i="3"/>
  <c r="S96" i="3"/>
  <c r="P270" i="3"/>
  <c r="Q270" i="3"/>
  <c r="R270" i="3"/>
  <c r="S270" i="3"/>
  <c r="S331" i="3"/>
  <c r="M28" i="3"/>
  <c r="N28" i="3"/>
  <c r="P94" i="3"/>
  <c r="Q94" i="3"/>
  <c r="R94" i="3"/>
  <c r="S94" i="3"/>
  <c r="M32" i="3"/>
  <c r="N32" i="3"/>
  <c r="P83" i="3"/>
  <c r="Q83" i="3"/>
  <c r="R83" i="3"/>
  <c r="S83" i="3"/>
  <c r="S325" i="3"/>
  <c r="P292" i="3"/>
  <c r="Q292" i="3"/>
  <c r="R292" i="3"/>
  <c r="S292" i="3"/>
  <c r="P276" i="3"/>
  <c r="Q276" i="3"/>
  <c r="R276" i="3"/>
  <c r="S276" i="3"/>
  <c r="P95" i="3"/>
  <c r="Q95" i="3"/>
  <c r="R95" i="3"/>
  <c r="S95" i="3"/>
  <c r="P76" i="3"/>
  <c r="Q76" i="3"/>
  <c r="R76" i="3"/>
  <c r="S76" i="3"/>
  <c r="T114" i="9"/>
  <c r="T108" i="9"/>
  <c r="T90" i="9"/>
  <c r="T78" i="9"/>
  <c r="S167" i="9"/>
  <c r="T167" i="9"/>
  <c r="S166" i="9"/>
  <c r="T166" i="9"/>
  <c r="S170" i="9"/>
  <c r="T170" i="9"/>
  <c r="S169" i="9"/>
  <c r="T169" i="9"/>
  <c r="S168" i="9"/>
  <c r="T168" i="9"/>
  <c r="S176" i="9"/>
  <c r="T176" i="9"/>
  <c r="S175" i="9"/>
  <c r="T175" i="9"/>
  <c r="S174" i="9"/>
  <c r="T174" i="9"/>
  <c r="S172" i="9"/>
  <c r="T172" i="9"/>
  <c r="S173" i="9"/>
  <c r="T173" i="9"/>
  <c r="S182" i="9"/>
  <c r="T182" i="9"/>
  <c r="S181" i="9"/>
  <c r="T181" i="9"/>
  <c r="S180" i="9"/>
  <c r="T180" i="9"/>
  <c r="S178" i="9"/>
  <c r="T178" i="9"/>
  <c r="S179" i="9"/>
  <c r="T179" i="9"/>
  <c r="S156" i="9"/>
  <c r="T156" i="9"/>
  <c r="S158" i="9"/>
  <c r="T158" i="9"/>
  <c r="S157" i="9"/>
  <c r="T157" i="9"/>
  <c r="S155" i="9"/>
  <c r="T155" i="9"/>
  <c r="S154" i="9"/>
  <c r="T154" i="9"/>
  <c r="T159" i="9"/>
  <c r="S145" i="9"/>
  <c r="T145" i="9"/>
  <c r="S143" i="9"/>
  <c r="T143" i="9"/>
  <c r="S146" i="9"/>
  <c r="T146" i="9"/>
  <c r="S142" i="9"/>
  <c r="T142" i="9"/>
  <c r="S144" i="9"/>
  <c r="T144" i="9"/>
  <c r="Q296" i="9"/>
  <c r="R296" i="9"/>
  <c r="S296" i="9"/>
  <c r="T296" i="9"/>
  <c r="S131" i="9"/>
  <c r="T131" i="9"/>
  <c r="S130" i="9"/>
  <c r="T130" i="9"/>
  <c r="S132" i="9"/>
  <c r="T132" i="9"/>
  <c r="S134" i="9"/>
  <c r="T134" i="9"/>
  <c r="S133" i="9"/>
  <c r="T133" i="9"/>
  <c r="Q303" i="9"/>
  <c r="R303" i="9"/>
  <c r="S303" i="9"/>
  <c r="T303" i="9"/>
  <c r="Q160" i="9"/>
  <c r="R160" i="9"/>
  <c r="S160" i="9"/>
  <c r="T160" i="9"/>
  <c r="Q161" i="9"/>
  <c r="R161" i="9"/>
  <c r="S161" i="9"/>
  <c r="T161" i="9"/>
  <c r="Q164" i="9"/>
  <c r="R164" i="9"/>
  <c r="S164" i="9"/>
  <c r="T164" i="9"/>
  <c r="Q163" i="9"/>
  <c r="R163" i="9"/>
  <c r="S163" i="9"/>
  <c r="T163" i="9"/>
  <c r="Q162" i="9"/>
  <c r="R162" i="9"/>
  <c r="S162" i="9"/>
  <c r="T162" i="9"/>
  <c r="Q140" i="9"/>
  <c r="R140" i="9"/>
  <c r="S140" i="9"/>
  <c r="T140" i="9"/>
  <c r="Q297" i="9"/>
  <c r="R297" i="9"/>
  <c r="S297" i="9"/>
  <c r="T297" i="9"/>
  <c r="Q305" i="9"/>
  <c r="R305" i="9"/>
  <c r="S305" i="9"/>
  <c r="T305" i="9"/>
  <c r="Q139" i="9"/>
  <c r="R139" i="9"/>
  <c r="S139" i="9"/>
  <c r="T139" i="9"/>
  <c r="Q295" i="9"/>
  <c r="R295" i="9"/>
  <c r="S295" i="9"/>
  <c r="T295" i="9"/>
  <c r="Q126" i="9"/>
  <c r="R126" i="9"/>
  <c r="S126" i="9"/>
  <c r="T126" i="9"/>
  <c r="Q320" i="9"/>
  <c r="R320" i="9"/>
  <c r="S320" i="9"/>
  <c r="T320" i="9"/>
  <c r="Q301" i="9"/>
  <c r="R301" i="9"/>
  <c r="S301" i="9"/>
  <c r="T301" i="9"/>
  <c r="Q289" i="9"/>
  <c r="R289" i="9"/>
  <c r="S289" i="9"/>
  <c r="T289" i="9"/>
  <c r="Q282" i="9"/>
  <c r="R282" i="9"/>
  <c r="S282" i="9"/>
  <c r="T282" i="9"/>
  <c r="Q317" i="9"/>
  <c r="R317" i="9"/>
  <c r="S317" i="9"/>
  <c r="T317" i="9"/>
  <c r="Q308" i="9"/>
  <c r="R308" i="9"/>
  <c r="S308" i="9"/>
  <c r="T308" i="9"/>
  <c r="Q313" i="9"/>
  <c r="R313" i="9"/>
  <c r="S313" i="9"/>
  <c r="T313" i="9"/>
  <c r="Q138" i="9"/>
  <c r="R138" i="9"/>
  <c r="S138" i="9"/>
  <c r="T138" i="9"/>
  <c r="G8" i="9"/>
  <c r="H8" i="9"/>
  <c r="Q128" i="9"/>
  <c r="R128" i="9"/>
  <c r="S128" i="9"/>
  <c r="T128" i="9"/>
  <c r="Q149" i="9"/>
  <c r="R149" i="9"/>
  <c r="S149" i="9"/>
  <c r="T149" i="9"/>
  <c r="G7" i="9"/>
  <c r="H7" i="9"/>
  <c r="Q288" i="9"/>
  <c r="R288" i="9"/>
  <c r="S288" i="9"/>
  <c r="T288" i="9"/>
  <c r="G10" i="9"/>
  <c r="H10" i="9"/>
  <c r="Q291" i="9"/>
  <c r="R291" i="9"/>
  <c r="S291" i="9"/>
  <c r="T291" i="9"/>
  <c r="G11" i="9"/>
  <c r="H11" i="9"/>
  <c r="Q306" i="9"/>
  <c r="R306" i="9"/>
  <c r="S306" i="9"/>
  <c r="T306" i="9"/>
  <c r="Q185" i="9"/>
  <c r="R185" i="9"/>
  <c r="S185" i="9"/>
  <c r="T185" i="9"/>
  <c r="Q299" i="9"/>
  <c r="R299" i="9"/>
  <c r="S299" i="9"/>
  <c r="T299" i="9"/>
  <c r="Q186" i="9"/>
  <c r="R186" i="9"/>
  <c r="S186" i="9"/>
  <c r="T186" i="9"/>
  <c r="Q124" i="9"/>
  <c r="R124" i="9"/>
  <c r="S124" i="9"/>
  <c r="T124" i="9"/>
  <c r="Q151" i="9"/>
  <c r="R151" i="9"/>
  <c r="S151" i="9"/>
  <c r="T151" i="9"/>
  <c r="Q319" i="9"/>
  <c r="R319" i="9"/>
  <c r="S319" i="9"/>
  <c r="T319" i="9"/>
  <c r="Q307" i="9"/>
  <c r="R307" i="9"/>
  <c r="S307" i="9"/>
  <c r="T307" i="9"/>
  <c r="Q136" i="9"/>
  <c r="R136" i="9"/>
  <c r="S136" i="9"/>
  <c r="T136" i="9"/>
  <c r="Q188" i="9"/>
  <c r="R188" i="9"/>
  <c r="S188" i="9"/>
  <c r="T188" i="9"/>
  <c r="Q152" i="9"/>
  <c r="R152" i="9"/>
  <c r="S152" i="9"/>
  <c r="T152" i="9"/>
  <c r="Q321" i="9"/>
  <c r="R321" i="9"/>
  <c r="S321" i="9"/>
  <c r="T321" i="9"/>
  <c r="Q127" i="9"/>
  <c r="R127" i="9"/>
  <c r="S127" i="9"/>
  <c r="T127" i="9"/>
  <c r="Q300" i="9"/>
  <c r="R300" i="9"/>
  <c r="S300" i="9"/>
  <c r="T300" i="9"/>
  <c r="G6" i="9"/>
  <c r="H6" i="9"/>
  <c r="G13" i="9"/>
  <c r="H13" i="9"/>
  <c r="Q187" i="9"/>
  <c r="R187" i="9"/>
  <c r="S187" i="9"/>
  <c r="T187" i="9"/>
  <c r="Q312" i="9"/>
  <c r="R312" i="9"/>
  <c r="S312" i="9"/>
  <c r="T312" i="9"/>
  <c r="Q309" i="9"/>
  <c r="R309" i="9"/>
  <c r="S309" i="9"/>
  <c r="T309" i="9"/>
  <c r="Q294" i="9"/>
  <c r="R294" i="9"/>
  <c r="S294" i="9"/>
  <c r="T294" i="9"/>
  <c r="Q287" i="9"/>
  <c r="R287" i="9"/>
  <c r="S287" i="9"/>
  <c r="T287" i="9"/>
  <c r="Q290" i="9"/>
  <c r="R290" i="9"/>
  <c r="S290" i="9"/>
  <c r="T290" i="9"/>
  <c r="Q302" i="9"/>
  <c r="R302" i="9"/>
  <c r="S302" i="9"/>
  <c r="T302" i="9"/>
  <c r="Q137" i="9"/>
  <c r="R137" i="9"/>
  <c r="S137" i="9"/>
  <c r="T137" i="9"/>
  <c r="Q285" i="9"/>
  <c r="R285" i="9"/>
  <c r="S285" i="9"/>
  <c r="T285" i="9"/>
  <c r="Q148" i="9"/>
  <c r="R148" i="9"/>
  <c r="S148" i="9"/>
  <c r="T148" i="9"/>
  <c r="Q315" i="9"/>
  <c r="R315" i="9"/>
  <c r="S315" i="9"/>
  <c r="T315" i="9"/>
  <c r="Q311" i="9"/>
  <c r="R311" i="9"/>
  <c r="S311" i="9"/>
  <c r="T311" i="9"/>
  <c r="G9" i="9"/>
  <c r="H9" i="9"/>
  <c r="Q284" i="9"/>
  <c r="R284" i="9"/>
  <c r="S284" i="9"/>
  <c r="T284" i="9"/>
  <c r="Q293" i="9"/>
  <c r="R293" i="9"/>
  <c r="S293" i="9"/>
  <c r="T293" i="9"/>
  <c r="G12" i="9"/>
  <c r="H12" i="9"/>
  <c r="Q283" i="9"/>
  <c r="R283" i="9"/>
  <c r="S283" i="9"/>
  <c r="T283" i="9"/>
  <c r="Q125" i="9"/>
  <c r="R125" i="9"/>
  <c r="S125" i="9"/>
  <c r="T125" i="9"/>
  <c r="G5" i="9"/>
  <c r="H5" i="9"/>
  <c r="Q314" i="9"/>
  <c r="R314" i="9"/>
  <c r="S314" i="9"/>
  <c r="T314" i="9"/>
  <c r="Q318" i="9"/>
  <c r="R318" i="9"/>
  <c r="S318" i="9"/>
  <c r="T318" i="9"/>
  <c r="Q184" i="9"/>
  <c r="R184" i="9"/>
  <c r="S184" i="9"/>
  <c r="T184" i="9"/>
  <c r="Q281" i="9"/>
  <c r="R281" i="9"/>
  <c r="S281" i="9"/>
  <c r="T281" i="9"/>
  <c r="G4" i="9"/>
  <c r="H4" i="9"/>
  <c r="Q150" i="9"/>
  <c r="R150" i="9"/>
  <c r="S150" i="9"/>
  <c r="T150" i="9"/>
  <c r="T66" i="9"/>
  <c r="T278" i="9"/>
  <c r="T60" i="9"/>
  <c r="T272" i="9"/>
  <c r="T84" i="9"/>
  <c r="T96" i="9"/>
  <c r="T254" i="9"/>
  <c r="T242" i="9"/>
  <c r="T72" i="9"/>
  <c r="T260" i="9"/>
  <c r="T248" i="9"/>
  <c r="T120" i="9"/>
  <c r="T266" i="9"/>
  <c r="S349" i="3"/>
  <c r="S313" i="3"/>
  <c r="S181" i="3"/>
  <c r="P288" i="3"/>
  <c r="Q288" i="3"/>
  <c r="R288" i="3"/>
  <c r="S288" i="3"/>
  <c r="P69" i="3"/>
  <c r="Q69" i="3"/>
  <c r="R69" i="3"/>
  <c r="S69" i="3"/>
  <c r="P302" i="3"/>
  <c r="Q302" i="3"/>
  <c r="R302" i="3"/>
  <c r="S302" i="3"/>
  <c r="M26" i="3"/>
  <c r="N26" i="3"/>
  <c r="M25" i="3"/>
  <c r="N25" i="3"/>
  <c r="S169" i="3"/>
  <c r="P82" i="3"/>
  <c r="Q82" i="3"/>
  <c r="R82" i="3"/>
  <c r="S82" i="3"/>
  <c r="P111" i="3"/>
  <c r="P110" i="3"/>
  <c r="P109" i="3"/>
  <c r="P123" i="3"/>
  <c r="P122" i="3"/>
  <c r="P121" i="3"/>
  <c r="P120" i="3"/>
  <c r="P119" i="3"/>
  <c r="P113" i="3"/>
  <c r="P112" i="3"/>
  <c r="P84" i="3"/>
  <c r="Q84" i="3"/>
  <c r="R84" i="3"/>
  <c r="S84" i="3"/>
  <c r="P91" i="3"/>
  <c r="Q91" i="3"/>
  <c r="R91" i="3"/>
  <c r="S91" i="3"/>
  <c r="P286" i="3"/>
  <c r="Q286" i="3"/>
  <c r="R286" i="3"/>
  <c r="S286" i="3"/>
  <c r="P87" i="3"/>
  <c r="Q87" i="3"/>
  <c r="R87" i="3"/>
  <c r="S87" i="3"/>
  <c r="M31" i="3"/>
  <c r="N31" i="3"/>
  <c r="P280" i="3"/>
  <c r="Q280" i="3"/>
  <c r="R280" i="3"/>
  <c r="S280" i="3"/>
  <c r="P279" i="3"/>
  <c r="Q279" i="3"/>
  <c r="R279" i="3"/>
  <c r="S279" i="3"/>
  <c r="P296" i="3"/>
  <c r="Q296" i="3"/>
  <c r="R296" i="3"/>
  <c r="S296" i="3"/>
  <c r="P72" i="3"/>
  <c r="Q72" i="3"/>
  <c r="R72" i="3"/>
  <c r="S72" i="3"/>
  <c r="P285" i="3"/>
  <c r="Q285" i="3"/>
  <c r="R285" i="3"/>
  <c r="S285" i="3"/>
  <c r="M29" i="3"/>
  <c r="N29" i="3"/>
  <c r="S319" i="3"/>
  <c r="P271" i="3"/>
  <c r="Q271" i="3"/>
  <c r="R271" i="3"/>
  <c r="S271" i="3"/>
  <c r="P303" i="3"/>
  <c r="Q303" i="3"/>
  <c r="R303" i="3"/>
  <c r="S303" i="3"/>
  <c r="P88" i="3"/>
  <c r="Q88" i="3"/>
  <c r="R88" i="3"/>
  <c r="S88" i="3"/>
  <c r="P99" i="3"/>
  <c r="P85" i="3"/>
  <c r="Q85" i="3"/>
  <c r="R85" i="3"/>
  <c r="S85" i="3"/>
  <c r="P136" i="3"/>
  <c r="P139" i="3"/>
  <c r="P102" i="3"/>
  <c r="Q102" i="3"/>
  <c r="R102" i="3"/>
  <c r="S102" i="3"/>
  <c r="P135" i="3"/>
  <c r="P137" i="3"/>
  <c r="P105" i="3"/>
  <c r="Q105" i="3"/>
  <c r="R105" i="3"/>
  <c r="S105" i="3"/>
  <c r="P106" i="3"/>
  <c r="Q106" i="3"/>
  <c r="R106" i="3"/>
  <c r="S106" i="3"/>
  <c r="P107" i="3"/>
  <c r="Q107" i="3"/>
  <c r="R107" i="3"/>
  <c r="S107" i="3"/>
  <c r="P142" i="3"/>
  <c r="P143" i="3"/>
  <c r="P115" i="3"/>
  <c r="Q115" i="3"/>
  <c r="R115" i="3"/>
  <c r="S115" i="3"/>
  <c r="P116" i="3"/>
  <c r="Q116" i="3"/>
  <c r="R116" i="3"/>
  <c r="S116" i="3"/>
  <c r="P118" i="3"/>
  <c r="Q118" i="3"/>
  <c r="R118" i="3"/>
  <c r="S118" i="3"/>
  <c r="P129" i="3"/>
  <c r="P132" i="3"/>
  <c r="P104" i="3"/>
  <c r="Q104" i="3"/>
  <c r="R104" i="3"/>
  <c r="S104" i="3"/>
  <c r="P138" i="3"/>
  <c r="P140" i="3"/>
  <c r="P108" i="3"/>
  <c r="Q108" i="3"/>
  <c r="R108" i="3"/>
  <c r="S108" i="3"/>
  <c r="P127" i="3"/>
  <c r="Q127" i="3"/>
  <c r="R127" i="3"/>
  <c r="S127" i="3"/>
  <c r="P134" i="3"/>
  <c r="P141" i="3"/>
  <c r="P114" i="3"/>
  <c r="Q114" i="3"/>
  <c r="R114" i="3"/>
  <c r="S114" i="3"/>
  <c r="P100" i="3"/>
  <c r="Q100" i="3"/>
  <c r="R100" i="3"/>
  <c r="S100" i="3"/>
  <c r="P101" i="3"/>
  <c r="Q101" i="3"/>
  <c r="R101" i="3"/>
  <c r="S101" i="3"/>
  <c r="P103" i="3"/>
  <c r="Q103" i="3"/>
  <c r="R103" i="3"/>
  <c r="S103" i="3"/>
  <c r="P124" i="3"/>
  <c r="Q124" i="3"/>
  <c r="R124" i="3"/>
  <c r="S124" i="3"/>
  <c r="P126" i="3"/>
  <c r="Q126" i="3"/>
  <c r="R126" i="3"/>
  <c r="S126" i="3"/>
  <c r="P117" i="3"/>
  <c r="Q117" i="3"/>
  <c r="R117" i="3"/>
  <c r="S117" i="3"/>
  <c r="P125" i="3"/>
  <c r="Q125" i="3"/>
  <c r="R125" i="3"/>
  <c r="S125" i="3"/>
  <c r="P131" i="3"/>
  <c r="P133" i="3"/>
  <c r="P130" i="3"/>
  <c r="P128" i="3"/>
  <c r="Q128" i="3"/>
  <c r="R128" i="3"/>
  <c r="S128" i="3"/>
  <c r="P75" i="3"/>
  <c r="Q75" i="3"/>
  <c r="R75" i="3"/>
  <c r="S75" i="3"/>
  <c r="M27" i="3"/>
  <c r="N27" i="3"/>
  <c r="P71" i="3"/>
  <c r="Q71" i="3"/>
  <c r="R71" i="3"/>
  <c r="S71" i="3"/>
  <c r="P77" i="3"/>
  <c r="Q77" i="3"/>
  <c r="R77" i="3"/>
  <c r="S77" i="3"/>
  <c r="P266" i="3"/>
  <c r="Q266" i="3"/>
  <c r="R266" i="3"/>
  <c r="S266" i="3"/>
  <c r="P272" i="3"/>
  <c r="Q272" i="3"/>
  <c r="R272" i="3"/>
  <c r="S272" i="3"/>
  <c r="M23" i="3"/>
  <c r="N23" i="3"/>
  <c r="P284" i="3"/>
  <c r="Q284" i="3"/>
  <c r="R284" i="3"/>
  <c r="S284" i="3"/>
  <c r="P90" i="3"/>
  <c r="Q90" i="3"/>
  <c r="R90" i="3"/>
  <c r="S90" i="3"/>
  <c r="P277" i="3"/>
  <c r="Q277" i="3"/>
  <c r="R277" i="3"/>
  <c r="S277" i="3"/>
  <c r="P93" i="3"/>
  <c r="Q93" i="3"/>
  <c r="R93" i="3"/>
  <c r="S93" i="3"/>
  <c r="P300" i="3"/>
  <c r="Q300" i="3"/>
  <c r="R300" i="3"/>
  <c r="S300" i="3"/>
  <c r="P274" i="3"/>
  <c r="Q274" i="3"/>
  <c r="R274" i="3"/>
  <c r="S274" i="3"/>
  <c r="P97" i="3"/>
  <c r="Q97" i="3"/>
  <c r="R97" i="3"/>
  <c r="S97" i="3"/>
  <c r="P295" i="3"/>
  <c r="Q295" i="3"/>
  <c r="R295" i="3"/>
  <c r="S295" i="3"/>
  <c r="P291" i="3"/>
  <c r="Q291" i="3"/>
  <c r="R291" i="3"/>
  <c r="S291" i="3"/>
  <c r="P264" i="3"/>
  <c r="Q264" i="3"/>
  <c r="R264" i="3"/>
  <c r="S264" i="3"/>
  <c r="M30" i="3"/>
  <c r="N30" i="3"/>
  <c r="P290" i="3"/>
  <c r="Q290" i="3"/>
  <c r="R290" i="3"/>
  <c r="S290" i="3"/>
  <c r="P70" i="3"/>
  <c r="Q70" i="3"/>
  <c r="R70" i="3"/>
  <c r="S70" i="3"/>
  <c r="P278" i="3"/>
  <c r="Q278" i="3"/>
  <c r="R278" i="3"/>
  <c r="S278" i="3"/>
  <c r="M24" i="3"/>
  <c r="N24" i="3"/>
  <c r="P297" i="3"/>
  <c r="Q297" i="3"/>
  <c r="R297" i="3"/>
  <c r="S297" i="3"/>
  <c r="P268" i="3"/>
  <c r="Q268" i="3"/>
  <c r="R268" i="3"/>
  <c r="S268" i="3"/>
  <c r="P79" i="3"/>
  <c r="Q79" i="3"/>
  <c r="R79" i="3"/>
  <c r="S79" i="3"/>
  <c r="S157" i="3"/>
  <c r="P304" i="3"/>
  <c r="Q304" i="3"/>
  <c r="R304" i="3"/>
  <c r="S304" i="3"/>
  <c r="P81" i="3"/>
  <c r="Q81" i="3"/>
  <c r="R81" i="3"/>
  <c r="S81" i="3"/>
  <c r="P289" i="3"/>
  <c r="Q289" i="3"/>
  <c r="R289" i="3"/>
  <c r="S289" i="3"/>
  <c r="P282" i="3"/>
  <c r="Q282" i="3"/>
  <c r="R282" i="3"/>
  <c r="S282" i="3"/>
  <c r="P89" i="3"/>
  <c r="Q89" i="3"/>
  <c r="R89" i="3"/>
  <c r="S89" i="3"/>
  <c r="P265" i="3"/>
  <c r="Q265" i="3"/>
  <c r="R265" i="3"/>
  <c r="S265" i="3"/>
  <c r="S193" i="3"/>
  <c r="S217" i="3"/>
  <c r="S343" i="3"/>
  <c r="U151" i="10"/>
  <c r="T151" i="10"/>
  <c r="U139" i="10"/>
  <c r="T139" i="10"/>
  <c r="U127" i="10"/>
  <c r="T127" i="10"/>
  <c r="U169" i="10"/>
  <c r="T169" i="10"/>
  <c r="U175" i="10"/>
  <c r="T175" i="10"/>
  <c r="U163" i="10"/>
  <c r="T163" i="10"/>
  <c r="T296" i="10"/>
  <c r="T278" i="10"/>
  <c r="U181" i="10"/>
  <c r="T181" i="10"/>
  <c r="T302" i="10"/>
  <c r="U145" i="10"/>
  <c r="T145" i="10"/>
  <c r="V121" i="10"/>
  <c r="T121" i="10"/>
  <c r="U121" i="10"/>
  <c r="T308" i="10"/>
  <c r="T284" i="10"/>
  <c r="T314" i="10"/>
  <c r="U133" i="10"/>
  <c r="T133" i="10"/>
  <c r="T290" i="10"/>
  <c r="T157" i="10"/>
  <c r="U157" i="10"/>
  <c r="S199" i="3"/>
  <c r="S175" i="3"/>
  <c r="S205" i="3"/>
  <c r="S163" i="3"/>
  <c r="S187" i="3"/>
  <c r="Q129" i="3"/>
  <c r="R129" i="3"/>
  <c r="S129" i="3"/>
  <c r="Q142" i="3"/>
  <c r="R142" i="3"/>
  <c r="S142" i="3"/>
  <c r="Q131" i="3"/>
  <c r="R131" i="3"/>
  <c r="S131" i="3"/>
  <c r="Q113" i="3"/>
  <c r="R113" i="3"/>
  <c r="S113" i="3"/>
  <c r="Q137" i="3"/>
  <c r="R137" i="3"/>
  <c r="S137" i="3"/>
  <c r="Q135" i="3"/>
  <c r="R135" i="3"/>
  <c r="S135" i="3"/>
  <c r="Q139" i="3"/>
  <c r="R139" i="3"/>
  <c r="S139" i="3"/>
  <c r="Q136" i="3"/>
  <c r="R136" i="3"/>
  <c r="S136" i="3"/>
  <c r="Q109" i="3"/>
  <c r="R109" i="3"/>
  <c r="S109" i="3"/>
  <c r="Q144" i="3"/>
  <c r="R144" i="3"/>
  <c r="S144" i="3"/>
  <c r="Q111" i="3"/>
  <c r="R111" i="3"/>
  <c r="S111" i="3"/>
  <c r="S80" i="3"/>
  <c r="Q130" i="3"/>
  <c r="R130" i="3"/>
  <c r="S130" i="3"/>
  <c r="S74" i="3"/>
  <c r="Q120" i="3"/>
  <c r="R120" i="3"/>
  <c r="S120" i="3"/>
  <c r="S98" i="3"/>
  <c r="Q145" i="3"/>
  <c r="R145" i="3"/>
  <c r="S145" i="3"/>
  <c r="Q132" i="3"/>
  <c r="R132" i="3"/>
  <c r="S132" i="3"/>
  <c r="Q143" i="3"/>
  <c r="R143" i="3"/>
  <c r="S143" i="3"/>
  <c r="Q133" i="3"/>
  <c r="R133" i="3"/>
  <c r="S133" i="3"/>
  <c r="S281" i="3"/>
  <c r="Q112" i="3"/>
  <c r="R112" i="3"/>
  <c r="S112" i="3"/>
  <c r="Q119" i="3"/>
  <c r="R119" i="3"/>
  <c r="S119" i="3"/>
  <c r="Q121" i="3"/>
  <c r="R121" i="3"/>
  <c r="S121" i="3"/>
  <c r="Q122" i="3"/>
  <c r="R122" i="3"/>
  <c r="S122" i="3"/>
  <c r="Q123" i="3"/>
  <c r="R123" i="3"/>
  <c r="S123" i="3"/>
  <c r="Q147" i="3"/>
  <c r="R147" i="3"/>
  <c r="S147" i="3"/>
  <c r="Q110" i="3"/>
  <c r="R110" i="3"/>
  <c r="S110" i="3"/>
  <c r="Q141" i="3"/>
  <c r="R141" i="3"/>
  <c r="S141" i="3"/>
  <c r="Q148" i="3"/>
  <c r="R148" i="3"/>
  <c r="S148" i="3"/>
  <c r="Q134" i="3"/>
  <c r="R134" i="3"/>
  <c r="S134" i="3"/>
  <c r="Q146" i="3"/>
  <c r="R146" i="3"/>
  <c r="S146" i="3"/>
  <c r="Q140" i="3"/>
  <c r="R140" i="3"/>
  <c r="S140" i="3"/>
  <c r="Q138" i="3"/>
  <c r="R138" i="3"/>
  <c r="S138" i="3"/>
  <c r="T171" i="9"/>
  <c r="T177" i="9"/>
  <c r="T183" i="9"/>
  <c r="T147" i="9"/>
  <c r="T135" i="9"/>
  <c r="T165" i="9"/>
  <c r="T310" i="9"/>
  <c r="T292" i="9"/>
  <c r="T298" i="9"/>
  <c r="T304" i="9"/>
  <c r="T141" i="9"/>
  <c r="T322" i="9"/>
  <c r="T129" i="9"/>
  <c r="T189" i="9"/>
  <c r="T153" i="9"/>
  <c r="T286" i="9"/>
  <c r="T316" i="9"/>
  <c r="S299" i="3"/>
  <c r="S293" i="3"/>
  <c r="S92" i="3"/>
  <c r="S275" i="3"/>
  <c r="S287" i="3"/>
  <c r="S86" i="3"/>
  <c r="S305" i="3"/>
  <c r="U108" i="3"/>
  <c r="T108" i="3"/>
  <c r="S269" i="3"/>
  <c r="U128" i="3"/>
  <c r="T128" i="3"/>
  <c r="T118" i="3"/>
  <c r="U118" i="3"/>
  <c r="Q99" i="3"/>
  <c r="R99" i="3"/>
  <c r="S99" i="3"/>
  <c r="U123" i="3"/>
  <c r="T123" i="3"/>
  <c r="U148" i="3"/>
  <c r="T148" i="3"/>
  <c r="T113" i="3"/>
  <c r="U113" i="3"/>
  <c r="U138" i="3"/>
  <c r="T138" i="3"/>
  <c r="U143" i="3"/>
  <c r="T143" i="3"/>
  <c r="T133" i="3"/>
  <c r="U133" i="3"/>
  <c r="U103" i="3"/>
  <c r="T103" i="3"/>
</calcChain>
</file>

<file path=xl/sharedStrings.xml><?xml version="1.0" encoding="utf-8"?>
<sst xmlns="http://schemas.openxmlformats.org/spreadsheetml/2006/main" count="2590" uniqueCount="208">
  <si>
    <t>UMo Grain Boundaries!</t>
  </si>
  <si>
    <t>Surfaces!</t>
  </si>
  <si>
    <t>Energies!</t>
  </si>
  <si>
    <t>EAM</t>
  </si>
  <si>
    <t>U</t>
  </si>
  <si>
    <t>E</t>
  </si>
  <si>
    <t>E/at</t>
  </si>
  <si>
    <t>V</t>
  </si>
  <si>
    <t>V/at</t>
  </si>
  <si>
    <t>a0</t>
  </si>
  <si>
    <t>Mo</t>
  </si>
  <si>
    <t>bcc U10Mo</t>
  </si>
  <si>
    <t>Ef</t>
  </si>
  <si>
    <t>cMo</t>
  </si>
  <si>
    <t>Ef/at</t>
  </si>
  <si>
    <t>ADP</t>
  </si>
  <si>
    <t>u10mo</t>
  </si>
  <si>
    <t>sigma210</t>
  </si>
  <si>
    <t>T</t>
  </si>
  <si>
    <t>P</t>
  </si>
  <si>
    <t>Lx</t>
  </si>
  <si>
    <t>Ly</t>
  </si>
  <si>
    <t>Lz</t>
  </si>
  <si>
    <t>Ef/A</t>
  </si>
  <si>
    <t>J/m^2</t>
  </si>
  <si>
    <t>eV/Ang^2</t>
  </si>
  <si>
    <t>E ref</t>
  </si>
  <si>
    <t>sigma310</t>
  </si>
  <si>
    <t>sigma510</t>
  </si>
  <si>
    <t>bccU</t>
  </si>
  <si>
    <t>bccMo</t>
  </si>
  <si>
    <t>FREE SURFACES</t>
  </si>
  <si>
    <t>U10Mo</t>
  </si>
  <si>
    <t>Mo segregation</t>
  </si>
  <si>
    <t>1000K</t>
  </si>
  <si>
    <t>1a</t>
  </si>
  <si>
    <t>swaps</t>
  </si>
  <si>
    <t>1b</t>
  </si>
  <si>
    <t>1c</t>
  </si>
  <si>
    <t>shrinkwrap 100</t>
  </si>
  <si>
    <t>pure</t>
  </si>
  <si>
    <t>int</t>
  </si>
  <si>
    <t>delV</t>
  </si>
  <si>
    <t>vac</t>
  </si>
  <si>
    <t>Vac</t>
  </si>
  <si>
    <t>Int</t>
  </si>
  <si>
    <t>alphaU</t>
  </si>
  <si>
    <t>Avg</t>
  </si>
  <si>
    <t>sterr</t>
  </si>
  <si>
    <t>per atom</t>
  </si>
  <si>
    <t>Frenk</t>
  </si>
  <si>
    <t>delV + 1at</t>
  </si>
  <si>
    <t>del V frenk</t>
  </si>
  <si>
    <t>stderr</t>
  </si>
  <si>
    <t>alphaU12x6x8</t>
  </si>
  <si>
    <t>sigma910</t>
  </si>
  <si>
    <t>swap2</t>
  </si>
  <si>
    <t>swap20</t>
  </si>
  <si>
    <t>swap2 ke no</t>
  </si>
  <si>
    <t>npt</t>
  </si>
  <si>
    <t>500K</t>
  </si>
  <si>
    <t>del U-Mo</t>
  </si>
  <si>
    <t>1long</t>
  </si>
  <si>
    <t>0.01 K</t>
  </si>
  <si>
    <t>frenk</t>
  </si>
  <si>
    <t>500K bccMo</t>
  </si>
  <si>
    <t>big system</t>
  </si>
  <si>
    <t>FREESURFACES</t>
  </si>
  <si>
    <t>800K</t>
  </si>
  <si>
    <t>1200K</t>
  </si>
  <si>
    <t>aniso</t>
  </si>
  <si>
    <t>done all with ANISO and 0.01 temp</t>
  </si>
  <si>
    <t>U5Mo</t>
  </si>
  <si>
    <t>U15Mo</t>
  </si>
  <si>
    <t>u5mo</t>
  </si>
  <si>
    <t>del Mo-U</t>
  </si>
  <si>
    <t>phase change</t>
  </si>
  <si>
    <t>phase changing</t>
  </si>
  <si>
    <t>no phase change</t>
  </si>
  <si>
    <t>600K</t>
  </si>
  <si>
    <t>210_100</t>
  </si>
  <si>
    <t>2a</t>
  </si>
  <si>
    <t>3a</t>
  </si>
  <si>
    <t>4a</t>
  </si>
  <si>
    <t>5a</t>
  </si>
  <si>
    <t>2b</t>
  </si>
  <si>
    <t>3b</t>
  </si>
  <si>
    <t>4b</t>
  </si>
  <si>
    <t>5b</t>
  </si>
  <si>
    <t>6a</t>
  </si>
  <si>
    <t>7a</t>
  </si>
  <si>
    <t>8a</t>
  </si>
  <si>
    <t>9a</t>
  </si>
  <si>
    <t>10a</t>
  </si>
  <si>
    <t>2c</t>
  </si>
  <si>
    <t>3c</t>
  </si>
  <si>
    <t>4c</t>
  </si>
  <si>
    <t>5c</t>
  </si>
  <si>
    <t>1d</t>
  </si>
  <si>
    <t>2d</t>
  </si>
  <si>
    <t>3d</t>
  </si>
  <si>
    <t>4d</t>
  </si>
  <si>
    <t>5d</t>
  </si>
  <si>
    <t>1e</t>
  </si>
  <si>
    <t>2e</t>
  </si>
  <si>
    <t>3e</t>
  </si>
  <si>
    <t>4e</t>
  </si>
  <si>
    <t>5e</t>
  </si>
  <si>
    <t>A</t>
  </si>
  <si>
    <t>210/100</t>
  </si>
  <si>
    <t>210-110</t>
  </si>
  <si>
    <t>210-100</t>
  </si>
  <si>
    <t>bcc U</t>
  </si>
  <si>
    <t>bcc Mo</t>
  </si>
  <si>
    <t>Grain Boundaries</t>
  </si>
  <si>
    <t>wt fraction</t>
  </si>
  <si>
    <t>at fraction</t>
  </si>
  <si>
    <t>71 atomic percent</t>
  </si>
  <si>
    <t>U50Mo</t>
  </si>
  <si>
    <t>angle</t>
  </si>
  <si>
    <t>GrB E</t>
  </si>
  <si>
    <t>(170)</t>
  </si>
  <si>
    <t>(150)</t>
  </si>
  <si>
    <t>(140)</t>
  </si>
  <si>
    <t>(130)</t>
  </si>
  <si>
    <t>(250)</t>
  </si>
  <si>
    <t>(370)</t>
  </si>
  <si>
    <t>(120)</t>
  </si>
  <si>
    <t>(350)</t>
  </si>
  <si>
    <t>(230)</t>
  </si>
  <si>
    <t>(340)</t>
  </si>
  <si>
    <t>Morita Data</t>
  </si>
  <si>
    <t>unknown temperature…</t>
  </si>
  <si>
    <t>sigma710</t>
  </si>
  <si>
    <t>sigma410</t>
  </si>
  <si>
    <t>sigma370</t>
  </si>
  <si>
    <t>sigma230</t>
  </si>
  <si>
    <t>sigma340</t>
  </si>
  <si>
    <t>(190)</t>
  </si>
  <si>
    <t>sigma350</t>
  </si>
  <si>
    <t>(910)</t>
  </si>
  <si>
    <t>(510)</t>
  </si>
  <si>
    <t>(310)</t>
  </si>
  <si>
    <t>(210)</t>
  </si>
  <si>
    <t>avg stdev</t>
  </si>
  <si>
    <t>stdev</t>
  </si>
  <si>
    <t>2x stdev</t>
  </si>
  <si>
    <t>avg</t>
  </si>
  <si>
    <t>Position.X:</t>
  </si>
  <si>
    <t>Position.Y:</t>
  </si>
  <si>
    <t>Position.Z:</t>
  </si>
  <si>
    <t>delX</t>
  </si>
  <si>
    <t>delZ</t>
  </si>
  <si>
    <t>surfaces</t>
  </si>
  <si>
    <t>errors</t>
  </si>
  <si>
    <t>exp-3</t>
  </si>
  <si>
    <t>exp-3.5</t>
  </si>
  <si>
    <t>exp-4</t>
  </si>
  <si>
    <t>T^2</t>
  </si>
  <si>
    <t>T^1.5</t>
  </si>
  <si>
    <t>1200 K</t>
  </si>
  <si>
    <t>sum</t>
  </si>
  <si>
    <t>max</t>
  </si>
  <si>
    <t>{120}</t>
  </si>
  <si>
    <t>{130}</t>
  </si>
  <si>
    <t>{150}</t>
  </si>
  <si>
    <t>{190}</t>
  </si>
  <si>
    <t>{120/100}</t>
  </si>
  <si>
    <t>{100}</t>
  </si>
  <si>
    <t>{110}</t>
  </si>
  <si>
    <t>{111}</t>
  </si>
  <si>
    <t>300K</t>
  </si>
  <si>
    <t>sigma730</t>
  </si>
  <si>
    <t>sigma530</t>
  </si>
  <si>
    <t>sigma320</t>
  </si>
  <si>
    <t>sigma430</t>
  </si>
  <si>
    <t>step</t>
  </si>
  <si>
    <t>u15mo</t>
  </si>
  <si>
    <t>(710)</t>
  </si>
  <si>
    <t>(410)</t>
  </si>
  <si>
    <t>(730)</t>
  </si>
  <si>
    <t>(530)</t>
  </si>
  <si>
    <t>(320)</t>
  </si>
  <si>
    <t>(430)</t>
  </si>
  <si>
    <t>average</t>
  </si>
  <si>
    <t>u50mo</t>
  </si>
  <si>
    <t>23 atomic percent</t>
  </si>
  <si>
    <t>bccMo 300K</t>
  </si>
  <si>
    <t>300 K</t>
  </si>
  <si>
    <t>estimate of u5mo at 300 K from isotropic:</t>
  </si>
  <si>
    <t>error</t>
  </si>
  <si>
    <t>estimate of bccU at 300K</t>
  </si>
  <si>
    <t xml:space="preserve">0.9255x^2 + 0.333x + 0.4307 + exp(-4x)*(7E-7)*(T-600)^2 </t>
  </si>
  <si>
    <t>delE/delT</t>
  </si>
  <si>
    <t>moving</t>
  </si>
  <si>
    <t>fixed</t>
  </si>
  <si>
    <t>for sigma910</t>
  </si>
  <si>
    <t>del S</t>
  </si>
  <si>
    <t>delS= integrate Cp/T dT</t>
  </si>
  <si>
    <t>del S (J/mol-K)</t>
  </si>
  <si>
    <t>J/mol-K</t>
  </si>
  <si>
    <t>pe + 1.5kT</t>
  </si>
  <si>
    <t>Cp (eV/at)</t>
  </si>
  <si>
    <t>del S eV/at</t>
  </si>
  <si>
    <t>sigma410 testing for entropy</t>
  </si>
  <si>
    <t>dels = Cp*(ln T2 - ln T1)</t>
  </si>
  <si>
    <t>del G = del TE - T del S</t>
  </si>
  <si>
    <t>lower bound rule of mixing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</si>
</sst>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0" xfId="0" applyFont="1" applyBorder="1"/>
    <xf numFmtId="0" fontId="0" fillId="0" borderId="7" xfId="0" applyBorder="1"/>
    <xf numFmtId="0" fontId="3" fillId="0" borderId="8" xfId="0" applyFont="1" applyBorder="1"/>
    <xf numFmtId="0" fontId="0" fillId="0" borderId="9" xfId="0" applyBorder="1"/>
    <xf numFmtId="0" fontId="0" fillId="0" borderId="0" xfId="0" applyFont="1"/>
    <xf numFmtId="2" fontId="3" fillId="0" borderId="0" xfId="0" applyNumberFormat="1" applyFont="1" applyBorder="1"/>
    <xf numFmtId="2" fontId="0" fillId="0" borderId="6" xfId="0" applyNumberFormat="1" applyBorder="1"/>
    <xf numFmtId="2" fontId="3" fillId="0" borderId="8" xfId="0" applyNumberFormat="1" applyFont="1" applyBorder="1"/>
    <xf numFmtId="2" fontId="3" fillId="0" borderId="0" xfId="0" applyNumberFormat="1" applyFont="1"/>
    <xf numFmtId="2" fontId="3" fillId="0" borderId="6" xfId="0" applyNumberFormat="1" applyFont="1" applyBorder="1"/>
    <xf numFmtId="2" fontId="3" fillId="0" borderId="9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3" fillId="0" borderId="0" xfId="0" applyNumberFormat="1" applyFont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ont="1"/>
    <xf numFmtId="49" fontId="0" fillId="0" borderId="0" xfId="0" applyNumberFormat="1"/>
    <xf numFmtId="2" fontId="0" fillId="0" borderId="0" xfId="0" applyNumberFormat="1" applyFont="1"/>
    <xf numFmtId="49" fontId="0" fillId="0" borderId="0" xfId="0" applyNumberFormat="1" applyFont="1"/>
    <xf numFmtId="0" fontId="5" fillId="0" borderId="0" xfId="0" applyFont="1"/>
    <xf numFmtId="49" fontId="0" fillId="0" borderId="0" xfId="0" applyNumberFormat="1" applyBorder="1"/>
    <xf numFmtId="49" fontId="0" fillId="0" borderId="0" xfId="0" applyNumberFormat="1" applyFill="1" applyBorder="1"/>
    <xf numFmtId="11" fontId="0" fillId="0" borderId="0" xfId="0" applyNumberFormat="1"/>
    <xf numFmtId="2" fontId="0" fillId="0" borderId="0" xfId="0" applyNumberFormat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2" fontId="6" fillId="0" borderId="0" xfId="0" applyNumberFormat="1" applyFont="1"/>
  </cellXfs>
  <cellStyles count="2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399278215223102"/>
                  <c:y val="-0.157407407407407"/>
                </c:manualLayout>
              </c:layout>
              <c:numFmt formatCode="General" sourceLinked="0"/>
            </c:trendlineLbl>
          </c:trendline>
          <c:xVal>
            <c:numRef>
              <c:f>'ADP500'!$I$8:$I$17</c:f>
              <c:numCache>
                <c:formatCode>General</c:formatCode>
                <c:ptCount val="10"/>
                <c:pt idx="0">
                  <c:v>0.219</c:v>
                </c:pt>
                <c:pt idx="1">
                  <c:v>0.2185</c:v>
                </c:pt>
                <c:pt idx="2">
                  <c:v>0.22</c:v>
                </c:pt>
                <c:pt idx="3">
                  <c:v>0.23400000000000001</c:v>
                </c:pt>
                <c:pt idx="4">
                  <c:v>0.221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0.218</c:v>
                </c:pt>
                <c:pt idx="8">
                  <c:v>0.23150000000000001</c:v>
                </c:pt>
                <c:pt idx="9">
                  <c:v>0.2185</c:v>
                </c:pt>
              </c:numCache>
            </c:numRef>
          </c:xVal>
          <c:yVal>
            <c:numRef>
              <c:f>'ADP500'!$E$8:$E$17</c:f>
              <c:numCache>
                <c:formatCode>General</c:formatCode>
                <c:ptCount val="10"/>
                <c:pt idx="0">
                  <c:v>-4.6876893895</c:v>
                </c:pt>
                <c:pt idx="1">
                  <c:v>-4.6871069165000003</c:v>
                </c:pt>
                <c:pt idx="2">
                  <c:v>-4.6909413584999999</c:v>
                </c:pt>
                <c:pt idx="3">
                  <c:v>-4.7245752595000008</c:v>
                </c:pt>
                <c:pt idx="4">
                  <c:v>-4.692116575</c:v>
                </c:pt>
                <c:pt idx="5">
                  <c:v>-4.6957085754999994</c:v>
                </c:pt>
                <c:pt idx="6">
                  <c:v>-4.7492414125</c:v>
                </c:pt>
                <c:pt idx="7">
                  <c:v>-4.6829910215000004</c:v>
                </c:pt>
                <c:pt idx="8">
                  <c:v>-4.7189062635000001</c:v>
                </c:pt>
                <c:pt idx="9">
                  <c:v>-4.6864320995000002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5-4046-8969-12646692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93232"/>
        <c:axId val="714295552"/>
      </c:scatterChart>
      <c:valAx>
        <c:axId val="71429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295552"/>
        <c:crosses val="autoZero"/>
        <c:crossBetween val="midCat"/>
      </c:valAx>
      <c:valAx>
        <c:axId val="71429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429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4793744531934"/>
                  <c:y val="3.0162583843686201E-2"/>
                </c:manualLayout>
              </c:layout>
              <c:numFmt formatCode="General" sourceLinked="0"/>
            </c:trendlineLbl>
          </c:trendline>
          <c:xVal>
            <c:numRef>
              <c:f>'ADP800'!$I$4:$I$13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'ADP800'!$H$4:$H$13</c:f>
              <c:numCache>
                <c:formatCode>General</c:formatCode>
                <c:ptCount val="10"/>
                <c:pt idx="0">
                  <c:v>3.5647620890000328E-2</c:v>
                </c:pt>
                <c:pt idx="1">
                  <c:v>3.6583926095000607E-2</c:v>
                </c:pt>
                <c:pt idx="2">
                  <c:v>3.7262794940000274E-2</c:v>
                </c:pt>
                <c:pt idx="3">
                  <c:v>3.7257355160000769E-2</c:v>
                </c:pt>
                <c:pt idx="4">
                  <c:v>3.8457331365000756E-2</c:v>
                </c:pt>
                <c:pt idx="5">
                  <c:v>3.651123327500045E-2</c:v>
                </c:pt>
                <c:pt idx="6">
                  <c:v>3.8829206370000972E-2</c:v>
                </c:pt>
                <c:pt idx="7">
                  <c:v>3.8980623225000274E-2</c:v>
                </c:pt>
                <c:pt idx="8">
                  <c:v>3.9884563790001264E-2</c:v>
                </c:pt>
                <c:pt idx="9">
                  <c:v>3.5611752170000725E-2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F848-971F-15F2DD42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61520"/>
        <c:axId val="433563840"/>
      </c:scatterChart>
      <c:valAx>
        <c:axId val="43356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563840"/>
        <c:crosses val="autoZero"/>
        <c:crossBetween val="midCat"/>
      </c:valAx>
      <c:valAx>
        <c:axId val="43356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356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summary2!$Q$6:$Q$11</c:f>
              <c:numCache>
                <c:formatCode>General</c:formatCode>
                <c:ptCount val="6"/>
                <c:pt idx="0">
                  <c:v>0</c:v>
                </c:pt>
                <c:pt idx="1">
                  <c:v>0.11</c:v>
                </c:pt>
                <c:pt idx="2">
                  <c:v>0.23</c:v>
                </c:pt>
                <c:pt idx="3">
                  <c:v>0.31</c:v>
                </c:pt>
                <c:pt idx="4">
                  <c:v>0.71</c:v>
                </c:pt>
                <c:pt idx="5">
                  <c:v>1</c:v>
                </c:pt>
              </c:numCache>
            </c:numRef>
          </c:xVal>
          <c:yVal>
            <c:numRef>
              <c:f>summary2!$R$6:$R$11</c:f>
              <c:numCache>
                <c:formatCode>0.00</c:formatCode>
                <c:ptCount val="6"/>
                <c:pt idx="0">
                  <c:v>0.45</c:v>
                </c:pt>
                <c:pt idx="1">
                  <c:v>0.49</c:v>
                </c:pt>
                <c:pt idx="2">
                  <c:v>0.45430182911071287</c:v>
                </c:pt>
                <c:pt idx="3">
                  <c:v>0.69483380435682396</c:v>
                </c:pt>
                <c:pt idx="4">
                  <c:v>1.1060816213212454</c:v>
                </c:pt>
                <c:pt idx="5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9-D04A-84E7-A1E87EE1B558}"/>
            </c:ext>
          </c:extLst>
        </c:ser>
        <c:ser>
          <c:idx val="1"/>
          <c:order val="1"/>
          <c:tx>
            <c:v>600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818044619422572"/>
                  <c:y val="5.812190142898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summary2!$Q$6:$Q$11</c:f>
              <c:numCache>
                <c:formatCode>General</c:formatCode>
                <c:ptCount val="6"/>
                <c:pt idx="0">
                  <c:v>0</c:v>
                </c:pt>
                <c:pt idx="1">
                  <c:v>0.11</c:v>
                </c:pt>
                <c:pt idx="2">
                  <c:v>0.23</c:v>
                </c:pt>
                <c:pt idx="3">
                  <c:v>0.31</c:v>
                </c:pt>
                <c:pt idx="4">
                  <c:v>0.71</c:v>
                </c:pt>
                <c:pt idx="5">
                  <c:v>1</c:v>
                </c:pt>
              </c:numCache>
            </c:numRef>
          </c:xVal>
          <c:yVal>
            <c:numRef>
              <c:f>summary2!$S$6:$S$11</c:f>
              <c:numCache>
                <c:formatCode>0.00</c:formatCode>
                <c:ptCount val="6"/>
                <c:pt idx="0">
                  <c:v>0.42952592386641097</c:v>
                </c:pt>
                <c:pt idx="1">
                  <c:v>0.4579682432107785</c:v>
                </c:pt>
                <c:pt idx="2">
                  <c:v>0.56089608953050774</c:v>
                </c:pt>
                <c:pt idx="3">
                  <c:v>0.65941913925602791</c:v>
                </c:pt>
                <c:pt idx="4">
                  <c:v>1.1017222574366783</c:v>
                </c:pt>
                <c:pt idx="5">
                  <c:v>1.7021346879498602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9-D04A-84E7-A1E87EE1B558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summary2!$Q$6:$Q$11</c:f>
              <c:numCache>
                <c:formatCode>General</c:formatCode>
                <c:ptCount val="6"/>
                <c:pt idx="0">
                  <c:v>0</c:v>
                </c:pt>
                <c:pt idx="1">
                  <c:v>0.11</c:v>
                </c:pt>
                <c:pt idx="2">
                  <c:v>0.23</c:v>
                </c:pt>
                <c:pt idx="3">
                  <c:v>0.31</c:v>
                </c:pt>
                <c:pt idx="4">
                  <c:v>0.71</c:v>
                </c:pt>
                <c:pt idx="5">
                  <c:v>1</c:v>
                </c:pt>
              </c:numCache>
            </c:numRef>
          </c:xVal>
          <c:yVal>
            <c:numRef>
              <c:f>summary2!$T$6:$T$11</c:f>
              <c:numCache>
                <c:formatCode>0.00</c:formatCode>
                <c:ptCount val="6"/>
                <c:pt idx="0">
                  <c:v>0.50558222941958064</c:v>
                </c:pt>
                <c:pt idx="1">
                  <c:v>0.51548660386749912</c:v>
                </c:pt>
                <c:pt idx="2">
                  <c:v>0.60716378790701708</c:v>
                </c:pt>
                <c:pt idx="3">
                  <c:v>0.67421131708979409</c:v>
                </c:pt>
                <c:pt idx="4">
                  <c:v>1.1235098637336001</c:v>
                </c:pt>
                <c:pt idx="5">
                  <c:v>1.6981798238716821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9-D04A-84E7-A1E87EE1B558}"/>
            </c:ext>
          </c:extLst>
        </c:ser>
        <c:ser>
          <c:idx val="3"/>
          <c:order val="3"/>
          <c:tx>
            <c:v>1000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summary2!$Q$6:$Q$11</c:f>
              <c:numCache>
                <c:formatCode>General</c:formatCode>
                <c:ptCount val="6"/>
                <c:pt idx="0">
                  <c:v>0</c:v>
                </c:pt>
                <c:pt idx="1">
                  <c:v>0.11</c:v>
                </c:pt>
                <c:pt idx="2">
                  <c:v>0.23</c:v>
                </c:pt>
                <c:pt idx="3">
                  <c:v>0.31</c:v>
                </c:pt>
                <c:pt idx="4">
                  <c:v>0.71</c:v>
                </c:pt>
                <c:pt idx="5">
                  <c:v>1</c:v>
                </c:pt>
              </c:numCache>
            </c:numRef>
          </c:xVal>
          <c:yVal>
            <c:numRef>
              <c:f>summary2!$U$6:$U$11</c:f>
              <c:numCache>
                <c:formatCode>0.00</c:formatCode>
                <c:ptCount val="6"/>
                <c:pt idx="0">
                  <c:v>0.5435351166346748</c:v>
                </c:pt>
                <c:pt idx="1">
                  <c:v>0.57029890725971977</c:v>
                </c:pt>
                <c:pt idx="2">
                  <c:v>0.64353999733699807</c:v>
                </c:pt>
                <c:pt idx="3">
                  <c:v>0.69912523443714725</c:v>
                </c:pt>
                <c:pt idx="4">
                  <c:v>1.1399958815285243</c:v>
                </c:pt>
                <c:pt idx="5">
                  <c:v>1.7171432790362573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9-D04A-84E7-A1E87EE1B558}"/>
            </c:ext>
          </c:extLst>
        </c:ser>
        <c:ser>
          <c:idx val="4"/>
          <c:order val="4"/>
          <c:tx>
            <c:v>1200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summary2!$Q$6:$Q$11</c:f>
              <c:numCache>
                <c:formatCode>General</c:formatCode>
                <c:ptCount val="6"/>
                <c:pt idx="0">
                  <c:v>0</c:v>
                </c:pt>
                <c:pt idx="1">
                  <c:v>0.11</c:v>
                </c:pt>
                <c:pt idx="2">
                  <c:v>0.23</c:v>
                </c:pt>
                <c:pt idx="3">
                  <c:v>0.31</c:v>
                </c:pt>
                <c:pt idx="4">
                  <c:v>0.71</c:v>
                </c:pt>
                <c:pt idx="5">
                  <c:v>1</c:v>
                </c:pt>
              </c:numCache>
            </c:numRef>
          </c:xVal>
          <c:yVal>
            <c:numRef>
              <c:f>summary2!$V$6:$V$11</c:f>
              <c:numCache>
                <c:formatCode>0.00</c:formatCode>
                <c:ptCount val="6"/>
                <c:pt idx="0">
                  <c:v>0.71088395078237021</c:v>
                </c:pt>
                <c:pt idx="1">
                  <c:v>0.64074300364768511</c:v>
                </c:pt>
                <c:pt idx="2">
                  <c:v>0.7053722930489974</c:v>
                </c:pt>
                <c:pt idx="3">
                  <c:v>0.7377071017773067</c:v>
                </c:pt>
                <c:pt idx="4">
                  <c:v>1.1618348329864274</c:v>
                </c:pt>
                <c:pt idx="5">
                  <c:v>1.7278191276262889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9-D04A-84E7-A1E87EE1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60432"/>
        <c:axId val="1914106880"/>
      </c:scatterChart>
      <c:valAx>
        <c:axId val="128766043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06880"/>
        <c:crosses val="autoZero"/>
        <c:crossBetween val="midCat"/>
      </c:valAx>
      <c:valAx>
        <c:axId val="19141068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summary2!$Q$35:$Q$40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0.71</c:v>
                </c:pt>
                <c:pt idx="5" formatCode="0.00">
                  <c:v>1</c:v>
                </c:pt>
              </c:numCache>
            </c:numRef>
          </c:xVal>
          <c:yVal>
            <c:numRef>
              <c:f>summary2!$R$35:$R$40</c:f>
              <c:numCache>
                <c:formatCode>General</c:formatCode>
                <c:ptCount val="6"/>
                <c:pt idx="0">
                  <c:v>0.49370000000000003</c:v>
                </c:pt>
                <c:pt idx="1">
                  <c:v>0.5230065536837869</c:v>
                </c:pt>
                <c:pt idx="2">
                  <c:v>0.57495152343593958</c:v>
                </c:pt>
                <c:pt idx="3">
                  <c:v>0.63296023535046875</c:v>
                </c:pt>
                <c:pt idx="4">
                  <c:v>1.1375683669557637</c:v>
                </c:pt>
                <c:pt idx="5">
                  <c:v>1.6906538852499902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0-A14A-B2C6-C198C87B97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summary2!$Q$35:$Q$40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0.71</c:v>
                </c:pt>
                <c:pt idx="5" formatCode="0.00">
                  <c:v>1</c:v>
                </c:pt>
              </c:numCache>
            </c:numRef>
          </c:xVal>
          <c:yVal>
            <c:numRef>
              <c:f>summary2!$S$35:$S$40</c:f>
              <c:numCache>
                <c:formatCode>General</c:formatCode>
                <c:ptCount val="6"/>
                <c:pt idx="0">
                  <c:v>0.43070000000000003</c:v>
                </c:pt>
                <c:pt idx="1">
                  <c:v>0.48402320000000004</c:v>
                </c:pt>
                <c:pt idx="2">
                  <c:v>0.54882019999999998</c:v>
                </c:pt>
                <c:pt idx="3">
                  <c:v>0.613985</c:v>
                </c:pt>
                <c:pt idx="4">
                  <c:v>1.1338875500000001</c:v>
                </c:pt>
                <c:pt idx="5">
                  <c:v>1.6895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0-A14A-B2C6-C198C87B97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summary2!$Q$35:$Q$40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0.71</c:v>
                </c:pt>
                <c:pt idx="5" formatCode="0.00">
                  <c:v>1</c:v>
                </c:pt>
              </c:numCache>
            </c:numRef>
          </c:xVal>
          <c:yVal>
            <c:numRef>
              <c:f>summary2!$T$35:$T$40</c:f>
              <c:numCache>
                <c:formatCode>General</c:formatCode>
                <c:ptCount val="6"/>
                <c:pt idx="0">
                  <c:v>0.4587</c:v>
                </c:pt>
                <c:pt idx="1">
                  <c:v>0.50134913497057199</c:v>
                </c:pt>
                <c:pt idx="2">
                  <c:v>0.56043412152708427</c:v>
                </c:pt>
                <c:pt idx="3">
                  <c:v>0.62241843793354168</c:v>
                </c:pt>
                <c:pt idx="4">
                  <c:v>1.1355234686470062</c:v>
                </c:pt>
                <c:pt idx="5">
                  <c:v>1.6900128378888846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0-A14A-B2C6-C198C87B97F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summary2!$Q$35:$Q$40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0.71</c:v>
                </c:pt>
                <c:pt idx="5" formatCode="0.00">
                  <c:v>1</c:v>
                </c:pt>
              </c:numCache>
            </c:numRef>
          </c:xVal>
          <c:yVal>
            <c:numRef>
              <c:f>summary2!$U$35:$U$40</c:f>
              <c:numCache>
                <c:formatCode>General</c:formatCode>
                <c:ptCount val="6"/>
                <c:pt idx="0">
                  <c:v>0.54269999999999996</c:v>
                </c:pt>
                <c:pt idx="1">
                  <c:v>0.55332693988228776</c:v>
                </c:pt>
                <c:pt idx="2">
                  <c:v>0.59527588610833715</c:v>
                </c:pt>
                <c:pt idx="3">
                  <c:v>0.6477187517341666</c:v>
                </c:pt>
                <c:pt idx="4">
                  <c:v>1.1404312245880242</c:v>
                </c:pt>
                <c:pt idx="5">
                  <c:v>1.6915513515555383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0-A14A-B2C6-C198C87B97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summary2!$Q$35:$Q$40</c:f>
              <c:numCache>
                <c:formatCode>General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0.71</c:v>
                </c:pt>
                <c:pt idx="5" formatCode="0.00">
                  <c:v>1</c:v>
                </c:pt>
              </c:numCache>
            </c:numRef>
          </c:xVal>
          <c:yVal>
            <c:numRef>
              <c:f>summary2!$V$35:$V$40</c:f>
              <c:numCache>
                <c:formatCode>General</c:formatCode>
                <c:ptCount val="6"/>
                <c:pt idx="0">
                  <c:v>0.68270000000000008</c:v>
                </c:pt>
                <c:pt idx="1">
                  <c:v>0.63995661473514753</c:v>
                </c:pt>
                <c:pt idx="2">
                  <c:v>0.6533454937437585</c:v>
                </c:pt>
                <c:pt idx="3">
                  <c:v>0.68988594140187498</c:v>
                </c:pt>
                <c:pt idx="4">
                  <c:v>1.1486108178230543</c:v>
                </c:pt>
                <c:pt idx="5">
                  <c:v>1.6941155409999611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70-A14A-B2C6-C198C87B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60432"/>
        <c:axId val="1914106880"/>
      </c:scatterChart>
      <c:valAx>
        <c:axId val="128766043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06880"/>
        <c:crosses val="autoZero"/>
        <c:crossBetween val="midCat"/>
      </c:valAx>
      <c:valAx>
        <c:axId val="191410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'ADP800'!$Y$35:$Y$37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'ADP800'!$Z$35:$Z$37</c:f>
              <c:numCache>
                <c:formatCode>General</c:formatCode>
                <c:ptCount val="3"/>
                <c:pt idx="0">
                  <c:v>0.58278863997256292</c:v>
                </c:pt>
                <c:pt idx="1">
                  <c:v>0.56793755941912116</c:v>
                </c:pt>
                <c:pt idx="2">
                  <c:v>0.62778922542236193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D-6B44-BED2-D35217AB365F}"/>
            </c:ext>
          </c:extLst>
        </c:ser>
        <c:ser>
          <c:idx val="1"/>
          <c:order val="1"/>
          <c:tx>
            <c:v>bccU</c:v>
          </c:tx>
          <c:spPr>
            <a:effectLst/>
          </c:spPr>
          <c:marker>
            <c:spPr>
              <a:effectLst/>
            </c:spPr>
          </c:marker>
          <c:cat>
            <c:strRef>
              <c:f>'ADP800'!$Y$35:$Y$37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'ADP800'!$AC$35:$AC$37</c:f>
              <c:numCache>
                <c:formatCode>General</c:formatCode>
                <c:ptCount val="3"/>
                <c:pt idx="0">
                  <c:v>0.47340373055181895</c:v>
                </c:pt>
                <c:pt idx="1">
                  <c:v>0.41052044705238649</c:v>
                </c:pt>
                <c:pt idx="2">
                  <c:v>0.49137460359161345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D-6B44-BED2-D35217AB365F}"/>
            </c:ext>
          </c:extLst>
        </c:ser>
        <c:ser>
          <c:idx val="2"/>
          <c:order val="2"/>
          <c:tx>
            <c:v>bccMo</c:v>
          </c:tx>
          <c:spPr>
            <a:effectLst/>
          </c:spPr>
          <c:marker>
            <c:spPr>
              <a:effectLst/>
            </c:spPr>
          </c:marker>
          <c:cat>
            <c:strRef>
              <c:f>'ADP800'!$Y$35:$Y$37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'ADP800'!$AD$35:$AD$37</c:f>
              <c:numCache>
                <c:formatCode>General</c:formatCode>
                <c:ptCount val="3"/>
                <c:pt idx="0">
                  <c:v>1.6166045715023087</c:v>
                </c:pt>
                <c:pt idx="1">
                  <c:v>1.551869770910125</c:v>
                </c:pt>
                <c:pt idx="2">
                  <c:v>1.6229690429764296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D-6B44-BED2-D35217AB365F}"/>
            </c:ext>
          </c:extLst>
        </c:ser>
        <c:ser>
          <c:idx val="3"/>
          <c:order val="3"/>
          <c:tx>
            <c:strRef>
              <c:f>'ADP800'!$AA$34</c:f>
              <c:strCache>
                <c:ptCount val="1"/>
                <c:pt idx="0">
                  <c:v>U5Mo</c:v>
                </c:pt>
              </c:strCache>
            </c:strRef>
          </c:tx>
          <c:val>
            <c:numRef>
              <c:f>'ADP800'!$AA$35:$AA$37</c:f>
              <c:numCache>
                <c:formatCode>General</c:formatCode>
                <c:ptCount val="3"/>
                <c:pt idx="0">
                  <c:v>0.53424397234263099</c:v>
                </c:pt>
                <c:pt idx="1">
                  <c:v>0.46777135472130665</c:v>
                </c:pt>
                <c:pt idx="2">
                  <c:v>0.50501285775380056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D-6B44-BED2-D35217AB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92848"/>
        <c:axId val="433595680"/>
      </c:lineChart>
      <c:catAx>
        <c:axId val="43359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595680"/>
        <c:crosses val="autoZero"/>
        <c:auto val="1"/>
        <c:lblAlgn val="ctr"/>
        <c:lblOffset val="100"/>
        <c:noMultiLvlLbl val="0"/>
      </c:catAx>
      <c:valAx>
        <c:axId val="433595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3359284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80434782608703E-2"/>
          <c:y val="2.7777777777777801E-2"/>
          <c:w val="0.69398579253680204"/>
          <c:h val="0.82870370370370405"/>
        </c:manualLayout>
      </c:layout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'ADP800'!$Y$89:$Y$95</c:f>
              <c:strCache>
                <c:ptCount val="7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100</c:v>
                </c:pt>
                <c:pt idx="5">
                  <c:v>110</c:v>
                </c:pt>
                <c:pt idx="6">
                  <c:v>111</c:v>
                </c:pt>
              </c:strCache>
            </c:strRef>
          </c:cat>
          <c:val>
            <c:numRef>
              <c:f>'ADP800'!$Z$89:$Z$95</c:f>
              <c:numCache>
                <c:formatCode>0.00</c:formatCode>
                <c:ptCount val="7"/>
                <c:pt idx="0">
                  <c:v>1.5517365761252533</c:v>
                </c:pt>
                <c:pt idx="1">
                  <c:v>1.6047990747544656</c:v>
                </c:pt>
                <c:pt idx="2">
                  <c:v>1.5901741775817031</c:v>
                </c:pt>
                <c:pt idx="3" formatCode="General">
                  <c:v>1.5956999501879825</c:v>
                </c:pt>
                <c:pt idx="4">
                  <c:v>1.5576808499878863</c:v>
                </c:pt>
                <c:pt idx="5">
                  <c:v>1.3836882189355035</c:v>
                </c:pt>
                <c:pt idx="6">
                  <c:v>1.6267068610608917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E-A54C-8973-41F4D72E0164}"/>
            </c:ext>
          </c:extLst>
        </c:ser>
        <c:ser>
          <c:idx val="1"/>
          <c:order val="1"/>
          <c:tx>
            <c:v>bccU</c:v>
          </c:tx>
          <c:spPr>
            <a:effectLst/>
          </c:spPr>
          <c:marker>
            <c:spPr>
              <a:effectLst/>
            </c:spPr>
          </c:marker>
          <c:cat>
            <c:strRef>
              <c:f>'ADP800'!$Y$89:$Y$95</c:f>
              <c:strCache>
                <c:ptCount val="7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100</c:v>
                </c:pt>
                <c:pt idx="5">
                  <c:v>110</c:v>
                </c:pt>
                <c:pt idx="6">
                  <c:v>111</c:v>
                </c:pt>
              </c:strCache>
            </c:strRef>
          </c:cat>
          <c:val>
            <c:numRef>
              <c:f>'ADP800'!$AA$89:$AA$95</c:f>
              <c:numCache>
                <c:formatCode>0.00</c:formatCode>
                <c:ptCount val="7"/>
                <c:pt idx="0">
                  <c:v>1.2121254441008973</c:v>
                </c:pt>
                <c:pt idx="1">
                  <c:v>1.2207595440044074</c:v>
                </c:pt>
                <c:pt idx="2">
                  <c:v>1.2532842134072641</c:v>
                </c:pt>
                <c:pt idx="3" formatCode="General">
                  <c:v>1.2426699928597111</c:v>
                </c:pt>
                <c:pt idx="4">
                  <c:v>1.2325829072111127</c:v>
                </c:pt>
                <c:pt idx="5">
                  <c:v>1.0584171184492379</c:v>
                </c:pt>
                <c:pt idx="6">
                  <c:v>1.2445777221215129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E-A54C-8973-41F4D72E0164}"/>
            </c:ext>
          </c:extLst>
        </c:ser>
        <c:ser>
          <c:idx val="2"/>
          <c:order val="2"/>
          <c:spPr>
            <a:effectLst/>
          </c:spPr>
          <c:marker>
            <c:spPr>
              <a:effectLst/>
            </c:spPr>
          </c:marker>
          <c:cat>
            <c:strRef>
              <c:f>'ADP800'!$Y$89:$Y$95</c:f>
              <c:strCache>
                <c:ptCount val="7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100</c:v>
                </c:pt>
                <c:pt idx="5">
                  <c:v>110</c:v>
                </c:pt>
                <c:pt idx="6">
                  <c:v>111</c:v>
                </c:pt>
              </c:strCache>
            </c:strRef>
          </c:cat>
          <c:val>
            <c:numRef>
              <c:f>'ADP800'!$AB$89:$AB$95</c:f>
              <c:numCache>
                <c:formatCode>General</c:formatCode>
                <c:ptCount val="7"/>
                <c:pt idx="0">
                  <c:v>4.7538273401141842</c:v>
                </c:pt>
                <c:pt idx="1">
                  <c:v>4.8121998602234983</c:v>
                </c:pt>
                <c:pt idx="2">
                  <c:v>4.8467911389346003</c:v>
                </c:pt>
                <c:pt idx="3">
                  <c:v>4.8620866949765151</c:v>
                </c:pt>
                <c:pt idx="4">
                  <c:v>4.8444544838373629</c:v>
                </c:pt>
                <c:pt idx="5">
                  <c:v>4.5804504923295521</c:v>
                </c:pt>
                <c:pt idx="6">
                  <c:v>4.9499576332028132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E-A54C-8973-41F4D72E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623904"/>
        <c:axId val="433625952"/>
      </c:lineChart>
      <c:catAx>
        <c:axId val="4336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3625952"/>
        <c:crosses val="autoZero"/>
        <c:auto val="1"/>
        <c:lblAlgn val="ctr"/>
        <c:lblOffset val="100"/>
        <c:noMultiLvlLbl val="0"/>
      </c:catAx>
      <c:valAx>
        <c:axId val="433625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Free Surface Energy (J/m^2)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36239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'ADP800'!$AG$22</c:f>
              <c:strCache>
                <c:ptCount val="1"/>
                <c:pt idx="0">
                  <c:v>sigma210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cat>
            <c:numRef>
              <c:f>'ADP800'!$AH$21:$AI$21</c:f>
              <c:numCache>
                <c:formatCode>General</c:formatCode>
                <c:ptCount val="2"/>
                <c:pt idx="0">
                  <c:v>800</c:v>
                </c:pt>
                <c:pt idx="1">
                  <c:v>1000</c:v>
                </c:pt>
              </c:numCache>
            </c:numRef>
          </c:cat>
          <c:val>
            <c:numRef>
              <c:f>'ADP800'!$AH$22:$AI$22</c:f>
              <c:numCache>
                <c:formatCode>General</c:formatCode>
                <c:ptCount val="2"/>
                <c:pt idx="0">
                  <c:v>0.58278863997256292</c:v>
                </c:pt>
                <c:pt idx="1">
                  <c:v>0.61756022687230505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7-584C-82CC-13D7340D2CB4}"/>
            </c:ext>
          </c:extLst>
        </c:ser>
        <c:ser>
          <c:idx val="1"/>
          <c:order val="1"/>
          <c:tx>
            <c:strRef>
              <c:f>'ADP800'!$AG$23</c:f>
              <c:strCache>
                <c:ptCount val="1"/>
                <c:pt idx="0">
                  <c:v>sigma310</c:v>
                </c:pt>
              </c:strCache>
            </c:strRef>
          </c:tx>
          <c:val>
            <c:numRef>
              <c:f>'ADP800'!$AH$23:$AI$23</c:f>
              <c:numCache>
                <c:formatCode>General</c:formatCode>
                <c:ptCount val="2"/>
                <c:pt idx="0">
                  <c:v>0.56793755941912116</c:v>
                </c:pt>
                <c:pt idx="1">
                  <c:v>0.61612820111448774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7-584C-82CC-13D7340D2CB4}"/>
            </c:ext>
          </c:extLst>
        </c:ser>
        <c:ser>
          <c:idx val="2"/>
          <c:order val="2"/>
          <c:tx>
            <c:strRef>
              <c:f>'ADP800'!$AG$24</c:f>
              <c:strCache>
                <c:ptCount val="1"/>
                <c:pt idx="0">
                  <c:v>sigma510</c:v>
                </c:pt>
              </c:strCache>
            </c:strRef>
          </c:tx>
          <c:val>
            <c:numRef>
              <c:f>'ADP800'!$AH$24:$AI$24</c:f>
              <c:numCache>
                <c:formatCode>General</c:formatCode>
                <c:ptCount val="2"/>
                <c:pt idx="0">
                  <c:v>0.62778922542236193</c:v>
                </c:pt>
                <c:pt idx="1">
                  <c:v>0.70431986248352785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7-584C-82CC-13D7340D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654240"/>
        <c:axId val="433656560"/>
      </c:lineChart>
      <c:catAx>
        <c:axId val="4336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656560"/>
        <c:crosses val="autoZero"/>
        <c:auto val="1"/>
        <c:lblAlgn val="ctr"/>
        <c:lblOffset val="100"/>
        <c:noMultiLvlLbl val="0"/>
      </c:catAx>
      <c:valAx>
        <c:axId val="433656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336542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2810804899388"/>
                  <c:y val="1.0882910469524601E-2"/>
                </c:manualLayout>
              </c:layout>
              <c:numFmt formatCode="General" sourceLinked="0"/>
            </c:trendlineLbl>
          </c:trendline>
          <c:xVal>
            <c:numRef>
              <c:f>'ADP1000'!$O$23:$O$32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'ADP1000'!$K$23:$K$32</c:f>
              <c:numCache>
                <c:formatCode>General</c:formatCode>
                <c:ptCount val="10"/>
                <c:pt idx="0">
                  <c:v>-4.6269003309999999</c:v>
                </c:pt>
                <c:pt idx="1">
                  <c:v>-4.6233966935000002</c:v>
                </c:pt>
                <c:pt idx="2">
                  <c:v>-4.6118006549999997</c:v>
                </c:pt>
                <c:pt idx="3">
                  <c:v>-4.6325016235000005</c:v>
                </c:pt>
                <c:pt idx="4">
                  <c:v>-4.6300910709999998</c:v>
                </c:pt>
                <c:pt idx="5">
                  <c:v>-4.6294779285000001</c:v>
                </c:pt>
                <c:pt idx="6">
                  <c:v>-4.6828976535000004</c:v>
                </c:pt>
                <c:pt idx="7">
                  <c:v>-4.6416358840000003</c:v>
                </c:pt>
                <c:pt idx="8">
                  <c:v>-4.6482650274999999</c:v>
                </c:pt>
                <c:pt idx="9">
                  <c:v>-4.6062635060000003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3-1745-8D13-A61939556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87696"/>
        <c:axId val="433690016"/>
      </c:scatterChart>
      <c:valAx>
        <c:axId val="43368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690016"/>
        <c:crosses val="autoZero"/>
        <c:crossBetween val="midCat"/>
      </c:valAx>
      <c:valAx>
        <c:axId val="43369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368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pPr>
              <a:effectLst/>
            </c:spPr>
          </c:marker>
          <c:cat>
            <c:strRef>
              <c:f>'ADP1000'!$X$50:$X$54</c:f>
              <c:strCache>
                <c:ptCount val="5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210-100</c:v>
                </c:pt>
              </c:strCache>
            </c:strRef>
          </c:cat>
          <c:val>
            <c:numRef>
              <c:f>'ADP1000'!$Y$50:$Y$54</c:f>
              <c:numCache>
                <c:formatCode>0.00</c:formatCode>
                <c:ptCount val="5"/>
                <c:pt idx="0">
                  <c:v>0.60039486801484576</c:v>
                </c:pt>
                <c:pt idx="1">
                  <c:v>0.6407724683742293</c:v>
                </c:pt>
                <c:pt idx="2">
                  <c:v>0.71298139768847357</c:v>
                </c:pt>
                <c:pt idx="3">
                  <c:v>0.56255936704926879</c:v>
                </c:pt>
                <c:pt idx="4">
                  <c:v>0.65398618906141481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D-D04C-B10F-664CF1221D8D}"/>
            </c:ext>
          </c:extLst>
        </c:ser>
        <c:ser>
          <c:idx val="1"/>
          <c:order val="1"/>
          <c:tx>
            <c:v>bccU</c:v>
          </c:tx>
          <c:spPr>
            <a:effectLst/>
          </c:spPr>
          <c:marker>
            <c:spPr>
              <a:effectLst/>
            </c:spPr>
          </c:marker>
          <c:cat>
            <c:strRef>
              <c:f>'ADP1000'!$X$50:$X$54</c:f>
              <c:strCache>
                <c:ptCount val="5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210-100</c:v>
                </c:pt>
              </c:strCache>
            </c:strRef>
          </c:cat>
          <c:val>
            <c:numRef>
              <c:f>'ADP1000'!$Z$50:$Z$52</c:f>
              <c:numCache>
                <c:formatCode>General</c:formatCode>
                <c:ptCount val="3"/>
                <c:pt idx="0">
                  <c:v>0.55396158966096887</c:v>
                </c:pt>
                <c:pt idx="1">
                  <c:v>0.42078741710482098</c:v>
                </c:pt>
                <c:pt idx="2">
                  <c:v>0.54043955504228935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D-D04C-B10F-664CF1221D8D}"/>
            </c:ext>
          </c:extLst>
        </c:ser>
        <c:ser>
          <c:idx val="2"/>
          <c:order val="2"/>
          <c:tx>
            <c:v>bccMo</c:v>
          </c:tx>
          <c:spPr>
            <a:effectLst/>
          </c:spPr>
          <c:marker>
            <c:spPr>
              <a:effectLst/>
            </c:spPr>
          </c:marker>
          <c:cat>
            <c:strRef>
              <c:f>'ADP1000'!$X$50:$X$54</c:f>
              <c:strCache>
                <c:ptCount val="5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210-100</c:v>
                </c:pt>
              </c:strCache>
            </c:strRef>
          </c:cat>
          <c:val>
            <c:numRef>
              <c:f>'ADP1000'!$AA$50:$AA$52</c:f>
              <c:numCache>
                <c:formatCode>General</c:formatCode>
                <c:ptCount val="3"/>
                <c:pt idx="0">
                  <c:v>1.6378354198643019</c:v>
                </c:pt>
                <c:pt idx="1">
                  <c:v>1.5676658377525972</c:v>
                </c:pt>
                <c:pt idx="2">
                  <c:v>1.633167301293085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D-D04C-B10F-664CF122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16560"/>
        <c:axId val="433718608"/>
      </c:lineChart>
      <c:catAx>
        <c:axId val="433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18608"/>
        <c:crosses val="autoZero"/>
        <c:auto val="1"/>
        <c:lblAlgn val="ctr"/>
        <c:lblOffset val="100"/>
        <c:noMultiLvlLbl val="0"/>
      </c:catAx>
      <c:valAx>
        <c:axId val="433718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337165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80434782608703E-2"/>
          <c:y val="2.7777777777777801E-2"/>
          <c:w val="0.69398579253680204"/>
          <c:h val="0.82870370370370405"/>
        </c:manualLayout>
      </c:layout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('ADP1000'!$H$221,'ADP1000'!$H$227,'ADP1000'!$H$233,'ADP1000'!$H$245,'ADP1000'!$H$251,'ADP1000'!$H$257)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'ADP1000'!$Y$91:$Y$96</c:f>
              <c:numCache>
                <c:formatCode>General</c:formatCode>
                <c:ptCount val="6"/>
                <c:pt idx="0">
                  <c:v>1.5786790405602635</c:v>
                </c:pt>
                <c:pt idx="1">
                  <c:v>1.6291617569961918</c:v>
                </c:pt>
                <c:pt idx="2">
                  <c:v>1.6381693528636905</c:v>
                </c:pt>
                <c:pt idx="3">
                  <c:v>1.6310236390185324</c:v>
                </c:pt>
                <c:pt idx="4">
                  <c:v>1.4102972150311224</c:v>
                </c:pt>
                <c:pt idx="5">
                  <c:v>1.6267007624755312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3-154D-9B48-EEFF7539402C}"/>
            </c:ext>
          </c:extLst>
        </c:ser>
        <c:ser>
          <c:idx val="1"/>
          <c:order val="1"/>
          <c:tx>
            <c:v>bccU</c:v>
          </c:tx>
          <c:spPr>
            <a:effectLst/>
          </c:spPr>
          <c:marker>
            <c:spPr>
              <a:effectLst/>
            </c:spPr>
          </c:marker>
          <c:val>
            <c:numRef>
              <c:f>'ADP1000'!$Z$91:$Z$96</c:f>
              <c:numCache>
                <c:formatCode>General</c:formatCode>
                <c:ptCount val="6"/>
                <c:pt idx="0">
                  <c:v>1.2383491451758224</c:v>
                </c:pt>
                <c:pt idx="1">
                  <c:v>1.2661057820168231</c:v>
                </c:pt>
                <c:pt idx="2">
                  <c:v>1.2851510516876756</c:v>
                </c:pt>
                <c:pt idx="3">
                  <c:v>1.308266323894304</c:v>
                </c:pt>
                <c:pt idx="4">
                  <c:v>1.0736883313771581</c:v>
                </c:pt>
                <c:pt idx="5">
                  <c:v>1.2806942855155452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3-154D-9B48-EEFF7539402C}"/>
            </c:ext>
          </c:extLst>
        </c:ser>
        <c:ser>
          <c:idx val="2"/>
          <c:order val="2"/>
          <c:tx>
            <c:v>bccMo</c:v>
          </c:tx>
          <c:spPr>
            <a:effectLst/>
          </c:spPr>
          <c:marker>
            <c:spPr>
              <a:effectLst/>
            </c:spPr>
          </c:marker>
          <c:val>
            <c:numRef>
              <c:f>'ADP1000'!$AA$91:$AA$96</c:f>
              <c:numCache>
                <c:formatCode>General</c:formatCode>
                <c:ptCount val="6"/>
                <c:pt idx="0">
                  <c:v>4.7809255882189472</c:v>
                </c:pt>
                <c:pt idx="1">
                  <c:v>4.8438640596663927</c:v>
                </c:pt>
                <c:pt idx="2">
                  <c:v>4.8884868144795872</c:v>
                </c:pt>
                <c:pt idx="3">
                  <c:v>4.8846242298380975</c:v>
                </c:pt>
                <c:pt idx="4">
                  <c:v>4.5866562912623916</c:v>
                </c:pt>
                <c:pt idx="5">
                  <c:v>4.9717847481598731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3-154D-9B48-EEFF75394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747888"/>
        <c:axId val="433749936"/>
      </c:lineChart>
      <c:catAx>
        <c:axId val="43374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49936"/>
        <c:crosses val="autoZero"/>
        <c:auto val="1"/>
        <c:lblAlgn val="ctr"/>
        <c:lblOffset val="100"/>
        <c:noMultiLvlLbl val="0"/>
      </c:catAx>
      <c:valAx>
        <c:axId val="433749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Free Surface Energy (J/m^2)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74788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2810804899388"/>
                  <c:y val="1.0882910469524601E-2"/>
                </c:manualLayout>
              </c:layout>
              <c:numFmt formatCode="General" sourceLinked="0"/>
            </c:trendlineLbl>
          </c:trendline>
          <c:xVal>
            <c:numRef>
              <c:f>'ADP1000'!$O$23:$O$32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'ADP1000'!$N$23:$N$32</c:f>
              <c:numCache>
                <c:formatCode>General</c:formatCode>
                <c:ptCount val="10"/>
                <c:pt idx="0">
                  <c:v>3.4312134943150344E-2</c:v>
                </c:pt>
                <c:pt idx="1">
                  <c:v>3.6471605663074114E-2</c:v>
                </c:pt>
                <c:pt idx="2">
                  <c:v>3.5970143142400046E-2</c:v>
                </c:pt>
                <c:pt idx="3">
                  <c:v>3.6775843123598863E-2</c:v>
                </c:pt>
                <c:pt idx="4">
                  <c:v>3.7842228843524027E-2</c:v>
                </c:pt>
                <c:pt idx="5">
                  <c:v>3.5767037783373777E-2</c:v>
                </c:pt>
                <c:pt idx="6">
                  <c:v>3.745815076644976E-2</c:v>
                </c:pt>
                <c:pt idx="7">
                  <c:v>3.7050750084123139E-2</c:v>
                </c:pt>
                <c:pt idx="8">
                  <c:v>3.9830774044648937E-2</c:v>
                </c:pt>
                <c:pt idx="9">
                  <c:v>3.3442291461949027E-2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4-0B41-BA1E-8EECE171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2928"/>
        <c:axId val="433775248"/>
      </c:scatterChart>
      <c:valAx>
        <c:axId val="4337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775248"/>
        <c:crosses val="autoZero"/>
        <c:crossBetween val="midCat"/>
      </c:valAx>
      <c:valAx>
        <c:axId val="43377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377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4793744531934"/>
                  <c:y val="3.0162583843686201E-2"/>
                </c:manualLayout>
              </c:layout>
              <c:numFmt formatCode="General" sourceLinked="0"/>
            </c:trendlineLbl>
          </c:trendline>
          <c:xVal>
            <c:numRef>
              <c:f>'ADP1200'!$I$4:$I$13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'ADP1200'!$E$4:$E$13</c:f>
              <c:numCache>
                <c:formatCode>General</c:formatCode>
                <c:ptCount val="10"/>
                <c:pt idx="0">
                  <c:v>-4.5976494639999999</c:v>
                </c:pt>
                <c:pt idx="1">
                  <c:v>-4.5964645225000007</c:v>
                </c:pt>
                <c:pt idx="2">
                  <c:v>-4.5851987625000001</c:v>
                </c:pt>
                <c:pt idx="3">
                  <c:v>-4.6034968704999999</c:v>
                </c:pt>
                <c:pt idx="4">
                  <c:v>-4.603308781</c:v>
                </c:pt>
                <c:pt idx="5">
                  <c:v>-4.6018273755000001</c:v>
                </c:pt>
                <c:pt idx="6">
                  <c:v>-4.652289186</c:v>
                </c:pt>
                <c:pt idx="7">
                  <c:v>-4.6125439305000002</c:v>
                </c:pt>
                <c:pt idx="8">
                  <c:v>-4.6208310090000007</c:v>
                </c:pt>
                <c:pt idx="9">
                  <c:v>-4.5767938780000001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1-1F47-92A4-601388B9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05936"/>
        <c:axId val="433808256"/>
      </c:scatterChart>
      <c:valAx>
        <c:axId val="43380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808256"/>
        <c:crosses val="autoZero"/>
        <c:crossBetween val="midCat"/>
      </c:valAx>
      <c:valAx>
        <c:axId val="43380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380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4793744531934"/>
                  <c:y val="3.0162583843686201E-2"/>
                </c:manualLayout>
              </c:layout>
              <c:numFmt formatCode="General" sourceLinked="0"/>
            </c:trendlineLbl>
          </c:trendline>
          <c:xVal>
            <c:numRef>
              <c:f>'ADP1200'!$I$4:$I$13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'ADP1200'!$H$4:$H$13</c:f>
              <c:numCache>
                <c:formatCode>General</c:formatCode>
                <c:ptCount val="10"/>
                <c:pt idx="0">
                  <c:v>3.3443926949099478E-2</c:v>
                </c:pt>
                <c:pt idx="1">
                  <c:v>3.3285165955548111E-2</c:v>
                </c:pt>
                <c:pt idx="2">
                  <c:v>3.2457603513599678E-2</c:v>
                </c:pt>
                <c:pt idx="3">
                  <c:v>3.5658735410399461E-2</c:v>
                </c:pt>
                <c:pt idx="4">
                  <c:v>3.45031224168506E-2</c:v>
                </c:pt>
                <c:pt idx="5">
                  <c:v>3.3297122929749096E-2</c:v>
                </c:pt>
                <c:pt idx="6">
                  <c:v>3.7927114665299994E-2</c:v>
                </c:pt>
                <c:pt idx="7">
                  <c:v>3.6017592865249755E-2</c:v>
                </c:pt>
                <c:pt idx="8">
                  <c:v>3.7136431820099458E-2</c:v>
                </c:pt>
                <c:pt idx="9">
                  <c:v>3.280027305229942E-2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5-4242-B38F-85B987D5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30672"/>
        <c:axId val="433832992"/>
      </c:scatterChart>
      <c:valAx>
        <c:axId val="43383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832992"/>
        <c:crosses val="autoZero"/>
        <c:crossBetween val="midCat"/>
      </c:valAx>
      <c:valAx>
        <c:axId val="43383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383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cat>
            <c:strRef>
              <c:f>'ADP500'!$AA$42:$AA$44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'ADP500'!$AB$42:$AB$44</c:f>
              <c:numCache>
                <c:formatCode>General</c:formatCode>
                <c:ptCount val="3"/>
                <c:pt idx="0">
                  <c:v>0.5362059883727861</c:v>
                </c:pt>
                <c:pt idx="1">
                  <c:v>0.5440818844378893</c:v>
                </c:pt>
                <c:pt idx="2">
                  <c:v>0.55771855148783955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7-F649-A947-82E1987B6354}"/>
            </c:ext>
          </c:extLst>
        </c:ser>
        <c:ser>
          <c:idx val="1"/>
          <c:order val="1"/>
          <c:tx>
            <c:v>bccU</c:v>
          </c:tx>
          <c:cat>
            <c:strRef>
              <c:f>'ADP500'!$AA$42:$AA$44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'ADP500'!$AC$42:$AC$44</c:f>
              <c:numCache>
                <c:formatCode>General</c:formatCode>
                <c:ptCount val="3"/>
                <c:pt idx="0">
                  <c:v>0.14492303780769569</c:v>
                </c:pt>
                <c:pt idx="1">
                  <c:v>0.32713488663809331</c:v>
                </c:pt>
                <c:pt idx="2">
                  <c:v>0.37869321186849236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F649-A947-82E1987B6354}"/>
            </c:ext>
          </c:extLst>
        </c:ser>
        <c:ser>
          <c:idx val="2"/>
          <c:order val="2"/>
          <c:tx>
            <c:v>bccMo</c:v>
          </c:tx>
          <c:cat>
            <c:strRef>
              <c:f>'ADP500'!$AA$42:$AA$44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'ADP500'!$AD$42:$AD$44</c:f>
              <c:numCache>
                <c:formatCode>General</c:formatCode>
                <c:ptCount val="3"/>
                <c:pt idx="0">
                  <c:v>1.6150578038657639</c:v>
                </c:pt>
                <c:pt idx="1">
                  <c:v>1.558032344723876</c:v>
                </c:pt>
                <c:pt idx="2">
                  <c:v>1.596229230962249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7-F649-A947-82E1987B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21616"/>
        <c:axId val="714323936"/>
      </c:lineChart>
      <c:catAx>
        <c:axId val="71432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323936"/>
        <c:crosses val="autoZero"/>
        <c:auto val="1"/>
        <c:lblAlgn val="ctr"/>
        <c:lblOffset val="100"/>
        <c:noMultiLvlLbl val="0"/>
      </c:catAx>
      <c:valAx>
        <c:axId val="714323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432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80434782608703E-2"/>
          <c:y val="2.7777777777777801E-2"/>
          <c:w val="0.69398579253680204"/>
          <c:h val="0.82870370370370405"/>
        </c:manualLayout>
      </c:layout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'ADP1200'!$AA$76:$AA$81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'ADP1200'!$AB$76:$AB$81</c:f>
              <c:numCache>
                <c:formatCode>0.00</c:formatCode>
                <c:ptCount val="6"/>
                <c:pt idx="0">
                  <c:v>1.6581960805676403</c:v>
                </c:pt>
                <c:pt idx="1">
                  <c:v>1.7108313110528901</c:v>
                </c:pt>
                <c:pt idx="2">
                  <c:v>1.6867636361711278</c:v>
                </c:pt>
                <c:pt idx="3">
                  <c:v>1.6911314887609048</c:v>
                </c:pt>
                <c:pt idx="4">
                  <c:v>1.4371460178335993</c:v>
                </c:pt>
                <c:pt idx="5">
                  <c:v>1.7373124077172879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8-8941-BCD6-589FA30AAB69}"/>
            </c:ext>
          </c:extLst>
        </c:ser>
        <c:ser>
          <c:idx val="1"/>
          <c:order val="1"/>
          <c:tx>
            <c:v>bccU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'ADP1200'!$AA$76:$AA$81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'ADP1200'!$AE$76:$AE$81</c:f>
              <c:numCache>
                <c:formatCode>0.00</c:formatCode>
                <c:ptCount val="6"/>
                <c:pt idx="0">
                  <c:v>1.3123225079497538</c:v>
                </c:pt>
                <c:pt idx="1">
                  <c:v>1.4054753903948574</c:v>
                </c:pt>
                <c:pt idx="2">
                  <c:v>1.3718581682805524</c:v>
                </c:pt>
                <c:pt idx="3">
                  <c:v>1.4710324200061364</c:v>
                </c:pt>
                <c:pt idx="4">
                  <c:v>1.1585881257158659</c:v>
                </c:pt>
                <c:pt idx="5">
                  <c:v>1.4301299924612976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8-8941-BCD6-589FA30AAB69}"/>
            </c:ext>
          </c:extLst>
        </c:ser>
        <c:ser>
          <c:idx val="2"/>
          <c:order val="2"/>
          <c:tx>
            <c:v>bccMo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'ADP1200'!$AA$76:$AA$81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'ADP1200'!$AF$76:$AF$81</c:f>
              <c:numCache>
                <c:formatCode>0.00</c:formatCode>
                <c:ptCount val="6"/>
                <c:pt idx="0">
                  <c:v>4.8393300006629412</c:v>
                </c:pt>
                <c:pt idx="1">
                  <c:v>4.9045824192571121</c:v>
                </c:pt>
                <c:pt idx="2">
                  <c:v>4.9678962319767086</c:v>
                </c:pt>
                <c:pt idx="3">
                  <c:v>5.0280277923367809</c:v>
                </c:pt>
                <c:pt idx="4">
                  <c:v>4.6067631578378423</c:v>
                </c:pt>
                <c:pt idx="5">
                  <c:v>5.0108852605579326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8-8941-BCD6-589FA30AAB69}"/>
            </c:ext>
          </c:extLst>
        </c:ser>
        <c:ser>
          <c:idx val="3"/>
          <c:order val="3"/>
          <c:tx>
            <c:strRef>
              <c:f>'ADP1200'!$AC$75</c:f>
              <c:strCache>
                <c:ptCount val="1"/>
                <c:pt idx="0">
                  <c:v>U5Mo</c:v>
                </c:pt>
              </c:strCache>
            </c:strRef>
          </c:tx>
          <c:val>
            <c:numRef>
              <c:f>'ADP1200'!$AC$76:$AC$81</c:f>
              <c:numCache>
                <c:formatCode>0.00</c:formatCode>
                <c:ptCount val="6"/>
                <c:pt idx="0">
                  <c:v>1.4904017300742587</c:v>
                </c:pt>
                <c:pt idx="1">
                  <c:v>1.5414063194245986</c:v>
                </c:pt>
                <c:pt idx="2">
                  <c:v>1.4949747194061678</c:v>
                </c:pt>
                <c:pt idx="3">
                  <c:v>1.4856511459398227</c:v>
                </c:pt>
                <c:pt idx="4">
                  <c:v>1.2764058514230894</c:v>
                </c:pt>
                <c:pt idx="5">
                  <c:v>1.5499752456935476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8-8941-BCD6-589FA30AAB69}"/>
            </c:ext>
          </c:extLst>
        </c:ser>
        <c:ser>
          <c:idx val="4"/>
          <c:order val="4"/>
          <c:tx>
            <c:strRef>
              <c:f>'ADP1200'!$AD$75</c:f>
              <c:strCache>
                <c:ptCount val="1"/>
                <c:pt idx="0">
                  <c:v>U15Mo</c:v>
                </c:pt>
              </c:strCache>
            </c:strRef>
          </c:tx>
          <c:val>
            <c:numRef>
              <c:f>'ADP1200'!$AD$76:$AD$81</c:f>
              <c:numCache>
                <c:formatCode>0.00</c:formatCode>
                <c:ptCount val="6"/>
                <c:pt idx="0">
                  <c:v>1.796570468585879</c:v>
                </c:pt>
                <c:pt idx="1">
                  <c:v>1.8443734529226461</c:v>
                </c:pt>
                <c:pt idx="2">
                  <c:v>1.853831327876001</c:v>
                </c:pt>
                <c:pt idx="3">
                  <c:v>1.808506078989484</c:v>
                </c:pt>
                <c:pt idx="4">
                  <c:v>1.5867656309211764</c:v>
                </c:pt>
                <c:pt idx="5">
                  <c:v>1.8759862010967201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8-8941-BCD6-589FA30A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66256"/>
        <c:axId val="433868576"/>
      </c:lineChart>
      <c:catAx>
        <c:axId val="43386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868576"/>
        <c:crosses val="autoZero"/>
        <c:auto val="1"/>
        <c:lblAlgn val="ctr"/>
        <c:lblOffset val="100"/>
        <c:noMultiLvlLbl val="0"/>
      </c:catAx>
      <c:valAx>
        <c:axId val="433868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Free Surface Energy (J/m^2)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386625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80434782608703E-2"/>
          <c:y val="2.7777777777777801E-2"/>
          <c:w val="0.69398579253680204"/>
          <c:h val="0.82870370370370405"/>
        </c:manualLayout>
      </c:layout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'ADP1200'!$AA$76:$AA$81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'ADP1200'!$AB$85:$AB$90</c:f>
              <c:numCache>
                <c:formatCode>0.00</c:formatCode>
                <c:ptCount val="6"/>
                <c:pt idx="0">
                  <c:v>1.5786790405602635</c:v>
                </c:pt>
                <c:pt idx="1">
                  <c:v>1.6291617569961918</c:v>
                </c:pt>
                <c:pt idx="2">
                  <c:v>1.6381693528636905</c:v>
                </c:pt>
                <c:pt idx="3">
                  <c:v>1.6310236390185324</c:v>
                </c:pt>
                <c:pt idx="4">
                  <c:v>1.4102972150311224</c:v>
                </c:pt>
                <c:pt idx="5">
                  <c:v>1.6267007624755312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EF4E-B583-A0995C6D2CE5}"/>
            </c:ext>
          </c:extLst>
        </c:ser>
        <c:ser>
          <c:idx val="1"/>
          <c:order val="1"/>
          <c:tx>
            <c:strRef>
              <c:f>'ADP1200'!$AE$84</c:f>
              <c:strCache>
                <c:ptCount val="1"/>
                <c:pt idx="0">
                  <c:v>bccU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cat>
            <c:strRef>
              <c:f>'ADP1200'!$AA$76:$AA$81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'ADP1200'!$AE$85:$AE$90</c:f>
              <c:numCache>
                <c:formatCode>0.00</c:formatCode>
                <c:ptCount val="6"/>
                <c:pt idx="0">
                  <c:v>1.2383491451758224</c:v>
                </c:pt>
                <c:pt idx="1">
                  <c:v>1.2661057820168231</c:v>
                </c:pt>
                <c:pt idx="2">
                  <c:v>1.2851510516876756</c:v>
                </c:pt>
                <c:pt idx="3">
                  <c:v>1.308266323894304</c:v>
                </c:pt>
                <c:pt idx="4">
                  <c:v>1.0736883313771581</c:v>
                </c:pt>
                <c:pt idx="5">
                  <c:v>1.2806942855155452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F-EF4E-B583-A0995C6D2CE5}"/>
            </c:ext>
          </c:extLst>
        </c:ser>
        <c:ser>
          <c:idx val="2"/>
          <c:order val="2"/>
          <c:tx>
            <c:strRef>
              <c:f>'ADP1200'!$AF$84</c:f>
              <c:strCache>
                <c:ptCount val="1"/>
                <c:pt idx="0">
                  <c:v>bccMo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cat>
            <c:strRef>
              <c:f>'ADP1200'!$AA$76:$AA$81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'ADP1200'!$AF$85:$AF$90</c:f>
              <c:numCache>
                <c:formatCode>0.00</c:formatCode>
                <c:ptCount val="6"/>
                <c:pt idx="0">
                  <c:v>4.7809255882189472</c:v>
                </c:pt>
                <c:pt idx="1">
                  <c:v>4.8438640596663927</c:v>
                </c:pt>
                <c:pt idx="2">
                  <c:v>4.8884868144795872</c:v>
                </c:pt>
                <c:pt idx="3">
                  <c:v>4.8846242298380975</c:v>
                </c:pt>
                <c:pt idx="4">
                  <c:v>4.5866562912623916</c:v>
                </c:pt>
                <c:pt idx="5">
                  <c:v>4.9717847481598731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F-EF4E-B583-A0995C6D2CE5}"/>
            </c:ext>
          </c:extLst>
        </c:ser>
        <c:ser>
          <c:idx val="3"/>
          <c:order val="3"/>
          <c:tx>
            <c:strRef>
              <c:f>'ADP1200'!$AC$75</c:f>
              <c:strCache>
                <c:ptCount val="1"/>
                <c:pt idx="0">
                  <c:v>U5Mo</c:v>
                </c:pt>
              </c:strCache>
            </c:strRef>
          </c:tx>
          <c:val>
            <c:numRef>
              <c:f>'ADP1200'!$AC$85:$AC$90</c:f>
              <c:numCache>
                <c:formatCode>0.00</c:formatCode>
                <c:ptCount val="6"/>
                <c:pt idx="0">
                  <c:v>1.3953963821522279</c:v>
                </c:pt>
                <c:pt idx="1">
                  <c:v>1.4347956274039948</c:v>
                </c:pt>
                <c:pt idx="2">
                  <c:v>1.428170538221702</c:v>
                </c:pt>
                <c:pt idx="3">
                  <c:v>1.4198243354886204</c:v>
                </c:pt>
                <c:pt idx="4">
                  <c:v>1.2272323356642059</c:v>
                </c:pt>
                <c:pt idx="5">
                  <c:v>1.4618044491539786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F-EF4E-B583-A0995C6D2CE5}"/>
            </c:ext>
          </c:extLst>
        </c:ser>
        <c:ser>
          <c:idx val="4"/>
          <c:order val="4"/>
          <c:tx>
            <c:strRef>
              <c:f>'ADP1200'!$AD$75</c:f>
              <c:strCache>
                <c:ptCount val="1"/>
                <c:pt idx="0">
                  <c:v>U15Mo</c:v>
                </c:pt>
              </c:strCache>
            </c:strRef>
          </c:tx>
          <c:val>
            <c:numRef>
              <c:f>'ADP1200'!$AD$85:$AD$90</c:f>
              <c:numCache>
                <c:formatCode>0.00</c:formatCode>
                <c:ptCount val="6"/>
                <c:pt idx="0">
                  <c:v>1.749294771304005</c:v>
                </c:pt>
                <c:pt idx="1">
                  <c:v>1.8061851912323994</c:v>
                </c:pt>
                <c:pt idx="2">
                  <c:v>1.7947230067554127</c:v>
                </c:pt>
                <c:pt idx="3">
                  <c:v>1.7529634527829039</c:v>
                </c:pt>
                <c:pt idx="4">
                  <c:v>1.5416771362066366</c:v>
                </c:pt>
                <c:pt idx="5">
                  <c:v>1.8291206738667984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F-EF4E-B583-A0995C6D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04032"/>
        <c:axId val="433906352"/>
      </c:lineChart>
      <c:catAx>
        <c:axId val="43390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906352"/>
        <c:crosses val="autoZero"/>
        <c:auto val="1"/>
        <c:lblAlgn val="ctr"/>
        <c:lblOffset val="100"/>
        <c:noMultiLvlLbl val="0"/>
      </c:catAx>
      <c:valAx>
        <c:axId val="433906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Free Surface Energy (J/m^2)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390403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80434782608703E-2"/>
          <c:y val="2.7777777777777801E-2"/>
          <c:w val="0.69398579253680204"/>
          <c:h val="0.82870370370370405"/>
        </c:manualLayout>
      </c:layout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'ADP1200'!$AA$76:$AA$81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'ADP1200'!$AB$94:$AB$99</c:f>
              <c:numCache>
                <c:formatCode>0.00</c:formatCode>
                <c:ptCount val="6"/>
                <c:pt idx="0">
                  <c:v>1.5517365761252533</c:v>
                </c:pt>
                <c:pt idx="1">
                  <c:v>1.6047990747544656</c:v>
                </c:pt>
                <c:pt idx="2">
                  <c:v>1.5901741775817031</c:v>
                </c:pt>
                <c:pt idx="3">
                  <c:v>1.5576808499878863</c:v>
                </c:pt>
                <c:pt idx="4">
                  <c:v>1.3836882189355035</c:v>
                </c:pt>
                <c:pt idx="5">
                  <c:v>1.6267068610608917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C-AC45-A5BF-6C8BCA40B1A0}"/>
            </c:ext>
          </c:extLst>
        </c:ser>
        <c:ser>
          <c:idx val="1"/>
          <c:order val="1"/>
          <c:tx>
            <c:v>bccU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'ADP1200'!$AA$76:$AA$81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'ADP1200'!$AE$94:$AE$99</c:f>
              <c:numCache>
                <c:formatCode>0.00</c:formatCode>
                <c:ptCount val="6"/>
                <c:pt idx="0">
                  <c:v>1.2121254441008973</c:v>
                </c:pt>
                <c:pt idx="1">
                  <c:v>1.2207595440044074</c:v>
                </c:pt>
                <c:pt idx="2">
                  <c:v>1.2532842134072641</c:v>
                </c:pt>
                <c:pt idx="3">
                  <c:v>1.2325829072111127</c:v>
                </c:pt>
                <c:pt idx="4">
                  <c:v>1.0584171184492379</c:v>
                </c:pt>
                <c:pt idx="5">
                  <c:v>1.2445777221215129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C-AC45-A5BF-6C8BCA40B1A0}"/>
            </c:ext>
          </c:extLst>
        </c:ser>
        <c:ser>
          <c:idx val="2"/>
          <c:order val="2"/>
          <c:tx>
            <c:strRef>
              <c:f>'ADP1200'!$AF$93</c:f>
              <c:strCache>
                <c:ptCount val="1"/>
                <c:pt idx="0">
                  <c:v>bccMo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cat>
            <c:strRef>
              <c:f>'ADP1200'!$AA$76:$AA$81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'ADP1200'!$AF$94:$AF$99</c:f>
              <c:numCache>
                <c:formatCode>0.00</c:formatCode>
                <c:ptCount val="6"/>
                <c:pt idx="0">
                  <c:v>4.7538273401141842</c:v>
                </c:pt>
                <c:pt idx="1">
                  <c:v>4.8121998602234983</c:v>
                </c:pt>
                <c:pt idx="2">
                  <c:v>4.8467911389346003</c:v>
                </c:pt>
                <c:pt idx="3">
                  <c:v>4.8444544838373629</c:v>
                </c:pt>
                <c:pt idx="4">
                  <c:v>4.5804504923295521</c:v>
                </c:pt>
                <c:pt idx="5">
                  <c:v>4.9499576332028132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C-AC45-A5BF-6C8BCA40B1A0}"/>
            </c:ext>
          </c:extLst>
        </c:ser>
        <c:ser>
          <c:idx val="3"/>
          <c:order val="3"/>
          <c:tx>
            <c:strRef>
              <c:f>'ADP1200'!$AC$75</c:f>
              <c:strCache>
                <c:ptCount val="1"/>
                <c:pt idx="0">
                  <c:v>U5Mo</c:v>
                </c:pt>
              </c:strCache>
            </c:strRef>
          </c:tx>
          <c:val>
            <c:numRef>
              <c:f>'ADP1200'!$AC$94:$AC$99</c:f>
              <c:numCache>
                <c:formatCode>0.00</c:formatCode>
                <c:ptCount val="6"/>
                <c:pt idx="0">
                  <c:v>1.3551293018678674</c:v>
                </c:pt>
                <c:pt idx="1">
                  <c:v>1.3993741155229351</c:v>
                </c:pt>
                <c:pt idx="2">
                  <c:v>1.396585815337831</c:v>
                </c:pt>
                <c:pt idx="3">
                  <c:v>1.3723273572618797</c:v>
                </c:pt>
                <c:pt idx="4">
                  <c:v>1.1957221152043118</c:v>
                </c:pt>
                <c:pt idx="5">
                  <c:v>1.4026508077284316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C-AC45-A5BF-6C8BCA40B1A0}"/>
            </c:ext>
          </c:extLst>
        </c:ser>
        <c:ser>
          <c:idx val="4"/>
          <c:order val="4"/>
          <c:tx>
            <c:strRef>
              <c:f>'ADP1200'!$AD$75</c:f>
              <c:strCache>
                <c:ptCount val="1"/>
                <c:pt idx="0">
                  <c:v>U15Mo</c:v>
                </c:pt>
              </c:strCache>
            </c:strRef>
          </c:tx>
          <c:val>
            <c:numRef>
              <c:f>'ADP1200'!$AD$94:$AD$99</c:f>
              <c:numCache>
                <c:formatCode>0.00</c:formatCode>
                <c:ptCount val="6"/>
                <c:pt idx="0">
                  <c:v>1.7208953434775425</c:v>
                </c:pt>
                <c:pt idx="1">
                  <c:v>1.78276116206738</c:v>
                </c:pt>
                <c:pt idx="2">
                  <c:v>1.7710338342393981</c:v>
                </c:pt>
                <c:pt idx="3">
                  <c:v>1.7343135328665802</c:v>
                </c:pt>
                <c:pt idx="4">
                  <c:v>1.5151129892187154</c:v>
                </c:pt>
                <c:pt idx="5">
                  <c:v>1.8102461152713922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1C-AC45-A5BF-6C8BCA40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41280"/>
        <c:axId val="433943600"/>
      </c:lineChart>
      <c:catAx>
        <c:axId val="43394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943600"/>
        <c:crosses val="autoZero"/>
        <c:auto val="1"/>
        <c:lblAlgn val="ctr"/>
        <c:lblOffset val="100"/>
        <c:noMultiLvlLbl val="0"/>
      </c:catAx>
      <c:valAx>
        <c:axId val="433943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Free Surface Energy (J/m^2)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394128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'ADP1200'!$AA$22:$AA$24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'ADP1200'!$AD$28:$AD$30</c:f>
              <c:numCache>
                <c:formatCode>0.00</c:formatCode>
                <c:ptCount val="3"/>
                <c:pt idx="0">
                  <c:v>0.60039486801484576</c:v>
                </c:pt>
                <c:pt idx="1">
                  <c:v>0.6407724683742293</c:v>
                </c:pt>
                <c:pt idx="2">
                  <c:v>0.71298139768847357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D-8842-A49D-1AEFB4191CE3}"/>
            </c:ext>
          </c:extLst>
        </c:ser>
        <c:ser>
          <c:idx val="1"/>
          <c:order val="1"/>
          <c:tx>
            <c:v>bccU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'ADP1200'!$AA$22:$AA$24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'ADP1200'!$AB$28:$AB$30</c:f>
              <c:numCache>
                <c:formatCode>0.00</c:formatCode>
                <c:ptCount val="3"/>
                <c:pt idx="0">
                  <c:v>0.55396158966096887</c:v>
                </c:pt>
                <c:pt idx="1">
                  <c:v>0.42078741710482098</c:v>
                </c:pt>
                <c:pt idx="2">
                  <c:v>0.54043955504228935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D-8842-A49D-1AEFB4191CE3}"/>
            </c:ext>
          </c:extLst>
        </c:ser>
        <c:ser>
          <c:idx val="2"/>
          <c:order val="2"/>
          <c:tx>
            <c:v>bccMo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'ADP1200'!$AA$22:$AA$24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'ADP1200'!$AF$28:$AF$30</c:f>
              <c:numCache>
                <c:formatCode>0.00</c:formatCode>
                <c:ptCount val="3"/>
                <c:pt idx="0">
                  <c:v>1.6378354198643019</c:v>
                </c:pt>
                <c:pt idx="1">
                  <c:v>1.5676658377525972</c:v>
                </c:pt>
                <c:pt idx="2">
                  <c:v>1.633167301293085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D-8842-A49D-1AEFB4191CE3}"/>
            </c:ext>
          </c:extLst>
        </c:ser>
        <c:ser>
          <c:idx val="3"/>
          <c:order val="3"/>
          <c:tx>
            <c:strRef>
              <c:f>'ADP1200'!$AC$21</c:f>
              <c:strCache>
                <c:ptCount val="1"/>
                <c:pt idx="0">
                  <c:v>U5Mo</c:v>
                </c:pt>
              </c:strCache>
            </c:strRef>
          </c:tx>
          <c:val>
            <c:numRef>
              <c:f>'ADP1200'!$AC$28:$AC$30</c:f>
              <c:numCache>
                <c:formatCode>0.00</c:formatCode>
                <c:ptCount val="3"/>
                <c:pt idx="0">
                  <c:v>0.57445493857159113</c:v>
                </c:pt>
                <c:pt idx="1">
                  <c:v>0.53620589916500738</c:v>
                </c:pt>
                <c:pt idx="2">
                  <c:v>0.52689102171577618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D-8842-A49D-1AEFB4191CE3}"/>
            </c:ext>
          </c:extLst>
        </c:ser>
        <c:ser>
          <c:idx val="4"/>
          <c:order val="4"/>
          <c:tx>
            <c:strRef>
              <c:f>'ADP1200'!$AE$21</c:f>
              <c:strCache>
                <c:ptCount val="1"/>
                <c:pt idx="0">
                  <c:v>U15Mo</c:v>
                </c:pt>
              </c:strCache>
            </c:strRef>
          </c:tx>
          <c:val>
            <c:numRef>
              <c:f>'ADP1200'!$AE$28:$AE$30</c:f>
              <c:numCache>
                <c:formatCode>0.00</c:formatCode>
                <c:ptCount val="3"/>
                <c:pt idx="0">
                  <c:v>0.68965963126411522</c:v>
                </c:pt>
                <c:pt idx="1">
                  <c:v>0.70435140712966415</c:v>
                </c:pt>
                <c:pt idx="2">
                  <c:v>0.64556180438752198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D-8842-A49D-1AEFB419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78528"/>
        <c:axId val="433980848"/>
      </c:lineChart>
      <c:catAx>
        <c:axId val="43397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980848"/>
        <c:crosses val="autoZero"/>
        <c:auto val="1"/>
        <c:lblAlgn val="ctr"/>
        <c:lblOffset val="100"/>
        <c:noMultiLvlLbl val="0"/>
      </c:catAx>
      <c:valAx>
        <c:axId val="433980848"/>
        <c:scaling>
          <c:orientation val="minMax"/>
          <c:max val="1.8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339785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bccU</c:v>
          </c:tx>
          <c:spPr>
            <a:effectLst/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'ADP1200'!$AA$35:$AA$37</c:f>
              <c:numCache>
                <c:formatCode>General</c:formatCode>
                <c:ptCount val="3"/>
                <c:pt idx="0">
                  <c:v>210</c:v>
                </c:pt>
                <c:pt idx="1">
                  <c:v>310</c:v>
                </c:pt>
                <c:pt idx="2">
                  <c:v>510</c:v>
                </c:pt>
              </c:numCache>
            </c:numRef>
          </c:cat>
          <c:val>
            <c:numRef>
              <c:f>'ADP1200'!$AB$35:$AB$37</c:f>
              <c:numCache>
                <c:formatCode>0.00</c:formatCode>
                <c:ptCount val="3"/>
                <c:pt idx="0">
                  <c:v>0.47340373055181895</c:v>
                </c:pt>
                <c:pt idx="1">
                  <c:v>0.41052044705238649</c:v>
                </c:pt>
                <c:pt idx="2">
                  <c:v>0.49137460359161345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8E48-B13E-2C2C3861E57C}"/>
            </c:ext>
          </c:extLst>
        </c:ser>
        <c:ser>
          <c:idx val="1"/>
          <c:order val="1"/>
          <c:tx>
            <c:v>U10Mo</c:v>
          </c:tx>
          <c:val>
            <c:numRef>
              <c:f>'ADP1200'!$AD$35:$AD$37</c:f>
              <c:numCache>
                <c:formatCode>0.00</c:formatCode>
                <c:ptCount val="3"/>
                <c:pt idx="0">
                  <c:v>0.58278863997256292</c:v>
                </c:pt>
                <c:pt idx="1">
                  <c:v>0.56793755941912116</c:v>
                </c:pt>
                <c:pt idx="2">
                  <c:v>0.62778922542236193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8E48-B13E-2C2C3861E57C}"/>
            </c:ext>
          </c:extLst>
        </c:ser>
        <c:ser>
          <c:idx val="2"/>
          <c:order val="2"/>
          <c:tx>
            <c:v>bccMo</c:v>
          </c:tx>
          <c:val>
            <c:numRef>
              <c:f>'ADP1200'!$AF$35:$AF$37</c:f>
              <c:numCache>
                <c:formatCode>0.00</c:formatCode>
                <c:ptCount val="3"/>
                <c:pt idx="0">
                  <c:v>1.6166045715023087</c:v>
                </c:pt>
                <c:pt idx="1">
                  <c:v>1.551869770910125</c:v>
                </c:pt>
                <c:pt idx="2">
                  <c:v>1.6229690429764296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4-8E48-B13E-2C2C3861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07968"/>
        <c:axId val="434010288"/>
      </c:lineChart>
      <c:catAx>
        <c:axId val="43400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010288"/>
        <c:crosses val="autoZero"/>
        <c:auto val="1"/>
        <c:lblAlgn val="ctr"/>
        <c:lblOffset val="100"/>
        <c:noMultiLvlLbl val="0"/>
      </c:catAx>
      <c:valAx>
        <c:axId val="434010288"/>
        <c:scaling>
          <c:orientation val="minMax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3400796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U15Mo</a:t>
            </a:r>
          </a:p>
        </c:rich>
      </c:tx>
      <c:layout>
        <c:manualLayout>
          <c:xMode val="edge"/>
          <c:yMode val="edge"/>
          <c:x val="0.48150845727617397"/>
          <c:y val="3.703703703703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'ADP1200'!$AJ$17</c:f>
              <c:strCache>
                <c:ptCount val="1"/>
                <c:pt idx="0">
                  <c:v>sigma210</c:v>
                </c:pt>
              </c:strCache>
            </c:strRef>
          </c:tx>
          <c:spPr>
            <a:effectLst/>
          </c:spPr>
          <c:marker>
            <c:spPr>
              <a:solidFill>
                <a:schemeClr val="accent1"/>
              </a:solidFill>
              <a:effectLst/>
            </c:spPr>
          </c:marker>
          <c:cat>
            <c:numRef>
              <c:f>'ADP1200'!$AK$11:$AN$11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cat>
          <c:val>
            <c:numRef>
              <c:f>'ADP1200'!$AK$12:$AN$12</c:f>
              <c:numCache>
                <c:formatCode>0.00</c:formatCode>
                <c:ptCount val="4"/>
                <c:pt idx="0">
                  <c:v>0.62079812637782628</c:v>
                </c:pt>
                <c:pt idx="1">
                  <c:v>0.65729557958148088</c:v>
                </c:pt>
                <c:pt idx="2">
                  <c:v>0.68965963126411522</c:v>
                </c:pt>
                <c:pt idx="3">
                  <c:v>0.7294987398861813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6-784D-8A24-1D358084F1F5}"/>
            </c:ext>
          </c:extLst>
        </c:ser>
        <c:ser>
          <c:idx val="1"/>
          <c:order val="1"/>
          <c:tx>
            <c:strRef>
              <c:f>'ADP1200'!$AJ$18</c:f>
              <c:strCache>
                <c:ptCount val="1"/>
                <c:pt idx="0">
                  <c:v>sigma310</c:v>
                </c:pt>
              </c:strCache>
            </c:strRef>
          </c:tx>
          <c:spPr>
            <a:ln>
              <a:prstDash val="dash"/>
            </a:ln>
          </c:spPr>
          <c:marker>
            <c:spPr>
              <a:solidFill>
                <a:schemeClr val="accent2"/>
              </a:solidFill>
            </c:spPr>
          </c:marker>
          <c:cat>
            <c:numRef>
              <c:f>'ADP1200'!$AK$11:$AN$11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cat>
          <c:val>
            <c:numRef>
              <c:f>'ADP1200'!$AK$13:$AN$13</c:f>
              <c:numCache>
                <c:formatCode>0.00</c:formatCode>
                <c:ptCount val="4"/>
                <c:pt idx="0">
                  <c:v>0.63273491901755885</c:v>
                </c:pt>
                <c:pt idx="1">
                  <c:v>0.67232401454996626</c:v>
                </c:pt>
                <c:pt idx="2">
                  <c:v>0.70435140712966415</c:v>
                </c:pt>
                <c:pt idx="3">
                  <c:v>0.77605693616979332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6-784D-8A24-1D358084F1F5}"/>
            </c:ext>
          </c:extLst>
        </c:ser>
        <c:ser>
          <c:idx val="2"/>
          <c:order val="2"/>
          <c:tx>
            <c:strRef>
              <c:f>'ADP1200'!$AJ$19</c:f>
              <c:strCache>
                <c:ptCount val="1"/>
                <c:pt idx="0">
                  <c:v>sigma510</c:v>
                </c:pt>
              </c:strCache>
            </c:strRef>
          </c:tx>
          <c:spPr>
            <a:ln>
              <a:prstDash val="sysDot"/>
            </a:ln>
          </c:spPr>
          <c:marker>
            <c:spPr>
              <a:solidFill>
                <a:schemeClr val="accent3"/>
              </a:solidFill>
            </c:spPr>
          </c:marker>
          <c:cat>
            <c:numRef>
              <c:f>'ADP1200'!$AK$11:$AN$11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cat>
          <c:val>
            <c:numRef>
              <c:f>'ADP1200'!$AK$14:$AN$14</c:f>
              <c:numCache>
                <c:formatCode>0.00</c:formatCode>
                <c:ptCount val="4"/>
                <c:pt idx="0">
                  <c:v>0.65604958546118008</c:v>
                </c:pt>
                <c:pt idx="1">
                  <c:v>0.64231566195298329</c:v>
                </c:pt>
                <c:pt idx="2">
                  <c:v>0.64556180438752198</c:v>
                </c:pt>
                <c:pt idx="3">
                  <c:v>0.63387897756503198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6-784D-8A24-1D358084F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38368"/>
        <c:axId val="434040416"/>
      </c:lineChart>
      <c:catAx>
        <c:axId val="4340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040416"/>
        <c:crosses val="autoZero"/>
        <c:auto val="1"/>
        <c:lblAlgn val="ctr"/>
        <c:lblOffset val="100"/>
        <c:noMultiLvlLbl val="0"/>
      </c:catAx>
      <c:valAx>
        <c:axId val="434040416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34038368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'ADP1200'!$AA$22:$AA$24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'ADP1200'!$AD$22:$AD$24</c:f>
              <c:numCache>
                <c:formatCode>0.00</c:formatCode>
                <c:ptCount val="3"/>
                <c:pt idx="0">
                  <c:v>0.72804389975119865</c:v>
                </c:pt>
                <c:pt idx="1">
                  <c:v>0.68405492569493731</c:v>
                </c:pt>
                <c:pt idx="2">
                  <c:v>0.70177945419000487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D-FA4C-A8F1-3FBCB23C1DE5}"/>
            </c:ext>
          </c:extLst>
        </c:ser>
        <c:ser>
          <c:idx val="3"/>
          <c:order val="1"/>
          <c:tx>
            <c:strRef>
              <c:f>'ADP1200'!$AC$21</c:f>
              <c:strCache>
                <c:ptCount val="1"/>
                <c:pt idx="0">
                  <c:v>U5Mo</c:v>
                </c:pt>
              </c:strCache>
            </c:strRef>
          </c:tx>
          <c:val>
            <c:numRef>
              <c:f>'ADP1200'!$AC$22:$AC$24</c:f>
              <c:numCache>
                <c:formatCode>0.00</c:formatCode>
                <c:ptCount val="3"/>
                <c:pt idx="0">
                  <c:v>0.78400069576573173</c:v>
                </c:pt>
                <c:pt idx="1">
                  <c:v>0.76259969222103208</c:v>
                </c:pt>
                <c:pt idx="2">
                  <c:v>0.71690160520446167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D-FA4C-A8F1-3FBCB23C1DE5}"/>
            </c:ext>
          </c:extLst>
        </c:ser>
        <c:ser>
          <c:idx val="4"/>
          <c:order val="2"/>
          <c:tx>
            <c:strRef>
              <c:f>'ADP1200'!$AE$21</c:f>
              <c:strCache>
                <c:ptCount val="1"/>
                <c:pt idx="0">
                  <c:v>U15Mo</c:v>
                </c:pt>
              </c:strCache>
            </c:strRef>
          </c:tx>
          <c:val>
            <c:numRef>
              <c:f>'ADP1200'!$AE$22:$AE$24</c:f>
              <c:numCache>
                <c:formatCode>0.00</c:formatCode>
                <c:ptCount val="3"/>
                <c:pt idx="0">
                  <c:v>0.7294987398861813</c:v>
                </c:pt>
                <c:pt idx="1">
                  <c:v>0.77605693616979332</c:v>
                </c:pt>
                <c:pt idx="2">
                  <c:v>0.63387897756503198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D-FA4C-A8F1-3FBCB23C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69248"/>
        <c:axId val="434071568"/>
      </c:lineChart>
      <c:catAx>
        <c:axId val="43406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071568"/>
        <c:crosses val="autoZero"/>
        <c:auto val="1"/>
        <c:lblAlgn val="ctr"/>
        <c:lblOffset val="100"/>
        <c:noMultiLvlLbl val="0"/>
      </c:catAx>
      <c:valAx>
        <c:axId val="434071568"/>
        <c:scaling>
          <c:orientation val="minMax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34069248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'ADP1200'!$AA$22:$AA$24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'ADP1200'!$AD$28:$AD$30</c:f>
              <c:numCache>
                <c:formatCode>0.00</c:formatCode>
                <c:ptCount val="3"/>
                <c:pt idx="0">
                  <c:v>0.60039486801484576</c:v>
                </c:pt>
                <c:pt idx="1">
                  <c:v>0.6407724683742293</c:v>
                </c:pt>
                <c:pt idx="2">
                  <c:v>0.71298139768847357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B-F345-9DFA-DF720487548A}"/>
            </c:ext>
          </c:extLst>
        </c:ser>
        <c:ser>
          <c:idx val="3"/>
          <c:order val="1"/>
          <c:tx>
            <c:strRef>
              <c:f>'ADP1200'!$AC$21</c:f>
              <c:strCache>
                <c:ptCount val="1"/>
                <c:pt idx="0">
                  <c:v>U5Mo</c:v>
                </c:pt>
              </c:strCache>
            </c:strRef>
          </c:tx>
          <c:val>
            <c:numRef>
              <c:f>'ADP1200'!$AC$28:$AC$30</c:f>
              <c:numCache>
                <c:formatCode>0.00</c:formatCode>
                <c:ptCount val="3"/>
                <c:pt idx="0">
                  <c:v>0.57445493857159113</c:v>
                </c:pt>
                <c:pt idx="1">
                  <c:v>0.53620589916500738</c:v>
                </c:pt>
                <c:pt idx="2">
                  <c:v>0.52689102171577618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B-F345-9DFA-DF720487548A}"/>
            </c:ext>
          </c:extLst>
        </c:ser>
        <c:ser>
          <c:idx val="4"/>
          <c:order val="2"/>
          <c:tx>
            <c:strRef>
              <c:f>'ADP1200'!$AE$21</c:f>
              <c:strCache>
                <c:ptCount val="1"/>
                <c:pt idx="0">
                  <c:v>U15Mo</c:v>
                </c:pt>
              </c:strCache>
            </c:strRef>
          </c:tx>
          <c:val>
            <c:numRef>
              <c:f>'ADP1200'!$AE$28:$AE$30</c:f>
              <c:numCache>
                <c:formatCode>0.00</c:formatCode>
                <c:ptCount val="3"/>
                <c:pt idx="0">
                  <c:v>0.68965963126411522</c:v>
                </c:pt>
                <c:pt idx="1">
                  <c:v>0.70435140712966415</c:v>
                </c:pt>
                <c:pt idx="2">
                  <c:v>0.64556180438752198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B-F345-9DFA-DF7204875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01056"/>
        <c:axId val="518003808"/>
      </c:lineChart>
      <c:catAx>
        <c:axId val="51800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003808"/>
        <c:crosses val="autoZero"/>
        <c:auto val="1"/>
        <c:lblAlgn val="ctr"/>
        <c:lblOffset val="100"/>
        <c:noMultiLvlLbl val="0"/>
      </c:catAx>
      <c:valAx>
        <c:axId val="518003808"/>
        <c:scaling>
          <c:orientation val="minMax"/>
          <c:min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18001056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spPr>
            <a:effectLst/>
          </c:spPr>
          <c:marker>
            <c:spPr>
              <a:effectLst/>
            </c:spPr>
          </c:marker>
          <c:cat>
            <c:strRef>
              <c:f>'ADP1200'!$AA$22:$AA$24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'ADP1200'!$AD$35:$AD$37</c:f>
              <c:numCache>
                <c:formatCode>0.00</c:formatCode>
                <c:ptCount val="3"/>
                <c:pt idx="0">
                  <c:v>0.58278863997256292</c:v>
                </c:pt>
                <c:pt idx="1">
                  <c:v>0.56793755941912116</c:v>
                </c:pt>
                <c:pt idx="2">
                  <c:v>0.62778922542236193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2-B64B-B863-0B1598E58235}"/>
            </c:ext>
          </c:extLst>
        </c:ser>
        <c:ser>
          <c:idx val="3"/>
          <c:order val="1"/>
          <c:tx>
            <c:strRef>
              <c:f>'ADP1200'!$AC$21</c:f>
              <c:strCache>
                <c:ptCount val="1"/>
                <c:pt idx="0">
                  <c:v>U5Mo</c:v>
                </c:pt>
              </c:strCache>
            </c:strRef>
          </c:tx>
          <c:val>
            <c:numRef>
              <c:f>'ADP1200'!$AC$35:$AC$37</c:f>
              <c:numCache>
                <c:formatCode>0.00</c:formatCode>
                <c:ptCount val="3"/>
                <c:pt idx="0">
                  <c:v>0.49852866337781815</c:v>
                </c:pt>
                <c:pt idx="1">
                  <c:v>0.48026505917896667</c:v>
                </c:pt>
                <c:pt idx="2">
                  <c:v>0.50353216159751357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2-B64B-B863-0B1598E58235}"/>
            </c:ext>
          </c:extLst>
        </c:ser>
        <c:ser>
          <c:idx val="4"/>
          <c:order val="2"/>
          <c:tx>
            <c:strRef>
              <c:f>'ADP1200'!$AE$21</c:f>
              <c:strCache>
                <c:ptCount val="1"/>
                <c:pt idx="0">
                  <c:v>U15Mo</c:v>
                </c:pt>
              </c:strCache>
            </c:strRef>
          </c:tx>
          <c:val>
            <c:numRef>
              <c:f>'ADP1200'!$AE$35:$AE$37</c:f>
              <c:numCache>
                <c:formatCode>0.00</c:formatCode>
                <c:ptCount val="3"/>
                <c:pt idx="0">
                  <c:v>0.65729557958148088</c:v>
                </c:pt>
                <c:pt idx="1">
                  <c:v>0.67232401454996626</c:v>
                </c:pt>
                <c:pt idx="2">
                  <c:v>0.64231566195298329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2-B64B-B863-0B1598E58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32160"/>
        <c:axId val="518034912"/>
      </c:lineChart>
      <c:catAx>
        <c:axId val="51803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034912"/>
        <c:crosses val="autoZero"/>
        <c:auto val="1"/>
        <c:lblAlgn val="ctr"/>
        <c:lblOffset val="100"/>
        <c:noMultiLvlLbl val="0"/>
      </c:catAx>
      <c:valAx>
        <c:axId val="518034912"/>
        <c:scaling>
          <c:orientation val="minMax"/>
          <c:min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18032160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U5Mo</a:t>
            </a:r>
          </a:p>
        </c:rich>
      </c:tx>
      <c:layout>
        <c:manualLayout>
          <c:xMode val="edge"/>
          <c:yMode val="edge"/>
          <c:x val="0.48150845727617397"/>
          <c:y val="3.703703703703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'ADP1200'!$AJ$17</c:f>
              <c:strCache>
                <c:ptCount val="1"/>
                <c:pt idx="0">
                  <c:v>sigma210</c:v>
                </c:pt>
              </c:strCache>
            </c:strRef>
          </c:tx>
          <c:spPr>
            <a:effectLst/>
          </c:spPr>
          <c:marker>
            <c:spPr>
              <a:solidFill>
                <a:schemeClr val="accent1"/>
              </a:solidFill>
              <a:effectLst/>
            </c:spPr>
          </c:marker>
          <c:cat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cat>
          <c:val>
            <c:numRef>
              <c:f>'ADP1200'!$AK$17:$AN$17</c:f>
              <c:numCache>
                <c:formatCode>0.00</c:formatCode>
                <c:ptCount val="4"/>
                <c:pt idx="0">
                  <c:v>0.42028864761672791</c:v>
                </c:pt>
                <c:pt idx="1">
                  <c:v>0.49852866337781815</c:v>
                </c:pt>
                <c:pt idx="2">
                  <c:v>0.57445493857159113</c:v>
                </c:pt>
                <c:pt idx="3">
                  <c:v>0.69308110900649167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5-EC48-AF9C-E4F266EE51B9}"/>
            </c:ext>
          </c:extLst>
        </c:ser>
        <c:ser>
          <c:idx val="1"/>
          <c:order val="1"/>
          <c:tx>
            <c:strRef>
              <c:f>'ADP1200'!$AJ$18</c:f>
              <c:strCache>
                <c:ptCount val="1"/>
                <c:pt idx="0">
                  <c:v>sigma310</c:v>
                </c:pt>
              </c:strCache>
            </c:strRef>
          </c:tx>
          <c:spPr>
            <a:ln>
              <a:prstDash val="dash"/>
            </a:ln>
          </c:spPr>
          <c:marker>
            <c:spPr>
              <a:solidFill>
                <a:schemeClr val="accent2"/>
              </a:solidFill>
            </c:spPr>
          </c:marker>
          <c:cat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cat>
          <c:val>
            <c:numRef>
              <c:f>'ADP1200'!$AK$18:$AN$18</c:f>
              <c:numCache>
                <c:formatCode>0.00</c:formatCode>
                <c:ptCount val="4"/>
                <c:pt idx="0">
                  <c:v>0.40709714188681073</c:v>
                </c:pt>
                <c:pt idx="1">
                  <c:v>0.48026505917896667</c:v>
                </c:pt>
                <c:pt idx="2">
                  <c:v>0.53620589916500738</c:v>
                </c:pt>
                <c:pt idx="3">
                  <c:v>0.63282250818263464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5-EC48-AF9C-E4F266EE51B9}"/>
            </c:ext>
          </c:extLst>
        </c:ser>
        <c:ser>
          <c:idx val="2"/>
          <c:order val="2"/>
          <c:tx>
            <c:strRef>
              <c:f>'ADP1200'!$AJ$19</c:f>
              <c:strCache>
                <c:ptCount val="1"/>
                <c:pt idx="0">
                  <c:v>sigma510</c:v>
                </c:pt>
              </c:strCache>
            </c:strRef>
          </c:tx>
          <c:spPr>
            <a:ln>
              <a:prstDash val="sysDot"/>
            </a:ln>
          </c:spPr>
          <c:marker>
            <c:spPr>
              <a:solidFill>
                <a:schemeClr val="accent3"/>
              </a:solidFill>
            </c:spPr>
          </c:marker>
          <c:cat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cat>
          <c:val>
            <c:numRef>
              <c:f>'ADP1200'!$AK$19:$AN$19</c:f>
              <c:numCache>
                <c:formatCode>0.00</c:formatCode>
                <c:ptCount val="4"/>
                <c:pt idx="0">
                  <c:v>0.44679845600478929</c:v>
                </c:pt>
                <c:pt idx="1">
                  <c:v>0.50353216159751357</c:v>
                </c:pt>
                <c:pt idx="2">
                  <c:v>0.52689102171577618</c:v>
                </c:pt>
                <c:pt idx="3">
                  <c:v>0.63222793456718152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5-EC48-AF9C-E4F266EE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3456"/>
        <c:axId val="518065936"/>
      </c:lineChart>
      <c:catAx>
        <c:axId val="5180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065936"/>
        <c:crosses val="autoZero"/>
        <c:auto val="1"/>
        <c:lblAlgn val="ctr"/>
        <c:lblOffset val="100"/>
        <c:noMultiLvlLbl val="0"/>
      </c:catAx>
      <c:valAx>
        <c:axId val="518065936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18063456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399278215223102"/>
                  <c:y val="-0.157407407407407"/>
                </c:manualLayout>
              </c:layout>
              <c:numFmt formatCode="General" sourceLinked="0"/>
            </c:trendlineLbl>
          </c:trendline>
          <c:xVal>
            <c:numRef>
              <c:f>'ADP500'!$I$8:$I$17</c:f>
              <c:numCache>
                <c:formatCode>General</c:formatCode>
                <c:ptCount val="10"/>
                <c:pt idx="0">
                  <c:v>0.219</c:v>
                </c:pt>
                <c:pt idx="1">
                  <c:v>0.2185</c:v>
                </c:pt>
                <c:pt idx="2">
                  <c:v>0.22</c:v>
                </c:pt>
                <c:pt idx="3">
                  <c:v>0.23400000000000001</c:v>
                </c:pt>
                <c:pt idx="4">
                  <c:v>0.221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0.218</c:v>
                </c:pt>
                <c:pt idx="8">
                  <c:v>0.23150000000000001</c:v>
                </c:pt>
                <c:pt idx="9">
                  <c:v>0.2185</c:v>
                </c:pt>
              </c:numCache>
            </c:numRef>
          </c:xVal>
          <c:yVal>
            <c:numRef>
              <c:f>'ADP500'!$H$8:$H$17</c:f>
              <c:numCache>
                <c:formatCode>General</c:formatCode>
                <c:ptCount val="10"/>
                <c:pt idx="0">
                  <c:v>3.5406974181465559E-2</c:v>
                </c:pt>
                <c:pt idx="1">
                  <c:v>3.4642648659476437E-2</c:v>
                </c:pt>
                <c:pt idx="2">
                  <c:v>3.4848602225445571E-2</c:v>
                </c:pt>
                <c:pt idx="3">
                  <c:v>3.8925059841154505E-2</c:v>
                </c:pt>
                <c:pt idx="4">
                  <c:v>3.6366982769423885E-2</c:v>
                </c:pt>
                <c:pt idx="5">
                  <c:v>3.6815377835393522E-2</c:v>
                </c:pt>
                <c:pt idx="6">
                  <c:v>3.8501280236970158E-2</c:v>
                </c:pt>
                <c:pt idx="7">
                  <c:v>3.7411745137486831E-2</c:v>
                </c:pt>
                <c:pt idx="8">
                  <c:v>3.7860063231207275E-2</c:v>
                </c:pt>
                <c:pt idx="9">
                  <c:v>3.5317465659476514E-2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A-2C42-9699-01554ED5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21328"/>
        <c:axId val="484623104"/>
      </c:scatterChart>
      <c:valAx>
        <c:axId val="48462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623104"/>
        <c:crosses val="autoZero"/>
        <c:crossBetween val="midCat"/>
      </c:valAx>
      <c:valAx>
        <c:axId val="484623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462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U10Mo</a:t>
            </a:r>
          </a:p>
        </c:rich>
      </c:tx>
      <c:layout>
        <c:manualLayout>
          <c:xMode val="edge"/>
          <c:yMode val="edge"/>
          <c:x val="0.48150845727617397"/>
          <c:y val="3.70370370370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222222222222199"/>
          <c:y val="0.201851851851852"/>
          <c:w val="0.68518518518518501"/>
          <c:h val="0.67777777777777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'ADP1200'!$AJ$22</c:f>
              <c:strCache>
                <c:ptCount val="1"/>
                <c:pt idx="0">
                  <c:v>sigma210</c:v>
                </c:pt>
              </c:strCache>
            </c:strRef>
          </c:tx>
          <c:spPr>
            <a:effectLst/>
          </c:spPr>
          <c:marker>
            <c:spPr>
              <a:solidFill>
                <a:schemeClr val="accent1"/>
              </a:solidFill>
              <a:effectLst/>
            </c:spPr>
          </c:marker>
          <c:xVal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'ADP1200'!$AK$22:$AN$22</c:f>
              <c:numCache>
                <c:formatCode>0.00</c:formatCode>
                <c:ptCount val="4"/>
                <c:pt idx="0">
                  <c:v>0.52419621154528806</c:v>
                </c:pt>
                <c:pt idx="1">
                  <c:v>0.58278863997256292</c:v>
                </c:pt>
                <c:pt idx="2">
                  <c:v>0.60039486801484576</c:v>
                </c:pt>
                <c:pt idx="3">
                  <c:v>0.72804389975119865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A-094D-81FB-6A69E15D7E19}"/>
            </c:ext>
          </c:extLst>
        </c:ser>
        <c:ser>
          <c:idx val="1"/>
          <c:order val="1"/>
          <c:tx>
            <c:strRef>
              <c:f>'ADP1200'!$AJ$23</c:f>
              <c:strCache>
                <c:ptCount val="1"/>
                <c:pt idx="0">
                  <c:v>sigma310</c:v>
                </c:pt>
              </c:strCache>
            </c:strRef>
          </c:tx>
          <c:spPr>
            <a:ln>
              <a:prstDash val="dash"/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'ADP1200'!$AK$23:$AN$23</c:f>
              <c:numCache>
                <c:formatCode>0.00</c:formatCode>
                <c:ptCount val="4"/>
                <c:pt idx="0">
                  <c:v>0.54988961835965766</c:v>
                </c:pt>
                <c:pt idx="1">
                  <c:v>0.56793755941912116</c:v>
                </c:pt>
                <c:pt idx="2">
                  <c:v>0.6407724683742293</c:v>
                </c:pt>
                <c:pt idx="3">
                  <c:v>0.68405492569493731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A-094D-81FB-6A69E15D7E19}"/>
            </c:ext>
          </c:extLst>
        </c:ser>
        <c:ser>
          <c:idx val="2"/>
          <c:order val="2"/>
          <c:tx>
            <c:strRef>
              <c:f>'ADP1200'!$AJ$24</c:f>
              <c:strCache>
                <c:ptCount val="1"/>
                <c:pt idx="0">
                  <c:v>sigma510</c:v>
                </c:pt>
              </c:strCache>
            </c:strRef>
          </c:tx>
          <c:spPr>
            <a:ln>
              <a:prstDash val="sysDot"/>
            </a:ln>
          </c:spPr>
          <c:marker>
            <c:spPr>
              <a:solidFill>
                <a:schemeClr val="accent3"/>
              </a:solidFill>
            </c:spPr>
          </c:marker>
          <c:xVal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'ADP1200'!$AK$24:$AN$24</c:f>
              <c:numCache>
                <c:formatCode>0.00</c:formatCode>
                <c:ptCount val="4"/>
                <c:pt idx="0">
                  <c:v>0.5774890669082392</c:v>
                </c:pt>
                <c:pt idx="1">
                  <c:v>0.62778922542236193</c:v>
                </c:pt>
                <c:pt idx="2">
                  <c:v>0.71298139768847357</c:v>
                </c:pt>
                <c:pt idx="3">
                  <c:v>0.70177945419000487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A-094D-81FB-6A69E15D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94560"/>
        <c:axId val="518097040"/>
      </c:scatterChart>
      <c:valAx>
        <c:axId val="518094560"/>
        <c:scaling>
          <c:orientation val="minMax"/>
          <c:max val="13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18097040"/>
        <c:crosses val="autoZero"/>
        <c:crossBetween val="midCat"/>
      </c:valAx>
      <c:valAx>
        <c:axId val="518097040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18094560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bccU</a:t>
            </a:r>
          </a:p>
        </c:rich>
      </c:tx>
      <c:layout>
        <c:manualLayout>
          <c:xMode val="edge"/>
          <c:yMode val="edge"/>
          <c:x val="0.48150845727617397"/>
          <c:y val="3.703703703703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'ADP1200'!$AJ$27</c:f>
              <c:strCache>
                <c:ptCount val="1"/>
                <c:pt idx="0">
                  <c:v>sigma210</c:v>
                </c:pt>
              </c:strCache>
            </c:strRef>
          </c:tx>
          <c:spPr>
            <a:effectLst/>
          </c:spPr>
          <c:marker>
            <c:spPr>
              <a:solidFill>
                <a:schemeClr val="accent1"/>
              </a:solidFill>
              <a:effectLst/>
            </c:spPr>
          </c:marker>
          <c:xVal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'ADP1200'!$AK$27:$AN$27</c:f>
              <c:numCache>
                <c:formatCode>0.00</c:formatCode>
                <c:ptCount val="4"/>
                <c:pt idx="0">
                  <c:v>0.32538164985336504</c:v>
                </c:pt>
                <c:pt idx="1">
                  <c:v>0.47340373055181895</c:v>
                </c:pt>
                <c:pt idx="2">
                  <c:v>0.55396158966096887</c:v>
                </c:pt>
                <c:pt idx="3">
                  <c:v>0.69679869063521238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4-994F-B689-7DA2CF2EE567}"/>
            </c:ext>
          </c:extLst>
        </c:ser>
        <c:ser>
          <c:idx val="1"/>
          <c:order val="1"/>
          <c:tx>
            <c:strRef>
              <c:f>'ADP1200'!$AJ$28</c:f>
              <c:strCache>
                <c:ptCount val="1"/>
                <c:pt idx="0">
                  <c:v>sigma310</c:v>
                </c:pt>
              </c:strCache>
            </c:strRef>
          </c:tx>
          <c:spPr>
            <a:ln>
              <a:prstDash val="dash"/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'ADP1200'!$AK$28:$AN$28</c:f>
              <c:numCache>
                <c:formatCode>0.00</c:formatCode>
                <c:ptCount val="4"/>
                <c:pt idx="0">
                  <c:v>0.34954032574035304</c:v>
                </c:pt>
                <c:pt idx="1">
                  <c:v>0.41052044705238649</c:v>
                </c:pt>
                <c:pt idx="2">
                  <c:v>0.42078741710482098</c:v>
                </c:pt>
                <c:pt idx="3">
                  <c:v>0.62755308502241136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4-994F-B689-7DA2CF2EE567}"/>
            </c:ext>
          </c:extLst>
        </c:ser>
        <c:ser>
          <c:idx val="2"/>
          <c:order val="2"/>
          <c:tx>
            <c:strRef>
              <c:f>'ADP1200'!$AJ$29</c:f>
              <c:strCache>
                <c:ptCount val="1"/>
                <c:pt idx="0">
                  <c:v>sigma510</c:v>
                </c:pt>
              </c:strCache>
            </c:strRef>
          </c:tx>
          <c:spPr>
            <a:ln>
              <a:prstDash val="sysDot"/>
            </a:ln>
          </c:spPr>
          <c:marker>
            <c:spPr>
              <a:solidFill>
                <a:schemeClr val="accent3"/>
              </a:solidFill>
            </c:spPr>
          </c:marker>
          <c:xVal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'ADP1200'!$AK$29:$AN$29</c:f>
              <c:numCache>
                <c:formatCode>0.00</c:formatCode>
                <c:ptCount val="4"/>
                <c:pt idx="0">
                  <c:v>0.43971289366141197</c:v>
                </c:pt>
                <c:pt idx="1">
                  <c:v>0.49137460359161345</c:v>
                </c:pt>
                <c:pt idx="2">
                  <c:v>0.54043955504228935</c:v>
                </c:pt>
                <c:pt idx="3">
                  <c:v>0.66243638221824941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4-994F-B689-7DA2CF2E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25936"/>
        <c:axId val="518128416"/>
      </c:scatterChart>
      <c:valAx>
        <c:axId val="518125936"/>
        <c:scaling>
          <c:orientation val="minMax"/>
          <c:max val="13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18128416"/>
        <c:crosses val="autoZero"/>
        <c:crossBetween val="midCat"/>
      </c:valAx>
      <c:valAx>
        <c:axId val="518128416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18125936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bccMo</a:t>
            </a:r>
          </a:p>
        </c:rich>
      </c:tx>
      <c:layout>
        <c:manualLayout>
          <c:xMode val="edge"/>
          <c:yMode val="edge"/>
          <c:x val="0.48150845727617397"/>
          <c:y val="3.703703703703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'ADP1200'!$AJ$32</c:f>
              <c:strCache>
                <c:ptCount val="1"/>
                <c:pt idx="0">
                  <c:v>sigma210</c:v>
                </c:pt>
              </c:strCache>
            </c:strRef>
          </c:tx>
          <c:spPr>
            <a:effectLst/>
          </c:spPr>
          <c:marker>
            <c:spPr>
              <a:solidFill>
                <a:schemeClr val="accent1"/>
              </a:solidFill>
              <a:effectLst/>
            </c:spPr>
          </c:marker>
          <c:xVal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'ADP1200'!$AK$32:$AN$32</c:f>
              <c:numCache>
                <c:formatCode>0.00</c:formatCode>
                <c:ptCount val="4"/>
                <c:pt idx="0">
                  <c:v>1.6172755534132368</c:v>
                </c:pt>
                <c:pt idx="1">
                  <c:v>1.6166045715023087</c:v>
                </c:pt>
                <c:pt idx="2">
                  <c:v>1.6378354198643019</c:v>
                </c:pt>
                <c:pt idx="3">
                  <c:v>1.6422828812404018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7-E645-938E-F6925AA56662}"/>
            </c:ext>
          </c:extLst>
        </c:ser>
        <c:ser>
          <c:idx val="1"/>
          <c:order val="1"/>
          <c:tx>
            <c:strRef>
              <c:f>'ADP1200'!$AJ$33</c:f>
              <c:strCache>
                <c:ptCount val="1"/>
                <c:pt idx="0">
                  <c:v>sigma310</c:v>
                </c:pt>
              </c:strCache>
            </c:strRef>
          </c:tx>
          <c:spPr>
            <a:ln>
              <a:prstDash val="dash"/>
            </a:ln>
          </c:spPr>
          <c:marker>
            <c:spPr>
              <a:solidFill>
                <a:schemeClr val="accent2"/>
              </a:solidFill>
            </c:spPr>
          </c:marker>
          <c:xVal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'ADP1200'!$AK$33:$AN$33</c:f>
              <c:numCache>
                <c:formatCode>0.00</c:formatCode>
                <c:ptCount val="4"/>
                <c:pt idx="0">
                  <c:v>1.5532530662965855</c:v>
                </c:pt>
                <c:pt idx="1">
                  <c:v>1.551869770910125</c:v>
                </c:pt>
                <c:pt idx="2">
                  <c:v>1.5676658377525972</c:v>
                </c:pt>
                <c:pt idx="3">
                  <c:v>1.5770724526863764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7-E645-938E-F6925AA56662}"/>
            </c:ext>
          </c:extLst>
        </c:ser>
        <c:ser>
          <c:idx val="2"/>
          <c:order val="2"/>
          <c:tx>
            <c:strRef>
              <c:f>'ADP1200'!$AJ$34</c:f>
              <c:strCache>
                <c:ptCount val="1"/>
                <c:pt idx="0">
                  <c:v>sigma510</c:v>
                </c:pt>
              </c:strCache>
            </c:strRef>
          </c:tx>
          <c:spPr>
            <a:ln>
              <a:prstDash val="sysDot"/>
            </a:ln>
          </c:spPr>
          <c:marker>
            <c:spPr>
              <a:solidFill>
                <a:schemeClr val="accent3"/>
              </a:solidFill>
            </c:spPr>
          </c:marker>
          <c:xVal>
            <c:numRef>
              <c:f>'ADP1200'!$AK$16:$AN$16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'ADP1200'!$AK$34:$AN$34</c:f>
              <c:numCache>
                <c:formatCode>0.00</c:formatCode>
                <c:ptCount val="4"/>
                <c:pt idx="0">
                  <c:v>1.6204119664914329</c:v>
                </c:pt>
                <c:pt idx="1">
                  <c:v>1.6229690429764296</c:v>
                </c:pt>
                <c:pt idx="2">
                  <c:v>1.633167301293085</c:v>
                </c:pt>
                <c:pt idx="3">
                  <c:v>1.6414871981148256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D7-E645-938E-F6925AA5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57312"/>
        <c:axId val="518159792"/>
      </c:scatterChart>
      <c:valAx>
        <c:axId val="518157312"/>
        <c:scaling>
          <c:orientation val="minMax"/>
          <c:max val="13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518159792"/>
        <c:crosses val="autoZero"/>
        <c:crossBetween val="midCat"/>
      </c:valAx>
      <c:valAx>
        <c:axId val="518159792"/>
        <c:scaling>
          <c:orientation val="minMax"/>
          <c:max val="2"/>
          <c:min val="1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18157312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 Mo-U</a:t>
            </a:r>
          </a:p>
        </c:rich>
      </c:tx>
      <c:layout>
        <c:manualLayout>
          <c:xMode val="edge"/>
          <c:yMode val="edge"/>
          <c:x val="0.41669364246135898"/>
          <c:y val="6.01851851851852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'ADP1200'!$AJ$32</c:f>
              <c:strCache>
                <c:ptCount val="1"/>
                <c:pt idx="0">
                  <c:v>sigma210</c:v>
                </c:pt>
              </c:strCache>
            </c:strRef>
          </c:tx>
          <c:spPr>
            <a:effectLst/>
          </c:spPr>
          <c:marker>
            <c:spPr>
              <a:solidFill>
                <a:schemeClr val="accent1"/>
              </a:solidFill>
              <a:effectLst/>
            </c:spPr>
          </c:marker>
          <c:xVal>
            <c:numRef>
              <c:f>'ADP1200'!$AK$5:$AN$5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'ADP1200'!$AK$6:$AN$6</c:f>
              <c:numCache>
                <c:formatCode>0.00</c:formatCode>
                <c:ptCount val="4"/>
                <c:pt idx="0">
                  <c:v>1.2918939035598718</c:v>
                </c:pt>
                <c:pt idx="1">
                  <c:v>1.1432008409504899</c:v>
                </c:pt>
                <c:pt idx="2">
                  <c:v>1.0838738302033331</c:v>
                </c:pt>
                <c:pt idx="3">
                  <c:v>0.9454841906051894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2-824D-BE79-905ADAE33DB3}"/>
            </c:ext>
          </c:extLst>
        </c:ser>
        <c:ser>
          <c:idx val="1"/>
          <c:order val="1"/>
          <c:tx>
            <c:strRef>
              <c:f>'ADP1200'!$AJ$33</c:f>
              <c:strCache>
                <c:ptCount val="1"/>
                <c:pt idx="0">
                  <c:v>sigma310</c:v>
                </c:pt>
              </c:strCache>
            </c:strRef>
          </c:tx>
          <c:spPr>
            <a:ln>
              <a:prstDash val="dash"/>
            </a:ln>
            <a:effectLst/>
          </c:spPr>
          <c:marker>
            <c:spPr>
              <a:solidFill>
                <a:schemeClr val="accent2"/>
              </a:solidFill>
              <a:effectLst/>
            </c:spPr>
          </c:marker>
          <c:xVal>
            <c:numRef>
              <c:f>'ADP1200'!$AK$5:$AN$5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'ADP1200'!$AK$7:$AN$7</c:f>
              <c:numCache>
                <c:formatCode>0.00</c:formatCode>
                <c:ptCount val="4"/>
                <c:pt idx="0">
                  <c:v>1.2037127405562325</c:v>
                </c:pt>
                <c:pt idx="1">
                  <c:v>1.1413493238577386</c:v>
                </c:pt>
                <c:pt idx="2">
                  <c:v>1.1468784206477762</c:v>
                </c:pt>
                <c:pt idx="3">
                  <c:v>0.94951936766396505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2-824D-BE79-905ADAE33DB3}"/>
            </c:ext>
          </c:extLst>
        </c:ser>
        <c:ser>
          <c:idx val="2"/>
          <c:order val="2"/>
          <c:tx>
            <c:strRef>
              <c:f>'ADP1200'!$AJ$34</c:f>
              <c:strCache>
                <c:ptCount val="1"/>
                <c:pt idx="0">
                  <c:v>sigma510</c:v>
                </c:pt>
              </c:strCache>
            </c:strRef>
          </c:tx>
          <c:spPr>
            <a:ln>
              <a:prstDash val="sysDot"/>
            </a:ln>
            <a:effectLst/>
          </c:spPr>
          <c:marker>
            <c:spPr>
              <a:solidFill>
                <a:schemeClr val="accent3"/>
              </a:solidFill>
              <a:effectLst/>
            </c:spPr>
          </c:marker>
          <c:xVal>
            <c:numRef>
              <c:f>'ADP1200'!$AK$5:$AN$5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'ADP1200'!$AK$8:$AN$8</c:f>
              <c:numCache>
                <c:formatCode>0.00</c:formatCode>
                <c:ptCount val="4"/>
                <c:pt idx="0">
                  <c:v>1.1806990728300208</c:v>
                </c:pt>
                <c:pt idx="1">
                  <c:v>1.1315944393848163</c:v>
                </c:pt>
                <c:pt idx="2">
                  <c:v>1.0927277462507956</c:v>
                </c:pt>
                <c:pt idx="3">
                  <c:v>0.97905081589657617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C2-824D-BE79-905ADAE33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88560"/>
        <c:axId val="518192320"/>
      </c:scatterChart>
      <c:valAx>
        <c:axId val="518188560"/>
        <c:scaling>
          <c:orientation val="minMax"/>
          <c:max val="13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192320"/>
        <c:crosses val="autoZero"/>
        <c:crossBetween val="midCat"/>
      </c:valAx>
      <c:valAx>
        <c:axId val="518192320"/>
        <c:scaling>
          <c:orientation val="minMax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18188560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63888888888888895"/>
          <c:y val="0.219675925925926"/>
          <c:w val="0.30033215675626801"/>
          <c:h val="0.250934579439252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pPr>
              <a:effectLst/>
            </c:spPr>
          </c:marker>
          <c:cat>
            <c:strRef>
              <c:f>'ADP1200'!$AA$22:$AA$24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'ADP1200'!$AD$22:$AD$24</c:f>
              <c:numCache>
                <c:formatCode>0.00</c:formatCode>
                <c:ptCount val="3"/>
                <c:pt idx="0">
                  <c:v>0.72804389975119865</c:v>
                </c:pt>
                <c:pt idx="1">
                  <c:v>0.68405492569493731</c:v>
                </c:pt>
                <c:pt idx="2">
                  <c:v>0.70177945419000487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9646-A73A-B424CB09E9E1}"/>
            </c:ext>
          </c:extLst>
        </c:ser>
        <c:ser>
          <c:idx val="1"/>
          <c:order val="1"/>
          <c:spPr>
            <a:effectLst/>
          </c:spPr>
          <c:marker>
            <c:spPr>
              <a:effectLst/>
            </c:spPr>
          </c:marker>
          <c:cat>
            <c:strRef>
              <c:f>'ADP1200'!$AA$22:$AA$24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'ADP1200'!$AB$22:$AB$24</c:f>
              <c:numCache>
                <c:formatCode>0.00</c:formatCode>
                <c:ptCount val="3"/>
                <c:pt idx="0">
                  <c:v>0.69679869063521238</c:v>
                </c:pt>
                <c:pt idx="1">
                  <c:v>0.62755308502241136</c:v>
                </c:pt>
                <c:pt idx="2">
                  <c:v>0.66243638221824941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9646-A73A-B424CB09E9E1}"/>
            </c:ext>
          </c:extLst>
        </c:ser>
        <c:ser>
          <c:idx val="2"/>
          <c:order val="2"/>
          <c:spPr>
            <a:effectLst/>
          </c:spPr>
          <c:marker>
            <c:spPr>
              <a:effectLst/>
            </c:spPr>
          </c:marker>
          <c:cat>
            <c:strRef>
              <c:f>'ADP1200'!$AA$22:$AA$24</c:f>
              <c:strCache>
                <c:ptCount val="3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</c:strCache>
            </c:strRef>
          </c:cat>
          <c:val>
            <c:numRef>
              <c:f>'ADP1200'!$AF$22:$AF$24</c:f>
              <c:numCache>
                <c:formatCode>0.00</c:formatCode>
                <c:ptCount val="3"/>
                <c:pt idx="0">
                  <c:v>1.6422828812404018</c:v>
                </c:pt>
                <c:pt idx="1">
                  <c:v>1.5770724526863764</c:v>
                </c:pt>
                <c:pt idx="2">
                  <c:v>1.6414871981148256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9646-A73A-B424CB09E9E1}"/>
            </c:ext>
          </c:extLst>
        </c:ser>
        <c:ser>
          <c:idx val="3"/>
          <c:order val="3"/>
          <c:tx>
            <c:strRef>
              <c:f>'ADP1200'!$AC$21</c:f>
              <c:strCache>
                <c:ptCount val="1"/>
                <c:pt idx="0">
                  <c:v>U5Mo</c:v>
                </c:pt>
              </c:strCache>
            </c:strRef>
          </c:tx>
          <c:val>
            <c:numRef>
              <c:f>'ADP1200'!$AC$22:$AC$24</c:f>
              <c:numCache>
                <c:formatCode>0.00</c:formatCode>
                <c:ptCount val="3"/>
                <c:pt idx="0">
                  <c:v>0.78400069576573173</c:v>
                </c:pt>
                <c:pt idx="1">
                  <c:v>0.76259969222103208</c:v>
                </c:pt>
                <c:pt idx="2">
                  <c:v>0.71690160520446167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5-9646-A73A-B424CB09E9E1}"/>
            </c:ext>
          </c:extLst>
        </c:ser>
        <c:ser>
          <c:idx val="4"/>
          <c:order val="4"/>
          <c:tx>
            <c:strRef>
              <c:f>'ADP1200'!$AE$21</c:f>
              <c:strCache>
                <c:ptCount val="1"/>
                <c:pt idx="0">
                  <c:v>U15Mo</c:v>
                </c:pt>
              </c:strCache>
            </c:strRef>
          </c:tx>
          <c:val>
            <c:numRef>
              <c:f>'ADP1200'!$AE$22:$AE$24</c:f>
              <c:numCache>
                <c:formatCode>0.00</c:formatCode>
                <c:ptCount val="3"/>
                <c:pt idx="0">
                  <c:v>0.7294987398861813</c:v>
                </c:pt>
                <c:pt idx="1">
                  <c:v>0.77605693616979332</c:v>
                </c:pt>
                <c:pt idx="2">
                  <c:v>0.63387897756503198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5-9646-A73A-B424CB09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30432"/>
        <c:axId val="518233184"/>
      </c:lineChart>
      <c:catAx>
        <c:axId val="51823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33184"/>
        <c:crosses val="autoZero"/>
        <c:auto val="1"/>
        <c:lblAlgn val="ctr"/>
        <c:lblOffset val="100"/>
        <c:noMultiLvlLbl val="0"/>
      </c:catAx>
      <c:valAx>
        <c:axId val="518233184"/>
        <c:scaling>
          <c:orientation val="minMax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 Energy (J/m^2)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1823043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210</c:v>
          </c:tx>
          <c:cat>
            <c:strRef>
              <c:f>'ADP1200'!$AB$21:$AF$21</c:f>
              <c:strCache>
                <c:ptCount val="5"/>
                <c:pt idx="0">
                  <c:v>bccU</c:v>
                </c:pt>
                <c:pt idx="1">
                  <c:v>U5Mo</c:v>
                </c:pt>
                <c:pt idx="2">
                  <c:v>U10Mo</c:v>
                </c:pt>
                <c:pt idx="3">
                  <c:v>U15Mo</c:v>
                </c:pt>
                <c:pt idx="4">
                  <c:v>bccMo</c:v>
                </c:pt>
              </c:strCache>
            </c:strRef>
          </c:cat>
          <c:val>
            <c:numRef>
              <c:f>'ADP1200'!$AB$22:$AF$22</c:f>
              <c:numCache>
                <c:formatCode>0.00</c:formatCode>
                <c:ptCount val="5"/>
                <c:pt idx="0">
                  <c:v>0.69679869063521238</c:v>
                </c:pt>
                <c:pt idx="1">
                  <c:v>0.78400069576573173</c:v>
                </c:pt>
                <c:pt idx="2">
                  <c:v>0.72804389975119865</c:v>
                </c:pt>
                <c:pt idx="3">
                  <c:v>0.7294987398861813</c:v>
                </c:pt>
                <c:pt idx="4">
                  <c:v>1.6422828812404018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2-E149-8BC5-EC4DC98F4570}"/>
            </c:ext>
          </c:extLst>
        </c:ser>
        <c:ser>
          <c:idx val="1"/>
          <c:order val="1"/>
          <c:tx>
            <c:v>310</c:v>
          </c:tx>
          <c:spPr>
            <a:effectLst/>
          </c:spPr>
          <c:marker>
            <c:spPr>
              <a:effectLst/>
            </c:spPr>
          </c:marker>
          <c:cat>
            <c:strRef>
              <c:f>'ADP1200'!$AB$21:$AF$21</c:f>
              <c:strCache>
                <c:ptCount val="5"/>
                <c:pt idx="0">
                  <c:v>bccU</c:v>
                </c:pt>
                <c:pt idx="1">
                  <c:v>U5Mo</c:v>
                </c:pt>
                <c:pt idx="2">
                  <c:v>U10Mo</c:v>
                </c:pt>
                <c:pt idx="3">
                  <c:v>U15Mo</c:v>
                </c:pt>
                <c:pt idx="4">
                  <c:v>bccMo</c:v>
                </c:pt>
              </c:strCache>
            </c:strRef>
          </c:cat>
          <c:val>
            <c:numRef>
              <c:f>'ADP1200'!$AB$23:$AF$23</c:f>
              <c:numCache>
                <c:formatCode>0.00</c:formatCode>
                <c:ptCount val="5"/>
                <c:pt idx="0">
                  <c:v>0.62755308502241136</c:v>
                </c:pt>
                <c:pt idx="1">
                  <c:v>0.76259969222103208</c:v>
                </c:pt>
                <c:pt idx="2">
                  <c:v>0.68405492569493731</c:v>
                </c:pt>
                <c:pt idx="3">
                  <c:v>0.77605693616979332</c:v>
                </c:pt>
                <c:pt idx="4">
                  <c:v>1.5770724526863764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2-E149-8BC5-EC4DC98F4570}"/>
            </c:ext>
          </c:extLst>
        </c:ser>
        <c:ser>
          <c:idx val="2"/>
          <c:order val="2"/>
          <c:tx>
            <c:v>510</c:v>
          </c:tx>
          <c:spPr>
            <a:effectLst/>
          </c:spPr>
          <c:marker>
            <c:spPr>
              <a:effectLst/>
            </c:spPr>
          </c:marker>
          <c:cat>
            <c:strRef>
              <c:f>'ADP1200'!$AB$21:$AF$21</c:f>
              <c:strCache>
                <c:ptCount val="5"/>
                <c:pt idx="0">
                  <c:v>bccU</c:v>
                </c:pt>
                <c:pt idx="1">
                  <c:v>U5Mo</c:v>
                </c:pt>
                <c:pt idx="2">
                  <c:v>U10Mo</c:v>
                </c:pt>
                <c:pt idx="3">
                  <c:v>U15Mo</c:v>
                </c:pt>
                <c:pt idx="4">
                  <c:v>bccMo</c:v>
                </c:pt>
              </c:strCache>
            </c:strRef>
          </c:cat>
          <c:val>
            <c:numRef>
              <c:f>'ADP1200'!$AB$24:$AF$24</c:f>
              <c:numCache>
                <c:formatCode>0.00</c:formatCode>
                <c:ptCount val="5"/>
                <c:pt idx="0">
                  <c:v>0.66243638221824941</c:v>
                </c:pt>
                <c:pt idx="1">
                  <c:v>0.71690160520446167</c:v>
                </c:pt>
                <c:pt idx="2">
                  <c:v>0.70177945419000487</c:v>
                </c:pt>
                <c:pt idx="3">
                  <c:v>0.63387897756503198</c:v>
                </c:pt>
                <c:pt idx="4">
                  <c:v>1.6414871981148256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2-E149-8BC5-EC4DC98F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60752"/>
        <c:axId val="518264512"/>
      </c:lineChart>
      <c:catAx>
        <c:axId val="5182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Composition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8264512"/>
        <c:crosses val="autoZero"/>
        <c:auto val="1"/>
        <c:lblAlgn val="ctr"/>
        <c:lblOffset val="100"/>
        <c:noMultiLvlLbl val="0"/>
      </c:catAx>
      <c:valAx>
        <c:axId val="518264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Grain Boundary Energy (J/m^2)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18260752"/>
        <c:crosses val="autoZero"/>
        <c:crossBetween val="between"/>
        <c:majorUnit val="0.5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3103448275862101"/>
          <c:y val="9.6483449277578195E-2"/>
          <c:w val="0.16666666666666699"/>
          <c:h val="0.24861111111111101"/>
        </c:manualLayout>
      </c:layout>
      <c:overlay val="1"/>
    </c:legend>
    <c:plotVisOnly val="1"/>
    <c:dispBlanksAs val="gap"/>
    <c:showDLblsOverMax val="0"/>
  </c:chart>
  <c:spPr>
    <a:ln>
      <a:noFill/>
    </a:ln>
    <a:effectLst/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210</c:v>
          </c:tx>
          <c:cat>
            <c:strRef>
              <c:f>'ADP1200'!$AB$21:$AF$21</c:f>
              <c:strCache>
                <c:ptCount val="5"/>
                <c:pt idx="0">
                  <c:v>bccU</c:v>
                </c:pt>
                <c:pt idx="1">
                  <c:v>U5Mo</c:v>
                </c:pt>
                <c:pt idx="2">
                  <c:v>U10Mo</c:v>
                </c:pt>
                <c:pt idx="3">
                  <c:v>U15Mo</c:v>
                </c:pt>
                <c:pt idx="4">
                  <c:v>bccMo</c:v>
                </c:pt>
              </c:strCache>
            </c:strRef>
          </c:cat>
          <c:val>
            <c:numRef>
              <c:f>'ADP1200'!$AB$35:$AF$35</c:f>
              <c:numCache>
                <c:formatCode>0.00</c:formatCode>
                <c:ptCount val="5"/>
                <c:pt idx="0">
                  <c:v>0.47340373055181895</c:v>
                </c:pt>
                <c:pt idx="1">
                  <c:v>0.49852866337781815</c:v>
                </c:pt>
                <c:pt idx="2">
                  <c:v>0.58278863997256292</c:v>
                </c:pt>
                <c:pt idx="3">
                  <c:v>0.65729557958148088</c:v>
                </c:pt>
                <c:pt idx="4">
                  <c:v>1.6166045715023087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3-EC4E-AC76-67F724A25724}"/>
            </c:ext>
          </c:extLst>
        </c:ser>
        <c:ser>
          <c:idx val="1"/>
          <c:order val="1"/>
          <c:tx>
            <c:v>310</c:v>
          </c:tx>
          <c:spPr>
            <a:effectLst/>
          </c:spPr>
          <c:marker>
            <c:spPr>
              <a:effectLst/>
            </c:spPr>
          </c:marker>
          <c:cat>
            <c:strRef>
              <c:f>'ADP1200'!$AB$21:$AF$21</c:f>
              <c:strCache>
                <c:ptCount val="5"/>
                <c:pt idx="0">
                  <c:v>bccU</c:v>
                </c:pt>
                <c:pt idx="1">
                  <c:v>U5Mo</c:v>
                </c:pt>
                <c:pt idx="2">
                  <c:v>U10Mo</c:v>
                </c:pt>
                <c:pt idx="3">
                  <c:v>U15Mo</c:v>
                </c:pt>
                <c:pt idx="4">
                  <c:v>bccMo</c:v>
                </c:pt>
              </c:strCache>
            </c:strRef>
          </c:cat>
          <c:val>
            <c:numRef>
              <c:f>'ADP1200'!$AB$36:$AF$36</c:f>
              <c:numCache>
                <c:formatCode>0.00</c:formatCode>
                <c:ptCount val="5"/>
                <c:pt idx="0">
                  <c:v>0.41052044705238649</c:v>
                </c:pt>
                <c:pt idx="1">
                  <c:v>0.48026505917896667</c:v>
                </c:pt>
                <c:pt idx="2">
                  <c:v>0.56793755941912116</c:v>
                </c:pt>
                <c:pt idx="3">
                  <c:v>0.67232401454996626</c:v>
                </c:pt>
                <c:pt idx="4">
                  <c:v>1.551869770910125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3-EC4E-AC76-67F724A25724}"/>
            </c:ext>
          </c:extLst>
        </c:ser>
        <c:ser>
          <c:idx val="2"/>
          <c:order val="2"/>
          <c:tx>
            <c:v>510</c:v>
          </c:tx>
          <c:spPr>
            <a:effectLst/>
          </c:spPr>
          <c:marker>
            <c:spPr>
              <a:effectLst/>
            </c:spPr>
          </c:marker>
          <c:cat>
            <c:strRef>
              <c:f>'ADP1200'!$AB$21:$AF$21</c:f>
              <c:strCache>
                <c:ptCount val="5"/>
                <c:pt idx="0">
                  <c:v>bccU</c:v>
                </c:pt>
                <c:pt idx="1">
                  <c:v>U5Mo</c:v>
                </c:pt>
                <c:pt idx="2">
                  <c:v>U10Mo</c:v>
                </c:pt>
                <c:pt idx="3">
                  <c:v>U15Mo</c:v>
                </c:pt>
                <c:pt idx="4">
                  <c:v>bccMo</c:v>
                </c:pt>
              </c:strCache>
            </c:strRef>
          </c:cat>
          <c:val>
            <c:numRef>
              <c:f>'ADP1200'!$AB$37:$AF$37</c:f>
              <c:numCache>
                <c:formatCode>0.00</c:formatCode>
                <c:ptCount val="5"/>
                <c:pt idx="0">
                  <c:v>0.49137460359161345</c:v>
                </c:pt>
                <c:pt idx="1">
                  <c:v>0.50353216159751357</c:v>
                </c:pt>
                <c:pt idx="2">
                  <c:v>0.62778922542236193</c:v>
                </c:pt>
                <c:pt idx="3">
                  <c:v>0.64231566195298329</c:v>
                </c:pt>
                <c:pt idx="4">
                  <c:v>1.6229690429764296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3-EC4E-AC76-67F724A25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93248"/>
        <c:axId val="518297008"/>
      </c:lineChart>
      <c:catAx>
        <c:axId val="518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Composition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8297008"/>
        <c:crosses val="autoZero"/>
        <c:auto val="1"/>
        <c:lblAlgn val="ctr"/>
        <c:lblOffset val="100"/>
        <c:noMultiLvlLbl val="0"/>
      </c:catAx>
      <c:valAx>
        <c:axId val="51829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Grain Boundary Energy (J/m^2)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18293248"/>
        <c:crosses val="autoZero"/>
        <c:crossBetween val="between"/>
        <c:majorUnit val="0.5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3103448275862101"/>
          <c:y val="9.6483449277578195E-2"/>
          <c:w val="0.16666666666666699"/>
          <c:h val="0.24861111111111101"/>
        </c:manualLayout>
      </c:layout>
      <c:overlay val="1"/>
    </c:legend>
    <c:plotVisOnly val="1"/>
    <c:dispBlanksAs val="gap"/>
    <c:showDLblsOverMax val="0"/>
  </c:chart>
  <c:spPr>
    <a:ln>
      <a:noFill/>
    </a:ln>
    <a:effectLst/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210</c:v>
          </c:tx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'ADP1200'!$AS$96:$AV$96</c:f>
              <c:numCache>
                <c:formatCode>0.00</c:formatCode>
                <c:ptCount val="4"/>
                <c:pt idx="0">
                  <c:v>1.4993004371111849</c:v>
                </c:pt>
                <c:pt idx="1">
                  <c:v>1.5517365761252533</c:v>
                </c:pt>
                <c:pt idx="2">
                  <c:v>1.5786790405602635</c:v>
                </c:pt>
                <c:pt idx="3">
                  <c:v>1.6581960805676403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5-534A-A1E9-08DD501399F9}"/>
            </c:ext>
          </c:extLst>
        </c:ser>
        <c:ser>
          <c:idx val="1"/>
          <c:order val="1"/>
          <c:tx>
            <c:v>310</c:v>
          </c:tx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'ADP1200'!$AS$97:$AV$97</c:f>
              <c:numCache>
                <c:formatCode>0.00</c:formatCode>
                <c:ptCount val="4"/>
                <c:pt idx="0">
                  <c:v>1.5471450600185022</c:v>
                </c:pt>
                <c:pt idx="1">
                  <c:v>1.6047990747544656</c:v>
                </c:pt>
                <c:pt idx="2">
                  <c:v>1.6291617569961918</c:v>
                </c:pt>
                <c:pt idx="3">
                  <c:v>1.7108313110528901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5-534A-A1E9-08DD501399F9}"/>
            </c:ext>
          </c:extLst>
        </c:ser>
        <c:ser>
          <c:idx val="2"/>
          <c:order val="2"/>
          <c:tx>
            <c:v>510</c:v>
          </c:tx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'ADP1200'!$AS$98:$AV$98</c:f>
              <c:numCache>
                <c:formatCode>0.00</c:formatCode>
                <c:ptCount val="4"/>
                <c:pt idx="0">
                  <c:v>1.5729436463655997</c:v>
                </c:pt>
                <c:pt idx="1">
                  <c:v>1.5901741775817031</c:v>
                </c:pt>
                <c:pt idx="2">
                  <c:v>1.6381693528636905</c:v>
                </c:pt>
                <c:pt idx="3">
                  <c:v>1.6867636361711278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5-534A-A1E9-08DD501399F9}"/>
            </c:ext>
          </c:extLst>
        </c:ser>
        <c:ser>
          <c:idx val="3"/>
          <c:order val="3"/>
          <c:tx>
            <c:v>100</c:v>
          </c:tx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'ADP1200'!$AS$99:$AV$99</c:f>
              <c:numCache>
                <c:formatCode>0.00</c:formatCode>
                <c:ptCount val="4"/>
                <c:pt idx="0">
                  <c:v>1.4824809264786118</c:v>
                </c:pt>
                <c:pt idx="1">
                  <c:v>1.5576808499878863</c:v>
                </c:pt>
                <c:pt idx="2">
                  <c:v>1.6310236390185324</c:v>
                </c:pt>
                <c:pt idx="3">
                  <c:v>1.6911314887609048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5-534A-A1E9-08DD501399F9}"/>
            </c:ext>
          </c:extLst>
        </c:ser>
        <c:ser>
          <c:idx val="4"/>
          <c:order val="4"/>
          <c:tx>
            <c:v>110</c:v>
          </c:tx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'ADP1200'!$AS$100:$AV$100</c:f>
              <c:numCache>
                <c:formatCode>0.00</c:formatCode>
                <c:ptCount val="4"/>
                <c:pt idx="0">
                  <c:v>1.3262243291014431</c:v>
                </c:pt>
                <c:pt idx="1">
                  <c:v>1.3836882189355035</c:v>
                </c:pt>
                <c:pt idx="2">
                  <c:v>1.4102972150311224</c:v>
                </c:pt>
                <c:pt idx="3">
                  <c:v>1.4371460178335993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F5-534A-A1E9-08DD501399F9}"/>
            </c:ext>
          </c:extLst>
        </c:ser>
        <c:ser>
          <c:idx val="5"/>
          <c:order val="5"/>
          <c:tx>
            <c:v>111</c:v>
          </c:tx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'ADP1200'!$AS$101:$AV$101</c:f>
              <c:numCache>
                <c:formatCode>0.00</c:formatCode>
                <c:ptCount val="4"/>
                <c:pt idx="0">
                  <c:v>1.5983876027380637</c:v>
                </c:pt>
                <c:pt idx="1">
                  <c:v>1.6267068610608917</c:v>
                </c:pt>
                <c:pt idx="2">
                  <c:v>1.6267007624755312</c:v>
                </c:pt>
                <c:pt idx="3">
                  <c:v>1.7373124077172879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F5-534A-A1E9-08DD5013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36704"/>
        <c:axId val="518339456"/>
      </c:scatterChart>
      <c:valAx>
        <c:axId val="518336704"/>
        <c:scaling>
          <c:orientation val="minMax"/>
          <c:max val="13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518339456"/>
        <c:crosses val="autoZero"/>
        <c:crossBetween val="midCat"/>
      </c:valAx>
      <c:valAx>
        <c:axId val="518339456"/>
        <c:scaling>
          <c:orientation val="minMax"/>
          <c:min val="1"/>
        </c:scaling>
        <c:delete val="0"/>
        <c:axPos val="l"/>
        <c:numFmt formatCode="0.00" sourceLinked="1"/>
        <c:majorTickMark val="out"/>
        <c:minorTickMark val="none"/>
        <c:tickLblPos val="nextTo"/>
        <c:crossAx val="51833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'ADP1200'!$AS$104:$AV$104</c:f>
              <c:numCache>
                <c:formatCode>0.00</c:formatCode>
                <c:ptCount val="4"/>
                <c:pt idx="0" formatCode="General">
                  <c:v>1.3126404277547192</c:v>
                </c:pt>
                <c:pt idx="1">
                  <c:v>1.3551293018678674</c:v>
                </c:pt>
                <c:pt idx="2">
                  <c:v>1.3953963821522279</c:v>
                </c:pt>
                <c:pt idx="3">
                  <c:v>1.4904017300742587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0-A64F-AC15-A11B4E772BDC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'ADP1200'!$AS$105:$AV$105</c:f>
              <c:numCache>
                <c:formatCode>0.00</c:formatCode>
                <c:ptCount val="4"/>
                <c:pt idx="0" formatCode="General">
                  <c:v>1.327620068192124</c:v>
                </c:pt>
                <c:pt idx="1">
                  <c:v>1.3993741155229351</c:v>
                </c:pt>
                <c:pt idx="2">
                  <c:v>1.4347956274039948</c:v>
                </c:pt>
                <c:pt idx="3">
                  <c:v>1.5414063194245986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0-A64F-AC15-A11B4E772BDC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'ADP1200'!$AS$106:$AV$106</c:f>
              <c:numCache>
                <c:formatCode>0.00</c:formatCode>
                <c:ptCount val="4"/>
                <c:pt idx="0" formatCode="General">
                  <c:v>1.2829504885030727</c:v>
                </c:pt>
                <c:pt idx="1">
                  <c:v>1.396585815337831</c:v>
                </c:pt>
                <c:pt idx="2">
                  <c:v>1.428170538221702</c:v>
                </c:pt>
                <c:pt idx="3">
                  <c:v>1.4949747194061678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10-A64F-AC15-A11B4E772BDC}"/>
            </c:ext>
          </c:extLst>
        </c:ser>
        <c:ser>
          <c:idx val="3"/>
          <c:order val="3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'ADP1200'!$AS$107:$AV$107</c:f>
              <c:numCache>
                <c:formatCode>0.00</c:formatCode>
                <c:ptCount val="4"/>
                <c:pt idx="0" formatCode="General">
                  <c:v>1.3119524471317674</c:v>
                </c:pt>
                <c:pt idx="1">
                  <c:v>1.3723273572618797</c:v>
                </c:pt>
                <c:pt idx="2">
                  <c:v>1.4198243354886204</c:v>
                </c:pt>
                <c:pt idx="3">
                  <c:v>1.4856511459398227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10-A64F-AC15-A11B4E772BDC}"/>
            </c:ext>
          </c:extLst>
        </c:ser>
        <c:ser>
          <c:idx val="4"/>
          <c:order val="4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'ADP1200'!$AS$108:$AV$108</c:f>
              <c:numCache>
                <c:formatCode>0.00</c:formatCode>
                <c:ptCount val="4"/>
                <c:pt idx="0" formatCode="General">
                  <c:v>1.1347329507934907</c:v>
                </c:pt>
                <c:pt idx="1">
                  <c:v>1.1957221152043118</c:v>
                </c:pt>
                <c:pt idx="2">
                  <c:v>1.2272323356642059</c:v>
                </c:pt>
                <c:pt idx="3">
                  <c:v>1.2764058514230894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10-A64F-AC15-A11B4E772BDC}"/>
            </c:ext>
          </c:extLst>
        </c:ser>
        <c:ser>
          <c:idx val="5"/>
          <c:order val="5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'ADP1200'!$AS$109:$AV$109</c:f>
              <c:numCache>
                <c:formatCode>0.00</c:formatCode>
                <c:ptCount val="4"/>
                <c:pt idx="0" formatCode="General">
                  <c:v>1.3813900742822482</c:v>
                </c:pt>
                <c:pt idx="1">
                  <c:v>1.4026508077284316</c:v>
                </c:pt>
                <c:pt idx="2">
                  <c:v>1.4618044491539786</c:v>
                </c:pt>
                <c:pt idx="3">
                  <c:v>1.5499752456935476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10-A64F-AC15-A11B4E77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74256"/>
        <c:axId val="518377008"/>
      </c:scatterChart>
      <c:valAx>
        <c:axId val="518374256"/>
        <c:scaling>
          <c:orientation val="minMax"/>
          <c:max val="13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518377008"/>
        <c:crosses val="autoZero"/>
        <c:crossBetween val="midCat"/>
      </c:valAx>
      <c:valAx>
        <c:axId val="518377008"/>
        <c:scaling>
          <c:orientation val="minMax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51837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'ADP1200'!$AS$120:$AV$120</c:f>
              <c:numCache>
                <c:formatCode>0.00</c:formatCode>
                <c:ptCount val="4"/>
                <c:pt idx="0">
                  <c:v>1.1417847241190653</c:v>
                </c:pt>
                <c:pt idx="1">
                  <c:v>1.2121254441008973</c:v>
                </c:pt>
                <c:pt idx="2">
                  <c:v>1.2383491451758224</c:v>
                </c:pt>
                <c:pt idx="3">
                  <c:v>1.3123225079497538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C-404F-94B5-6B18D1F108C6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'ADP1200'!$AS$121:$AV$121</c:f>
              <c:numCache>
                <c:formatCode>0.00</c:formatCode>
                <c:ptCount val="4"/>
                <c:pt idx="0">
                  <c:v>1.1807320121333085</c:v>
                </c:pt>
                <c:pt idx="1">
                  <c:v>1.2207595440044074</c:v>
                </c:pt>
                <c:pt idx="2">
                  <c:v>1.2661057820168231</c:v>
                </c:pt>
                <c:pt idx="3">
                  <c:v>1.4054753903948574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C-404F-94B5-6B18D1F108C6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'ADP1200'!$AS$122:$AV$122</c:f>
              <c:numCache>
                <c:formatCode>0.00</c:formatCode>
                <c:ptCount val="4"/>
                <c:pt idx="0">
                  <c:v>1.1877466988904259</c:v>
                </c:pt>
                <c:pt idx="1">
                  <c:v>1.2532842134072641</c:v>
                </c:pt>
                <c:pt idx="2">
                  <c:v>1.2851510516876756</c:v>
                </c:pt>
                <c:pt idx="3">
                  <c:v>1.3718581682805524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C-404F-94B5-6B18D1F108C6}"/>
            </c:ext>
          </c:extLst>
        </c:ser>
        <c:ser>
          <c:idx val="3"/>
          <c:order val="3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'ADP1200'!$AS$123:$AV$123</c:f>
              <c:numCache>
                <c:formatCode>0.00</c:formatCode>
                <c:ptCount val="4"/>
                <c:pt idx="0">
                  <c:v>1.1490538956680909</c:v>
                </c:pt>
                <c:pt idx="1">
                  <c:v>1.2325829072111127</c:v>
                </c:pt>
                <c:pt idx="2">
                  <c:v>1.308266323894304</c:v>
                </c:pt>
                <c:pt idx="3">
                  <c:v>1.4710324200061364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C-404F-94B5-6B18D1F108C6}"/>
            </c:ext>
          </c:extLst>
        </c:ser>
        <c:ser>
          <c:idx val="4"/>
          <c:order val="4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'ADP1200'!$AS$124:$AV$124</c:f>
              <c:numCache>
                <c:formatCode>0.00</c:formatCode>
                <c:ptCount val="4"/>
                <c:pt idx="0">
                  <c:v>1.0323195233449924</c:v>
                </c:pt>
                <c:pt idx="1">
                  <c:v>1.0584171184492379</c:v>
                </c:pt>
                <c:pt idx="2">
                  <c:v>1.0736883313771581</c:v>
                </c:pt>
                <c:pt idx="3">
                  <c:v>1.1585881257158659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DC-404F-94B5-6B18D1F108C6}"/>
            </c:ext>
          </c:extLst>
        </c:ser>
        <c:ser>
          <c:idx val="5"/>
          <c:order val="5"/>
          <c:spPr>
            <a:ln w="47625">
              <a:noFill/>
            </a:ln>
          </c:spPr>
          <c:xVal>
            <c:numRef>
              <c:f>'ADP1200'!$AS$95:$AV$95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'ADP1200'!$AS$125:$AV$125</c:f>
              <c:numCache>
                <c:formatCode>0.00</c:formatCode>
                <c:ptCount val="4"/>
                <c:pt idx="0">
                  <c:v>1.2081286544086183</c:v>
                </c:pt>
                <c:pt idx="1">
                  <c:v>1.2445777221215129</c:v>
                </c:pt>
                <c:pt idx="2">
                  <c:v>1.2806942855155452</c:v>
                </c:pt>
                <c:pt idx="3">
                  <c:v>1.4301299924612976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DC-404F-94B5-6B18D1F1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11808"/>
        <c:axId val="518414560"/>
      </c:scatterChart>
      <c:valAx>
        <c:axId val="518411808"/>
        <c:scaling>
          <c:orientation val="minMax"/>
          <c:max val="13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518414560"/>
        <c:crosses val="autoZero"/>
        <c:crossBetween val="midCat"/>
      </c:valAx>
      <c:valAx>
        <c:axId val="518414560"/>
        <c:scaling>
          <c:orientation val="minMax"/>
          <c:min val="1"/>
        </c:scaling>
        <c:delete val="0"/>
        <c:axPos val="l"/>
        <c:numFmt formatCode="0.00" sourceLinked="1"/>
        <c:majorTickMark val="out"/>
        <c:minorTickMark val="none"/>
        <c:tickLblPos val="nextTo"/>
        <c:crossAx val="51841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cat>
            <c:strRef>
              <c:f>'ADP500'!$AG$42:$AG$47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'ADP500'!$AH$42:$AH$47</c:f>
              <c:numCache>
                <c:formatCode>General</c:formatCode>
                <c:ptCount val="6"/>
                <c:pt idx="0">
                  <c:v>1.4891655902649279</c:v>
                </c:pt>
                <c:pt idx="1">
                  <c:v>1.5245619914802848</c:v>
                </c:pt>
                <c:pt idx="2">
                  <c:v>1.5551744218122761</c:v>
                </c:pt>
                <c:pt idx="3">
                  <c:v>1.4749953008223016</c:v>
                </c:pt>
                <c:pt idx="4">
                  <c:v>1.530252219114931</c:v>
                </c:pt>
                <c:pt idx="5">
                  <c:v>1.5931138135406762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7-8D48-9E6C-FD3318CB7B91}"/>
            </c:ext>
          </c:extLst>
        </c:ser>
        <c:ser>
          <c:idx val="1"/>
          <c:order val="1"/>
          <c:tx>
            <c:v>bccU</c:v>
          </c:tx>
          <c:cat>
            <c:strRef>
              <c:f>'ADP500'!$AG$42:$AG$47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'ADP500'!$AI$42:$AI$47</c:f>
              <c:numCache>
                <c:formatCode>General</c:formatCode>
                <c:ptCount val="6"/>
                <c:pt idx="0">
                  <c:v>1.0668706217265669</c:v>
                </c:pt>
                <c:pt idx="1">
                  <c:v>1.1455503149188069</c:v>
                </c:pt>
                <c:pt idx="2">
                  <c:v>1.1262821515018433</c:v>
                </c:pt>
                <c:pt idx="5">
                  <c:v>1.2032963063395159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7-8D48-9E6C-FD3318CB7B91}"/>
            </c:ext>
          </c:extLst>
        </c:ser>
        <c:ser>
          <c:idx val="2"/>
          <c:order val="2"/>
          <c:tx>
            <c:v>bccMo</c:v>
          </c:tx>
          <c:cat>
            <c:strRef>
              <c:f>'ADP500'!$AG$42:$AG$47</c:f>
              <c:strCache>
                <c:ptCount val="6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100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'ADP500'!$AJ$42:$AJ$47</c:f>
              <c:numCache>
                <c:formatCode>General</c:formatCode>
                <c:ptCount val="6"/>
                <c:pt idx="0">
                  <c:v>4.7616345139510194</c:v>
                </c:pt>
                <c:pt idx="1">
                  <c:v>4.8121465670553381</c:v>
                </c:pt>
                <c:pt idx="2">
                  <c:v>4.8415910315349109</c:v>
                </c:pt>
                <c:pt idx="3">
                  <c:v>4.8426155432711706</c:v>
                </c:pt>
                <c:pt idx="4">
                  <c:v>4.8448430645972014</c:v>
                </c:pt>
                <c:pt idx="5">
                  <c:v>4.9725269095211058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7-8D48-9E6C-FD3318CB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50432"/>
        <c:axId val="484652752"/>
      </c:lineChart>
      <c:catAx>
        <c:axId val="4846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652752"/>
        <c:crosses val="autoZero"/>
        <c:auto val="1"/>
        <c:lblAlgn val="ctr"/>
        <c:lblOffset val="100"/>
        <c:noMultiLvlLbl val="0"/>
      </c:catAx>
      <c:valAx>
        <c:axId val="48465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46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U5MoADP!$H$57:$H$66</c:f>
              <c:numCache>
                <c:formatCode>General</c:formatCode>
                <c:ptCount val="10"/>
                <c:pt idx="0">
                  <c:v>0.111</c:v>
                </c:pt>
                <c:pt idx="1">
                  <c:v>0.113</c:v>
                </c:pt>
                <c:pt idx="2">
                  <c:v>0.12</c:v>
                </c:pt>
                <c:pt idx="3">
                  <c:v>0.1255</c:v>
                </c:pt>
                <c:pt idx="4">
                  <c:v>0.1125</c:v>
                </c:pt>
                <c:pt idx="5">
                  <c:v>0.1135</c:v>
                </c:pt>
                <c:pt idx="6">
                  <c:v>0.13750000000000001</c:v>
                </c:pt>
                <c:pt idx="7">
                  <c:v>0.11650000000000001</c:v>
                </c:pt>
                <c:pt idx="8">
                  <c:v>0.1145</c:v>
                </c:pt>
                <c:pt idx="9">
                  <c:v>0.11700000000000001</c:v>
                </c:pt>
              </c:numCache>
            </c:numRef>
          </c:xVal>
          <c:yVal>
            <c:numRef>
              <c:f>U5MoADP!$D$57:$D$66</c:f>
              <c:numCache>
                <c:formatCode>General</c:formatCode>
                <c:ptCount val="10"/>
                <c:pt idx="0">
                  <c:v>-4.3969790609999997</c:v>
                </c:pt>
                <c:pt idx="1">
                  <c:v>-4.4016877384999997</c:v>
                </c:pt>
                <c:pt idx="2">
                  <c:v>-4.4194760144999998</c:v>
                </c:pt>
                <c:pt idx="3">
                  <c:v>-4.4336786049999999</c:v>
                </c:pt>
                <c:pt idx="4">
                  <c:v>-4.4002674595000002</c:v>
                </c:pt>
                <c:pt idx="5">
                  <c:v>-4.4023584924999994</c:v>
                </c:pt>
                <c:pt idx="6">
                  <c:v>-4.4643739914999996</c:v>
                </c:pt>
                <c:pt idx="7">
                  <c:v>-4.4105503934999994</c:v>
                </c:pt>
                <c:pt idx="8">
                  <c:v>-4.4055888090000002</c:v>
                </c:pt>
                <c:pt idx="9">
                  <c:v>-4.4111938999999998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6-4946-8F9C-1F1855FA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57136"/>
        <c:axId val="715559456"/>
      </c:scatterChart>
      <c:valAx>
        <c:axId val="715557136"/>
        <c:scaling>
          <c:orientation val="minMax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715559456"/>
        <c:crosses val="autoZero"/>
        <c:crossBetween val="midCat"/>
      </c:valAx>
      <c:valAx>
        <c:axId val="71555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555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U5MoADP!$H$21:$H$30</c:f>
              <c:numCache>
                <c:formatCode>General</c:formatCode>
                <c:ptCount val="10"/>
                <c:pt idx="0">
                  <c:v>0.1115</c:v>
                </c:pt>
                <c:pt idx="1">
                  <c:v>0.1135</c:v>
                </c:pt>
                <c:pt idx="2">
                  <c:v>0.11700000000000001</c:v>
                </c:pt>
                <c:pt idx="3">
                  <c:v>0.11899999999999999</c:v>
                </c:pt>
                <c:pt idx="4">
                  <c:v>0.11849999999999999</c:v>
                </c:pt>
                <c:pt idx="5">
                  <c:v>0.1115</c:v>
                </c:pt>
                <c:pt idx="6">
                  <c:v>0.13950000000000001</c:v>
                </c:pt>
                <c:pt idx="7">
                  <c:v>0.1115</c:v>
                </c:pt>
                <c:pt idx="8">
                  <c:v>0.12</c:v>
                </c:pt>
                <c:pt idx="9">
                  <c:v>0.109</c:v>
                </c:pt>
              </c:numCache>
            </c:numRef>
          </c:xVal>
          <c:yVal>
            <c:numRef>
              <c:f>U5MoADP!$D$21:$D$30</c:f>
              <c:numCache>
                <c:formatCode>General</c:formatCode>
                <c:ptCount val="10"/>
                <c:pt idx="0">
                  <c:v>-4.34616706</c:v>
                </c:pt>
                <c:pt idx="1">
                  <c:v>-4.3517363500000004</c:v>
                </c:pt>
                <c:pt idx="2">
                  <c:v>-4.3605100650000006</c:v>
                </c:pt>
                <c:pt idx="3">
                  <c:v>-4.3646918650000002</c:v>
                </c:pt>
                <c:pt idx="4">
                  <c:v>-4.3637717499999997</c:v>
                </c:pt>
                <c:pt idx="5">
                  <c:v>-4.3470588320000001</c:v>
                </c:pt>
                <c:pt idx="6">
                  <c:v>-4.4174195225000004</c:v>
                </c:pt>
                <c:pt idx="7">
                  <c:v>-4.3456202455000001</c:v>
                </c:pt>
                <c:pt idx="8">
                  <c:v>-4.3669374495</c:v>
                </c:pt>
                <c:pt idx="9">
                  <c:v>-4.3398717114999998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6-2240-A386-39B90273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21904"/>
        <c:axId val="715624224"/>
      </c:scatterChart>
      <c:valAx>
        <c:axId val="715621904"/>
        <c:scaling>
          <c:orientation val="minMax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715624224"/>
        <c:crosses val="autoZero"/>
        <c:crossBetween val="midCat"/>
      </c:valAx>
      <c:valAx>
        <c:axId val="71562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562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U5MoADP!$H$33:$H$42</c:f>
              <c:numCache>
                <c:formatCode>General</c:formatCode>
                <c:ptCount val="10"/>
                <c:pt idx="0">
                  <c:v>0.1115</c:v>
                </c:pt>
                <c:pt idx="1">
                  <c:v>0.1135</c:v>
                </c:pt>
                <c:pt idx="2">
                  <c:v>0.11700000000000001</c:v>
                </c:pt>
                <c:pt idx="3">
                  <c:v>0.11899999999999999</c:v>
                </c:pt>
                <c:pt idx="4">
                  <c:v>0.11849999999999999</c:v>
                </c:pt>
                <c:pt idx="5">
                  <c:v>0.1115</c:v>
                </c:pt>
                <c:pt idx="6">
                  <c:v>0.13950000000000001</c:v>
                </c:pt>
                <c:pt idx="7">
                  <c:v>0.1115</c:v>
                </c:pt>
                <c:pt idx="8">
                  <c:v>0.12</c:v>
                </c:pt>
                <c:pt idx="9">
                  <c:v>0.109</c:v>
                </c:pt>
              </c:numCache>
            </c:numRef>
          </c:xVal>
          <c:yVal>
            <c:numRef>
              <c:f>U5MoADP!$D$33:$D$42</c:f>
              <c:numCache>
                <c:formatCode>General</c:formatCode>
                <c:ptCount val="10"/>
                <c:pt idx="0">
                  <c:v>-4.3181892744999999</c:v>
                </c:pt>
                <c:pt idx="1">
                  <c:v>-4.3244360740000003</c:v>
                </c:pt>
                <c:pt idx="2">
                  <c:v>-4.3319539434999994</c:v>
                </c:pt>
                <c:pt idx="3">
                  <c:v>-4.3370770475000002</c:v>
                </c:pt>
                <c:pt idx="4">
                  <c:v>-4.3355760024999999</c:v>
                </c:pt>
                <c:pt idx="5">
                  <c:v>-4.3199433895000006</c:v>
                </c:pt>
                <c:pt idx="6">
                  <c:v>-4.3902173194999996</c:v>
                </c:pt>
                <c:pt idx="7">
                  <c:v>-4.318103185</c:v>
                </c:pt>
                <c:pt idx="8">
                  <c:v>-4.3393728569999999</c:v>
                </c:pt>
                <c:pt idx="9">
                  <c:v>-4.3125994090000006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6-8A4E-A0A8-F99DC526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45984"/>
        <c:axId val="715648304"/>
      </c:scatterChart>
      <c:valAx>
        <c:axId val="715645984"/>
        <c:scaling>
          <c:orientation val="minMax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715648304"/>
        <c:crosses val="autoZero"/>
        <c:crossBetween val="midCat"/>
      </c:valAx>
      <c:valAx>
        <c:axId val="71564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564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U5MoADP!$AD$26:$AH$26</c:f>
              <c:numCache>
                <c:formatCode>General</c:formatCode>
                <c:ptCount val="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300</c:v>
                </c:pt>
              </c:numCache>
            </c:numRef>
          </c:xVal>
          <c:yVal>
            <c:numRef>
              <c:f>U5MoADP!$AD$27:$AH$27</c:f>
              <c:numCache>
                <c:formatCode>0.00</c:formatCode>
                <c:ptCount val="5"/>
                <c:pt idx="0">
                  <c:v>0.42028864761672791</c:v>
                </c:pt>
                <c:pt idx="1">
                  <c:v>0.49852866337781815</c:v>
                </c:pt>
                <c:pt idx="2">
                  <c:v>0.57445493857159113</c:v>
                </c:pt>
                <c:pt idx="3">
                  <c:v>0.69308110900649167</c:v>
                </c:pt>
                <c:pt idx="4">
                  <c:v>0.42087263802782304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2-D044-A364-6E6CE122A077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U5MoADP!$AD$26:$AH$26</c:f>
              <c:numCache>
                <c:formatCode>General</c:formatCode>
                <c:ptCount val="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300</c:v>
                </c:pt>
              </c:numCache>
            </c:numRef>
          </c:xVal>
          <c:yVal>
            <c:numRef>
              <c:f>U5MoADP!$AD$28:$AH$28</c:f>
              <c:numCache>
                <c:formatCode>0.00</c:formatCode>
                <c:ptCount val="5"/>
                <c:pt idx="0">
                  <c:v>0.40709714188681073</c:v>
                </c:pt>
                <c:pt idx="1">
                  <c:v>0.48026505917896667</c:v>
                </c:pt>
                <c:pt idx="2">
                  <c:v>0.53620589916500738</c:v>
                </c:pt>
                <c:pt idx="3">
                  <c:v>0.63282250818263464</c:v>
                </c:pt>
                <c:pt idx="4">
                  <c:v>0.40288646784162302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2-D044-A364-6E6CE122A077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U5MoADP!$AD$26:$AH$26</c:f>
              <c:numCache>
                <c:formatCode>General</c:formatCode>
                <c:ptCount val="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300</c:v>
                </c:pt>
              </c:numCache>
            </c:numRef>
          </c:xVal>
          <c:yVal>
            <c:numRef>
              <c:f>U5MoADP!$AD$29:$AH$29</c:f>
              <c:numCache>
                <c:formatCode>0.00</c:formatCode>
                <c:ptCount val="5"/>
                <c:pt idx="0">
                  <c:v>0.44679845600478929</c:v>
                </c:pt>
                <c:pt idx="1">
                  <c:v>0.50353216159751357</c:v>
                </c:pt>
                <c:pt idx="2">
                  <c:v>0.52689102171577618</c:v>
                </c:pt>
                <c:pt idx="3">
                  <c:v>0.63222793456718152</c:v>
                </c:pt>
                <c:pt idx="4">
                  <c:v>0.49917983657298343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2-D044-A364-6E6CE122A077}"/>
            </c:ext>
          </c:extLst>
        </c:ser>
        <c:ser>
          <c:idx val="3"/>
          <c:order val="3"/>
          <c:spPr>
            <a:ln w="47625">
              <a:noFill/>
            </a:ln>
          </c:spPr>
          <c:xVal>
            <c:numRef>
              <c:f>U5MoADP!$AD$26:$AH$26</c:f>
              <c:numCache>
                <c:formatCode>General</c:formatCode>
                <c:ptCount val="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300</c:v>
                </c:pt>
              </c:numCache>
            </c:numRef>
          </c:xVal>
          <c:yVal>
            <c:numRef>
              <c:f>U5MoADP!$AD$30:$AH$30</c:f>
              <c:numCache>
                <c:formatCode>0.00</c:formatCode>
                <c:ptCount val="5"/>
                <c:pt idx="0">
                  <c:v>0.41757721597053088</c:v>
                </c:pt>
                <c:pt idx="1">
                  <c:v>0.44217721979257896</c:v>
                </c:pt>
                <c:pt idx="2">
                  <c:v>0.49647213784709382</c:v>
                </c:pt>
                <c:pt idx="3">
                  <c:v>0.53984791829694267</c:v>
                </c:pt>
                <c:pt idx="4">
                  <c:v>0.44465985394754454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2-D044-A364-6E6CE122A077}"/>
            </c:ext>
          </c:extLst>
        </c:ser>
        <c:ser>
          <c:idx val="4"/>
          <c:order val="4"/>
          <c:spPr>
            <a:ln w="47625">
              <a:noFill/>
            </a:ln>
          </c:spPr>
          <c:xVal>
            <c:numRef>
              <c:f>U5MoADP!$AD$26:$AH$26</c:f>
              <c:numCache>
                <c:formatCode>General</c:formatCode>
                <c:ptCount val="5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300</c:v>
                </c:pt>
              </c:numCache>
            </c:numRef>
          </c:xVal>
          <c:yVal>
            <c:numRef>
              <c:f>U5MoADP!$AD$31:$AH$31</c:f>
              <c:numCache>
                <c:formatCode>0.00</c:formatCode>
                <c:ptCount val="5"/>
                <c:pt idx="0">
                  <c:v>0.48821843838832873</c:v>
                </c:pt>
                <c:pt idx="1">
                  <c:v>0.54993020140221505</c:v>
                </c:pt>
                <c:pt idx="2">
                  <c:v>0.59949279804702582</c:v>
                </c:pt>
                <c:pt idx="3">
                  <c:v>0.7685712202231717</c:v>
                </c:pt>
                <c:pt idx="4">
                  <c:v>0.37046110164540352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32-D044-A364-6E6CE122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81968"/>
        <c:axId val="715684288"/>
      </c:scatterChart>
      <c:valAx>
        <c:axId val="715681968"/>
        <c:scaling>
          <c:orientation val="minMax"/>
          <c:max val="130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15684288"/>
        <c:crosses val="autoZero"/>
        <c:crossBetween val="midCat"/>
      </c:valAx>
      <c:valAx>
        <c:axId val="715684288"/>
        <c:scaling>
          <c:orientation val="minMax"/>
          <c:min val="0.3"/>
        </c:scaling>
        <c:delete val="0"/>
        <c:axPos val="l"/>
        <c:numFmt formatCode="0.00" sourceLinked="1"/>
        <c:majorTickMark val="out"/>
        <c:minorTickMark val="none"/>
        <c:tickLblPos val="nextTo"/>
        <c:crossAx val="71568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09951881014899"/>
          <c:y val="7.8703703703703706E-2"/>
          <c:w val="0.72498512685914296"/>
          <c:h val="0.82246937882764704"/>
        </c:manualLayout>
      </c:layout>
      <c:scatterChart>
        <c:scatterStyle val="lineMarker"/>
        <c:varyColors val="0"/>
        <c:ser>
          <c:idx val="0"/>
          <c:order val="0"/>
          <c:tx>
            <c:v>210</c:v>
          </c:tx>
          <c:spPr>
            <a:ln w="47625">
              <a:noFill/>
            </a:ln>
          </c:spPr>
          <c:xVal>
            <c:numRef>
              <c:f>U5MoADP!$AD$26:$AG$26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U5MoADP!$AC$227:$AF$227</c:f>
              <c:numCache>
                <c:formatCode>General</c:formatCode>
                <c:ptCount val="4"/>
                <c:pt idx="0" formatCode="0.00">
                  <c:v>1.3126404277547192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F-A74A-A8AA-AD2746CF4093}"/>
            </c:ext>
          </c:extLst>
        </c:ser>
        <c:ser>
          <c:idx val="1"/>
          <c:order val="1"/>
          <c:tx>
            <c:v>310</c:v>
          </c:tx>
          <c:spPr>
            <a:ln w="47625">
              <a:noFill/>
            </a:ln>
          </c:spPr>
          <c:xVal>
            <c:numRef>
              <c:f>U5MoADP!$AD$26:$AG$26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U5MoADP!$AC$228:$AF$228</c:f>
              <c:numCache>
                <c:formatCode>General</c:formatCode>
                <c:ptCount val="4"/>
                <c:pt idx="0" formatCode="0.00">
                  <c:v>1.327620068192124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F-A74A-A8AA-AD2746CF4093}"/>
            </c:ext>
          </c:extLst>
        </c:ser>
        <c:ser>
          <c:idx val="2"/>
          <c:order val="2"/>
          <c:tx>
            <c:v>510</c:v>
          </c:tx>
          <c:spPr>
            <a:ln w="47625">
              <a:noFill/>
            </a:ln>
          </c:spPr>
          <c:xVal>
            <c:numRef>
              <c:f>U5MoADP!$AD$26:$AG$26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U5MoADP!$AC$229:$AF$229</c:f>
              <c:numCache>
                <c:formatCode>General</c:formatCode>
                <c:ptCount val="4"/>
                <c:pt idx="0" formatCode="0.00">
                  <c:v>1.2829504885030727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F-A74A-A8AA-AD2746CF4093}"/>
            </c:ext>
          </c:extLst>
        </c:ser>
        <c:ser>
          <c:idx val="3"/>
          <c:order val="3"/>
          <c:tx>
            <c:v>100</c:v>
          </c:tx>
          <c:spPr>
            <a:ln w="47625">
              <a:noFill/>
            </a:ln>
          </c:spPr>
          <c:xVal>
            <c:numRef>
              <c:f>U5MoADP!$AC$226:$AF$226</c:f>
              <c:numCache>
                <c:formatCode>General</c:formatCode>
                <c:ptCount val="4"/>
                <c:pt idx="0">
                  <c:v>600</c:v>
                </c:pt>
              </c:numCache>
            </c:numRef>
          </c:xVal>
          <c:yVal>
            <c:numRef>
              <c:f>U5MoADP!$AC$231:$AF$231</c:f>
              <c:numCache>
                <c:formatCode>0.00</c:formatCode>
                <c:ptCount val="4"/>
                <c:pt idx="0">
                  <c:v>1.3119524471317674</c:v>
                </c:pt>
                <c:pt idx="1">
                  <c:v>1.3993741155229351</c:v>
                </c:pt>
                <c:pt idx="2">
                  <c:v>1.4347956274039948</c:v>
                </c:pt>
                <c:pt idx="3">
                  <c:v>1.5414063194245986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F-A74A-A8AA-AD2746CF4093}"/>
            </c:ext>
          </c:extLst>
        </c:ser>
        <c:ser>
          <c:idx val="4"/>
          <c:order val="4"/>
          <c:tx>
            <c:v>110</c:v>
          </c:tx>
          <c:spPr>
            <a:ln w="47625">
              <a:noFill/>
            </a:ln>
          </c:spPr>
          <c:xVal>
            <c:numRef>
              <c:f>U5MoADP!$AC$226:$AF$226</c:f>
              <c:numCache>
                <c:formatCode>General</c:formatCode>
                <c:ptCount val="4"/>
                <c:pt idx="0">
                  <c:v>600</c:v>
                </c:pt>
              </c:numCache>
            </c:numRef>
          </c:xVal>
          <c:yVal>
            <c:numRef>
              <c:f>U5MoADP!$AC$232:$AF$232</c:f>
              <c:numCache>
                <c:formatCode>0.00</c:formatCode>
                <c:ptCount val="4"/>
                <c:pt idx="0">
                  <c:v>1.1347329507934907</c:v>
                </c:pt>
                <c:pt idx="1">
                  <c:v>1.396585815337831</c:v>
                </c:pt>
                <c:pt idx="2">
                  <c:v>1.428170538221702</c:v>
                </c:pt>
                <c:pt idx="3">
                  <c:v>1.4949747194061678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2F-A74A-A8AA-AD2746CF4093}"/>
            </c:ext>
          </c:extLst>
        </c:ser>
        <c:ser>
          <c:idx val="5"/>
          <c:order val="5"/>
          <c:tx>
            <c:v>111</c:v>
          </c:tx>
          <c:spPr>
            <a:ln w="47625">
              <a:noFill/>
            </a:ln>
          </c:spPr>
          <c:xVal>
            <c:numRef>
              <c:f>U5MoADP!$AC$226:$AF$226</c:f>
              <c:numCache>
                <c:formatCode>General</c:formatCode>
                <c:ptCount val="4"/>
                <c:pt idx="0">
                  <c:v>600</c:v>
                </c:pt>
              </c:numCache>
            </c:numRef>
          </c:xVal>
          <c:yVal>
            <c:numRef>
              <c:f>U5MoADP!$AC$233:$AF$233</c:f>
              <c:numCache>
                <c:formatCode>0.00</c:formatCode>
                <c:ptCount val="4"/>
                <c:pt idx="0">
                  <c:v>1.3813900742822482</c:v>
                </c:pt>
                <c:pt idx="1">
                  <c:v>1.3802268904221533</c:v>
                </c:pt>
                <c:pt idx="2">
                  <c:v>1.4311938199074086</c:v>
                </c:pt>
                <c:pt idx="3">
                  <c:v>1.547438841003334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F-A74A-A8AA-AD2746CF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22192"/>
        <c:axId val="715724512"/>
      </c:scatterChart>
      <c:valAx>
        <c:axId val="715722192"/>
        <c:scaling>
          <c:orientation val="minMax"/>
          <c:max val="13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715724512"/>
        <c:crosses val="autoZero"/>
        <c:crossBetween val="midCat"/>
      </c:valAx>
      <c:valAx>
        <c:axId val="715724512"/>
        <c:scaling>
          <c:orientation val="minMax"/>
          <c:min val="0.3"/>
        </c:scaling>
        <c:delete val="0"/>
        <c:axPos val="l"/>
        <c:numFmt formatCode="0.00" sourceLinked="1"/>
        <c:majorTickMark val="out"/>
        <c:minorTickMark val="none"/>
        <c:tickLblPos val="nextTo"/>
        <c:crossAx val="71572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U5MoADP!$C$82:$C$85</c:f>
              <c:numCache>
                <c:formatCode>General</c:formatCode>
                <c:ptCount val="4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600</c:v>
                </c:pt>
              </c:numCache>
            </c:numRef>
          </c:xVal>
          <c:yVal>
            <c:numRef>
              <c:f>U5MoADP!$D$82:$D$85</c:f>
              <c:numCache>
                <c:formatCode>General</c:formatCode>
                <c:ptCount val="4"/>
                <c:pt idx="0">
                  <c:v>2.3021981154845435E-2</c:v>
                </c:pt>
                <c:pt idx="1">
                  <c:v>2.1516123943564069E-2</c:v>
                </c:pt>
                <c:pt idx="2">
                  <c:v>1.9125162589409411E-2</c:v>
                </c:pt>
                <c:pt idx="3">
                  <c:v>2.3547251905753359E-2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8-8E48-AEBE-BB9BA4ED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43296"/>
        <c:axId val="715745616"/>
      </c:scatterChart>
      <c:valAx>
        <c:axId val="7157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745616"/>
        <c:crosses val="autoZero"/>
        <c:crossBetween val="midCat"/>
      </c:valAx>
      <c:valAx>
        <c:axId val="715745616"/>
        <c:scaling>
          <c:orientation val="minMax"/>
          <c:min val="0.01"/>
        </c:scaling>
        <c:delete val="0"/>
        <c:axPos val="l"/>
        <c:numFmt formatCode="General" sourceLinked="1"/>
        <c:majorTickMark val="out"/>
        <c:minorTickMark val="none"/>
        <c:tickLblPos val="nextTo"/>
        <c:crossAx val="71574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U5MoADP!$AB$228:$AB$234</c:f>
              <c:strCache>
                <c:ptCount val="7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100</c:v>
                </c:pt>
                <c:pt idx="5">
                  <c:v>110</c:v>
                </c:pt>
                <c:pt idx="6">
                  <c:v>111</c:v>
                </c:pt>
              </c:strCache>
            </c:strRef>
          </c:xVal>
          <c:yVal>
            <c:numRef>
              <c:f>U5MoADP!$AC$227:$AC$233</c:f>
              <c:numCache>
                <c:formatCode>0.00</c:formatCode>
                <c:ptCount val="7"/>
                <c:pt idx="0">
                  <c:v>1.3126404277547192</c:v>
                </c:pt>
                <c:pt idx="1">
                  <c:v>1.327620068192124</c:v>
                </c:pt>
                <c:pt idx="2">
                  <c:v>1.2829504885030727</c:v>
                </c:pt>
                <c:pt idx="3">
                  <c:v>1.3399180242565134</c:v>
                </c:pt>
                <c:pt idx="4">
                  <c:v>1.3119524471317674</c:v>
                </c:pt>
                <c:pt idx="5">
                  <c:v>1.1347329507934907</c:v>
                </c:pt>
                <c:pt idx="6">
                  <c:v>1.3813900742822482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6-774F-83BB-EC9F8060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63680"/>
        <c:axId val="715766000"/>
      </c:scatterChart>
      <c:valAx>
        <c:axId val="7157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15766000"/>
        <c:crosses val="autoZero"/>
        <c:crossBetween val="midCat"/>
      </c:valAx>
      <c:valAx>
        <c:axId val="7157660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715763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79959401626522"/>
                  <c:y val="-0.14462773088615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U5MoADP!$H$434:$H$443</c:f>
              <c:numCache>
                <c:formatCode>General</c:formatCode>
                <c:ptCount val="10"/>
                <c:pt idx="0">
                  <c:v>0.11849999999999999</c:v>
                </c:pt>
                <c:pt idx="1">
                  <c:v>0.114</c:v>
                </c:pt>
                <c:pt idx="2">
                  <c:v>0.11799999999999999</c:v>
                </c:pt>
                <c:pt idx="3">
                  <c:v>0.1265</c:v>
                </c:pt>
                <c:pt idx="4">
                  <c:v>0.11600000000000001</c:v>
                </c:pt>
                <c:pt idx="5">
                  <c:v>0.11849999999999999</c:v>
                </c:pt>
                <c:pt idx="6">
                  <c:v>0.11600000000000001</c:v>
                </c:pt>
                <c:pt idx="7">
                  <c:v>0.11700000000000001</c:v>
                </c:pt>
                <c:pt idx="8">
                  <c:v>0.1145</c:v>
                </c:pt>
                <c:pt idx="9">
                  <c:v>0.11650000000000001</c:v>
                </c:pt>
              </c:numCache>
            </c:numRef>
          </c:xVal>
          <c:yVal>
            <c:numRef>
              <c:f>U5MoADP!$D$434:$D$443</c:f>
              <c:numCache>
                <c:formatCode>General</c:formatCode>
                <c:ptCount val="10"/>
                <c:pt idx="0">
                  <c:v>-4.4651184524999996</c:v>
                </c:pt>
                <c:pt idx="1">
                  <c:v>-4.4576237799999996</c:v>
                </c:pt>
                <c:pt idx="2">
                  <c:v>-4.4700403379999996</c:v>
                </c:pt>
                <c:pt idx="3">
                  <c:v>-4.4877462695000006</c:v>
                </c:pt>
                <c:pt idx="4">
                  <c:v>-4.4609997359999998</c:v>
                </c:pt>
                <c:pt idx="5">
                  <c:v>-4.4673275255</c:v>
                </c:pt>
                <c:pt idx="6">
                  <c:v>-4.4599660379999992</c:v>
                </c:pt>
                <c:pt idx="7">
                  <c:v>-4.4646408165000002</c:v>
                </c:pt>
                <c:pt idx="8">
                  <c:v>-4.4589664789999999</c:v>
                </c:pt>
                <c:pt idx="9">
                  <c:v>-4.4636095815000001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0-C54D-95C2-A2661F0C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35600"/>
        <c:axId val="922837296"/>
      </c:scatterChart>
      <c:valAx>
        <c:axId val="9228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37296"/>
        <c:crosses val="autoZero"/>
        <c:crossBetween val="midCat"/>
      </c:valAx>
      <c:valAx>
        <c:axId val="92283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U10MoADP!$F$8:$F$17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U10MoADP!$D$8:$D$17</c:f>
              <c:numCache>
                <c:formatCode>General</c:formatCode>
                <c:ptCount val="10"/>
                <c:pt idx="0">
                  <c:v>-4.5976494639999999</c:v>
                </c:pt>
                <c:pt idx="1">
                  <c:v>-4.5964645225000007</c:v>
                </c:pt>
                <c:pt idx="2">
                  <c:v>-4.5851987625000001</c:v>
                </c:pt>
                <c:pt idx="3">
                  <c:v>-4.6034968704999999</c:v>
                </c:pt>
                <c:pt idx="4">
                  <c:v>-4.603308781</c:v>
                </c:pt>
                <c:pt idx="5">
                  <c:v>-4.6018273755000001</c:v>
                </c:pt>
                <c:pt idx="6">
                  <c:v>-4.652289186</c:v>
                </c:pt>
                <c:pt idx="7">
                  <c:v>-4.6125439305000002</c:v>
                </c:pt>
                <c:pt idx="8">
                  <c:v>-4.6208310090000007</c:v>
                </c:pt>
                <c:pt idx="9">
                  <c:v>-4.5767938780000001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4-3341-8BC7-A1A28E43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4496"/>
        <c:axId val="519156976"/>
      </c:scatterChart>
      <c:valAx>
        <c:axId val="5191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56976"/>
        <c:crosses val="autoZero"/>
        <c:crossBetween val="midCat"/>
      </c:valAx>
      <c:valAx>
        <c:axId val="5191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5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U10MoADP!$F$20:$F$29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U10MoADP!$D$20:$D$29</c:f>
              <c:numCache>
                <c:formatCode>General</c:formatCode>
                <c:ptCount val="10"/>
                <c:pt idx="0">
                  <c:v>-4.6269003309999999</c:v>
                </c:pt>
                <c:pt idx="1">
                  <c:v>-4.6233966935000002</c:v>
                </c:pt>
                <c:pt idx="2">
                  <c:v>-4.6118006549999997</c:v>
                </c:pt>
                <c:pt idx="3">
                  <c:v>-4.6325016235000005</c:v>
                </c:pt>
                <c:pt idx="4">
                  <c:v>-4.6300910709999998</c:v>
                </c:pt>
                <c:pt idx="5">
                  <c:v>-4.6294779285000001</c:v>
                </c:pt>
                <c:pt idx="6">
                  <c:v>-4.6828976535000004</c:v>
                </c:pt>
                <c:pt idx="7">
                  <c:v>-4.6416358840000003</c:v>
                </c:pt>
                <c:pt idx="8">
                  <c:v>-4.6482650274999999</c:v>
                </c:pt>
                <c:pt idx="9">
                  <c:v>-4.6062635060000003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E-A84A-8F98-3C658BD5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4496"/>
        <c:axId val="519156976"/>
      </c:scatterChart>
      <c:valAx>
        <c:axId val="5191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56976"/>
        <c:crosses val="autoZero"/>
        <c:crossBetween val="midCat"/>
      </c:valAx>
      <c:valAx>
        <c:axId val="5191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5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399278215223102"/>
                  <c:y val="-0.157407407407407"/>
                </c:manualLayout>
              </c:layout>
              <c:numFmt formatCode="General" sourceLinked="0"/>
            </c:trendlineLbl>
          </c:trendline>
          <c:xVal>
            <c:numRef>
              <c:f>'ADP600'!$I$8:$I$17</c:f>
              <c:numCache>
                <c:formatCode>General</c:formatCode>
                <c:ptCount val="10"/>
                <c:pt idx="0">
                  <c:v>0.219</c:v>
                </c:pt>
                <c:pt idx="1">
                  <c:v>0.2185</c:v>
                </c:pt>
                <c:pt idx="2">
                  <c:v>0.22</c:v>
                </c:pt>
                <c:pt idx="3">
                  <c:v>0.23400000000000001</c:v>
                </c:pt>
                <c:pt idx="4">
                  <c:v>0.221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0.218</c:v>
                </c:pt>
                <c:pt idx="8">
                  <c:v>0.23150000000000001</c:v>
                </c:pt>
                <c:pt idx="9">
                  <c:v>0.2185</c:v>
                </c:pt>
              </c:numCache>
            </c:numRef>
          </c:xVal>
          <c:yVal>
            <c:numRef>
              <c:f>'ADP600'!$E$8:$E$17</c:f>
              <c:numCache>
                <c:formatCode>General</c:formatCode>
                <c:ptCount val="10"/>
                <c:pt idx="0">
                  <c:v>-4.6740932325000006</c:v>
                </c:pt>
                <c:pt idx="1">
                  <c:v>-4.6730952829999994</c:v>
                </c:pt>
                <c:pt idx="2">
                  <c:v>-4.6774696230000004</c:v>
                </c:pt>
                <c:pt idx="3">
                  <c:v>-4.7108976904999995</c:v>
                </c:pt>
                <c:pt idx="4">
                  <c:v>-4.6782016610000001</c:v>
                </c:pt>
                <c:pt idx="5">
                  <c:v>-4.6815077899999995</c:v>
                </c:pt>
                <c:pt idx="6">
                  <c:v>-4.7357097579999996</c:v>
                </c:pt>
                <c:pt idx="7">
                  <c:v>-4.6698395659999994</c:v>
                </c:pt>
                <c:pt idx="8">
                  <c:v>-4.7046268590000002</c:v>
                </c:pt>
                <c:pt idx="9">
                  <c:v>-4.6722415254999996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4-1E41-807F-4C5B322F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1024"/>
        <c:axId val="484733344"/>
      </c:scatterChart>
      <c:valAx>
        <c:axId val="48473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733344"/>
        <c:crosses val="autoZero"/>
        <c:crossBetween val="midCat"/>
      </c:valAx>
      <c:valAx>
        <c:axId val="484733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473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U10MoADP!$F$32:$F$41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U10MoADP!$D$32:$D$41</c:f>
              <c:numCache>
                <c:formatCode>General</c:formatCode>
                <c:ptCount val="10"/>
                <c:pt idx="0">
                  <c:v>-4.6534012865000003</c:v>
                </c:pt>
                <c:pt idx="1">
                  <c:v>-4.6511199440000004</c:v>
                </c:pt>
                <c:pt idx="2">
                  <c:v>-4.6383357395000004</c:v>
                </c:pt>
                <c:pt idx="3">
                  <c:v>-4.6598617759999996</c:v>
                </c:pt>
                <c:pt idx="4">
                  <c:v>-4.6573167624999998</c:v>
                </c:pt>
                <c:pt idx="5">
                  <c:v>-4.6565727859999999</c:v>
                </c:pt>
                <c:pt idx="6">
                  <c:v>-4.7094013420000005</c:v>
                </c:pt>
                <c:pt idx="7">
                  <c:v>-4.6675537690000004</c:v>
                </c:pt>
                <c:pt idx="8">
                  <c:v>-4.6760650894999998</c:v>
                </c:pt>
                <c:pt idx="9">
                  <c:v>-4.6319165585000004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8-2149-900F-75A4F7E6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4496"/>
        <c:axId val="519156976"/>
      </c:scatterChart>
      <c:valAx>
        <c:axId val="5191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56976"/>
        <c:crosses val="autoZero"/>
        <c:crossBetween val="midCat"/>
      </c:valAx>
      <c:valAx>
        <c:axId val="5191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5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U10MoADP!$F$44:$F$53</c:f>
              <c:numCache>
                <c:formatCode>General</c:formatCode>
                <c:ptCount val="10"/>
                <c:pt idx="0">
                  <c:v>0.219</c:v>
                </c:pt>
                <c:pt idx="1">
                  <c:v>0.2185</c:v>
                </c:pt>
                <c:pt idx="2">
                  <c:v>0.22</c:v>
                </c:pt>
                <c:pt idx="3">
                  <c:v>0.23400000000000001</c:v>
                </c:pt>
                <c:pt idx="4">
                  <c:v>0.221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0.218</c:v>
                </c:pt>
                <c:pt idx="8">
                  <c:v>0.23150000000000001</c:v>
                </c:pt>
                <c:pt idx="9">
                  <c:v>0.2185</c:v>
                </c:pt>
              </c:numCache>
            </c:numRef>
          </c:xVal>
          <c:yVal>
            <c:numRef>
              <c:f>U10MoADP!$D$44:$D$53</c:f>
              <c:numCache>
                <c:formatCode>General</c:formatCode>
                <c:ptCount val="10"/>
                <c:pt idx="0">
                  <c:v>-4.6740932325000006</c:v>
                </c:pt>
                <c:pt idx="1">
                  <c:v>-4.6730952829999994</c:v>
                </c:pt>
                <c:pt idx="2">
                  <c:v>-4.6774696230000004</c:v>
                </c:pt>
                <c:pt idx="3">
                  <c:v>-4.7108976904999995</c:v>
                </c:pt>
                <c:pt idx="4">
                  <c:v>-4.6782016610000001</c:v>
                </c:pt>
                <c:pt idx="5">
                  <c:v>-4.6815077899999995</c:v>
                </c:pt>
                <c:pt idx="6">
                  <c:v>-4.7357097579999996</c:v>
                </c:pt>
                <c:pt idx="7">
                  <c:v>-4.6698395659999994</c:v>
                </c:pt>
                <c:pt idx="8">
                  <c:v>-4.7046268590000002</c:v>
                </c:pt>
                <c:pt idx="9">
                  <c:v>-4.6722415254999996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9-424E-8928-B749F7F2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4496"/>
        <c:axId val="519156976"/>
      </c:scatterChart>
      <c:valAx>
        <c:axId val="5191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56976"/>
        <c:crosses val="autoZero"/>
        <c:crossBetween val="midCat"/>
      </c:valAx>
      <c:valAx>
        <c:axId val="5191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5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U10MoADP!$F$56:$F$65</c:f>
              <c:numCache>
                <c:formatCode>General</c:formatCode>
                <c:ptCount val="10"/>
                <c:pt idx="0">
                  <c:v>0.21149999999999999</c:v>
                </c:pt>
                <c:pt idx="1">
                  <c:v>0.20050000000000001</c:v>
                </c:pt>
                <c:pt idx="2">
                  <c:v>0.189</c:v>
                </c:pt>
                <c:pt idx="3">
                  <c:v>0.215</c:v>
                </c:pt>
                <c:pt idx="4">
                  <c:v>0.216</c:v>
                </c:pt>
                <c:pt idx="5">
                  <c:v>0.19750000000000001</c:v>
                </c:pt>
                <c:pt idx="6">
                  <c:v>0.2235</c:v>
                </c:pt>
                <c:pt idx="7">
                  <c:v>0.22700000000000001</c:v>
                </c:pt>
                <c:pt idx="8">
                  <c:v>0.21099999999999999</c:v>
                </c:pt>
                <c:pt idx="9">
                  <c:v>0.2205</c:v>
                </c:pt>
              </c:numCache>
            </c:numRef>
          </c:xVal>
          <c:yVal>
            <c:numRef>
              <c:f>U10MoADP!$D$56:$D$65</c:f>
              <c:numCache>
                <c:formatCode>General</c:formatCode>
                <c:ptCount val="10"/>
                <c:pt idx="0">
                  <c:v>-4.6983693780000007</c:v>
                </c:pt>
                <c:pt idx="1">
                  <c:v>-4.6707832909999993</c:v>
                </c:pt>
                <c:pt idx="2">
                  <c:v>-4.6412288070000001</c:v>
                </c:pt>
                <c:pt idx="3">
                  <c:v>-4.7082962264999999</c:v>
                </c:pt>
                <c:pt idx="4">
                  <c:v>-4.7067206769999999</c:v>
                </c:pt>
                <c:pt idx="5">
                  <c:v>-4.6656618515000003</c:v>
                </c:pt>
                <c:pt idx="6">
                  <c:v>-4.728821623</c:v>
                </c:pt>
                <c:pt idx="7">
                  <c:v>-4.7382246664999998</c:v>
                </c:pt>
                <c:pt idx="8">
                  <c:v>-4.6982585305000004</c:v>
                </c:pt>
                <c:pt idx="9">
                  <c:v>-4.7195741774999993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7-8B46-92C4-2469CD74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4496"/>
        <c:axId val="519156976"/>
      </c:scatterChart>
      <c:valAx>
        <c:axId val="519154496"/>
        <c:scaling>
          <c:orientation val="minMax"/>
          <c:min val="0.18000000000000002"/>
        </c:scaling>
        <c:delete val="0"/>
        <c:axPos val="b"/>
        <c:numFmt formatCode="General" sourceLinked="1"/>
        <c:majorTickMark val="out"/>
        <c:minorTickMark val="none"/>
        <c:tickLblPos val="nextTo"/>
        <c:crossAx val="519156976"/>
        <c:crosses val="autoZero"/>
        <c:crossBetween val="midCat"/>
      </c:valAx>
      <c:valAx>
        <c:axId val="5191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5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864982502187199"/>
                  <c:y val="-3.4448818897636901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U15MoADP!$H$44:$H$53</c:f>
              <c:numCache>
                <c:formatCode>General</c:formatCode>
                <c:ptCount val="10"/>
                <c:pt idx="0">
                  <c:v>0.29749999999999999</c:v>
                </c:pt>
                <c:pt idx="1">
                  <c:v>0.30149999999999999</c:v>
                </c:pt>
                <c:pt idx="2">
                  <c:v>0.29349999999999998</c:v>
                </c:pt>
                <c:pt idx="3">
                  <c:v>0.30599999999999999</c:v>
                </c:pt>
                <c:pt idx="4">
                  <c:v>0.3</c:v>
                </c:pt>
                <c:pt idx="5">
                  <c:v>0.30449999999999999</c:v>
                </c:pt>
                <c:pt idx="6">
                  <c:v>0.317</c:v>
                </c:pt>
                <c:pt idx="7">
                  <c:v>0.30399999999999999</c:v>
                </c:pt>
                <c:pt idx="8">
                  <c:v>0.3155</c:v>
                </c:pt>
                <c:pt idx="9">
                  <c:v>0.30049999999999999</c:v>
                </c:pt>
              </c:numCache>
            </c:numRef>
          </c:xVal>
          <c:yVal>
            <c:numRef>
              <c:f>U15MoADP!$D$44:$D$53</c:f>
              <c:numCache>
                <c:formatCode>General</c:formatCode>
                <c:ptCount val="10"/>
                <c:pt idx="0">
                  <c:v>-4.8749515714999996</c:v>
                </c:pt>
                <c:pt idx="1">
                  <c:v>-4.884893302</c:v>
                </c:pt>
                <c:pt idx="2">
                  <c:v>-4.8665789359999998</c:v>
                </c:pt>
                <c:pt idx="3">
                  <c:v>-4.8956861445000008</c:v>
                </c:pt>
                <c:pt idx="4">
                  <c:v>-4.8815734190000004</c:v>
                </c:pt>
                <c:pt idx="5">
                  <c:v>-4.8896531080000001</c:v>
                </c:pt>
                <c:pt idx="6">
                  <c:v>-4.9255777004999999</c:v>
                </c:pt>
                <c:pt idx="7">
                  <c:v>-4.8902108674999996</c:v>
                </c:pt>
                <c:pt idx="8">
                  <c:v>-4.9179026524999996</c:v>
                </c:pt>
                <c:pt idx="9">
                  <c:v>-4.8818696245000002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0-C14D-A1B9-D14A7AC8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40272"/>
        <c:axId val="647942592"/>
      </c:scatterChart>
      <c:valAx>
        <c:axId val="64794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942592"/>
        <c:crosses val="autoZero"/>
        <c:crossBetween val="midCat"/>
      </c:valAx>
      <c:valAx>
        <c:axId val="64794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794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864982502187199"/>
                  <c:y val="-3.4448818897636901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U15MoADP!$H$20:$H$29</c:f>
              <c:numCache>
                <c:formatCode>General</c:formatCode>
                <c:ptCount val="10"/>
                <c:pt idx="0">
                  <c:v>0.28899999999999998</c:v>
                </c:pt>
                <c:pt idx="1">
                  <c:v>0.30599999999999999</c:v>
                </c:pt>
                <c:pt idx="2">
                  <c:v>0.28949999999999998</c:v>
                </c:pt>
                <c:pt idx="3">
                  <c:v>0.29649999999999999</c:v>
                </c:pt>
                <c:pt idx="4">
                  <c:v>0.30649999999999999</c:v>
                </c:pt>
                <c:pt idx="5">
                  <c:v>0.30399999999999999</c:v>
                </c:pt>
                <c:pt idx="6">
                  <c:v>0.3125</c:v>
                </c:pt>
                <c:pt idx="7">
                  <c:v>0.3135</c:v>
                </c:pt>
                <c:pt idx="8">
                  <c:v>0.3135</c:v>
                </c:pt>
                <c:pt idx="9">
                  <c:v>0.29699999999999999</c:v>
                </c:pt>
              </c:numCache>
            </c:numRef>
          </c:xVal>
          <c:yVal>
            <c:numRef>
              <c:f>U15MoADP!$D$20:$D$29</c:f>
              <c:numCache>
                <c:formatCode>General</c:formatCode>
                <c:ptCount val="10"/>
                <c:pt idx="0">
                  <c:v>-4.7985302325000001</c:v>
                </c:pt>
                <c:pt idx="1">
                  <c:v>-4.8412225040000001</c:v>
                </c:pt>
                <c:pt idx="2">
                  <c:v>-4.7977759319999995</c:v>
                </c:pt>
                <c:pt idx="3">
                  <c:v>-4.8169937094999993</c:v>
                </c:pt>
                <c:pt idx="4">
                  <c:v>-4.8419810770000007</c:v>
                </c:pt>
                <c:pt idx="5">
                  <c:v>-4.8379318204999997</c:v>
                </c:pt>
                <c:pt idx="6">
                  <c:v>-4.8574723295000002</c:v>
                </c:pt>
                <c:pt idx="7">
                  <c:v>-4.8576057494999993</c:v>
                </c:pt>
                <c:pt idx="8">
                  <c:v>-4.8579943669999999</c:v>
                </c:pt>
                <c:pt idx="9">
                  <c:v>-4.8190426915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C-2D40-8D73-840A13DB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63760"/>
        <c:axId val="647966080"/>
      </c:scatterChart>
      <c:valAx>
        <c:axId val="64796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966080"/>
        <c:crosses val="autoZero"/>
        <c:crossBetween val="midCat"/>
      </c:valAx>
      <c:valAx>
        <c:axId val="647966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796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864982502187199"/>
                  <c:y val="-3.4448818897636901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U15MoADP!$H$32:$H$41</c:f>
              <c:numCache>
                <c:formatCode>General</c:formatCode>
                <c:ptCount val="10"/>
                <c:pt idx="0">
                  <c:v>0.28899999999999998</c:v>
                </c:pt>
                <c:pt idx="1">
                  <c:v>0.30599999999999999</c:v>
                </c:pt>
                <c:pt idx="2">
                  <c:v>0.28949999999999998</c:v>
                </c:pt>
                <c:pt idx="3">
                  <c:v>0.29649999999999999</c:v>
                </c:pt>
                <c:pt idx="4">
                  <c:v>0.30649999999999999</c:v>
                </c:pt>
                <c:pt idx="5">
                  <c:v>0.30399999999999999</c:v>
                </c:pt>
                <c:pt idx="6">
                  <c:v>0.3125</c:v>
                </c:pt>
                <c:pt idx="7">
                  <c:v>0.3135</c:v>
                </c:pt>
                <c:pt idx="8">
                  <c:v>0.3135</c:v>
                </c:pt>
                <c:pt idx="9">
                  <c:v>0.29699999999999999</c:v>
                </c:pt>
              </c:numCache>
            </c:numRef>
          </c:xVal>
          <c:yVal>
            <c:numRef>
              <c:f>U15MoADP!$D$32:$D$41</c:f>
              <c:numCache>
                <c:formatCode>General</c:formatCode>
                <c:ptCount val="10"/>
                <c:pt idx="0">
                  <c:v>-4.7699012140000008</c:v>
                </c:pt>
                <c:pt idx="1">
                  <c:v>-4.8119744755000005</c:v>
                </c:pt>
                <c:pt idx="2">
                  <c:v>-4.7693286209999997</c:v>
                </c:pt>
                <c:pt idx="3">
                  <c:v>-4.7880723915000001</c:v>
                </c:pt>
                <c:pt idx="4">
                  <c:v>-4.8131023119999998</c:v>
                </c:pt>
                <c:pt idx="5">
                  <c:v>-4.8087527559999996</c:v>
                </c:pt>
                <c:pt idx="6">
                  <c:v>-4.8287680174999998</c:v>
                </c:pt>
                <c:pt idx="7">
                  <c:v>-4.8284608555000004</c:v>
                </c:pt>
                <c:pt idx="8">
                  <c:v>-4.8288662359999996</c:v>
                </c:pt>
                <c:pt idx="9">
                  <c:v>-4.7902262495000008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B-0E47-B64B-5B27C29B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86640"/>
        <c:axId val="647988960"/>
      </c:scatterChart>
      <c:valAx>
        <c:axId val="64798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988960"/>
        <c:crosses val="autoZero"/>
        <c:crossBetween val="midCat"/>
      </c:valAx>
      <c:valAx>
        <c:axId val="64798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798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864982502187199"/>
                  <c:y val="-3.4448818897636901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U15MoADP!$H$56:$H$65</c:f>
              <c:numCache>
                <c:formatCode>General</c:formatCode>
                <c:ptCount val="10"/>
                <c:pt idx="0">
                  <c:v>0.29349999999999998</c:v>
                </c:pt>
                <c:pt idx="1">
                  <c:v>0.315</c:v>
                </c:pt>
                <c:pt idx="2">
                  <c:v>0.29299999999999998</c:v>
                </c:pt>
                <c:pt idx="3">
                  <c:v>0.29799999999999999</c:v>
                </c:pt>
                <c:pt idx="4">
                  <c:v>0.30199999999999999</c:v>
                </c:pt>
                <c:pt idx="5">
                  <c:v>0.3085</c:v>
                </c:pt>
                <c:pt idx="6">
                  <c:v>0.308</c:v>
                </c:pt>
                <c:pt idx="7">
                  <c:v>0.3165</c:v>
                </c:pt>
                <c:pt idx="8">
                  <c:v>0.3105</c:v>
                </c:pt>
                <c:pt idx="9">
                  <c:v>0.30399999999999999</c:v>
                </c:pt>
              </c:numCache>
            </c:numRef>
          </c:xVal>
          <c:yVal>
            <c:numRef>
              <c:f>U15MoADP!$D$56:$D$65</c:f>
              <c:numCache>
                <c:formatCode>General</c:formatCode>
                <c:ptCount val="10"/>
                <c:pt idx="0">
                  <c:v>-4.9088423455000001</c:v>
                </c:pt>
                <c:pt idx="1">
                  <c:v>-4.9616892164999999</c:v>
                </c:pt>
                <c:pt idx="2">
                  <c:v>-4.904920433</c:v>
                </c:pt>
                <c:pt idx="3">
                  <c:v>-4.9170372795000006</c:v>
                </c:pt>
                <c:pt idx="4">
                  <c:v>-4.9275797169999995</c:v>
                </c:pt>
                <c:pt idx="5">
                  <c:v>-4.9447991240000002</c:v>
                </c:pt>
                <c:pt idx="6">
                  <c:v>-4.9437742710000006</c:v>
                </c:pt>
                <c:pt idx="7">
                  <c:v>-4.9650908454999998</c:v>
                </c:pt>
                <c:pt idx="8">
                  <c:v>-4.9493322959999997</c:v>
                </c:pt>
                <c:pt idx="9">
                  <c:v>-4.9339803085000007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A-3147-91FB-81816696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86640"/>
        <c:axId val="647988960"/>
      </c:scatterChart>
      <c:valAx>
        <c:axId val="64798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988960"/>
        <c:crosses val="autoZero"/>
        <c:crossBetween val="midCat"/>
      </c:valAx>
      <c:valAx>
        <c:axId val="64798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798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U50MoADP!$H$8:$H$17</c:f>
              <c:numCache>
                <c:formatCode>General</c:formatCode>
                <c:ptCount val="10"/>
                <c:pt idx="0">
                  <c:v>0.73</c:v>
                </c:pt>
                <c:pt idx="1">
                  <c:v>0.73099999999999998</c:v>
                </c:pt>
                <c:pt idx="2">
                  <c:v>0.70099999999999996</c:v>
                </c:pt>
                <c:pt idx="3">
                  <c:v>0.72050000000000003</c:v>
                </c:pt>
                <c:pt idx="4">
                  <c:v>0.70250000000000001</c:v>
                </c:pt>
                <c:pt idx="5">
                  <c:v>0.72699999999999998</c:v>
                </c:pt>
                <c:pt idx="6">
                  <c:v>0.71699999999999997</c:v>
                </c:pt>
                <c:pt idx="7">
                  <c:v>0.72099999999999997</c:v>
                </c:pt>
                <c:pt idx="8">
                  <c:v>0.71</c:v>
                </c:pt>
                <c:pt idx="9">
                  <c:v>0.71450000000000002</c:v>
                </c:pt>
              </c:numCache>
            </c:numRef>
          </c:xVal>
          <c:yVal>
            <c:numRef>
              <c:f>U50MoADP!$D$8:$D$17</c:f>
              <c:numCache>
                <c:formatCode>General</c:formatCode>
                <c:ptCount val="10"/>
                <c:pt idx="0">
                  <c:v>-5.9909619274999999</c:v>
                </c:pt>
                <c:pt idx="1">
                  <c:v>-5.9916034939999996</c:v>
                </c:pt>
                <c:pt idx="2">
                  <c:v>-5.9117011745000001</c:v>
                </c:pt>
                <c:pt idx="3">
                  <c:v>-5.9645690350000002</c:v>
                </c:pt>
                <c:pt idx="4">
                  <c:v>-5.9192351135000001</c:v>
                </c:pt>
                <c:pt idx="5">
                  <c:v>-5.9831527654999999</c:v>
                </c:pt>
                <c:pt idx="6">
                  <c:v>-5.9552205620000001</c:v>
                </c:pt>
                <c:pt idx="7">
                  <c:v>-5.9621834119999999</c:v>
                </c:pt>
                <c:pt idx="8">
                  <c:v>-5.9330871834999996</c:v>
                </c:pt>
                <c:pt idx="9">
                  <c:v>-5.945523036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C-9142-9448-5A0BABBD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4496"/>
        <c:axId val="519156976"/>
      </c:scatterChart>
      <c:valAx>
        <c:axId val="5191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56976"/>
        <c:crosses val="autoZero"/>
        <c:crossBetween val="midCat"/>
      </c:valAx>
      <c:valAx>
        <c:axId val="5191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5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U50MoADP!$H$20:$H$29</c:f>
              <c:numCache>
                <c:formatCode>General</c:formatCode>
                <c:ptCount val="10"/>
                <c:pt idx="0">
                  <c:v>0.73</c:v>
                </c:pt>
                <c:pt idx="1">
                  <c:v>0.73099999999999998</c:v>
                </c:pt>
                <c:pt idx="2">
                  <c:v>0.70099999999999996</c:v>
                </c:pt>
                <c:pt idx="3">
                  <c:v>0.72050000000000003</c:v>
                </c:pt>
                <c:pt idx="4">
                  <c:v>0.70250000000000001</c:v>
                </c:pt>
                <c:pt idx="5">
                  <c:v>0.72699999999999998</c:v>
                </c:pt>
                <c:pt idx="6">
                  <c:v>0.71699999999999997</c:v>
                </c:pt>
                <c:pt idx="7">
                  <c:v>0.72099999999999997</c:v>
                </c:pt>
                <c:pt idx="8">
                  <c:v>0.71</c:v>
                </c:pt>
                <c:pt idx="9">
                  <c:v>0.71450000000000002</c:v>
                </c:pt>
              </c:numCache>
            </c:numRef>
          </c:xVal>
          <c:yVal>
            <c:numRef>
              <c:f>U50MoADP!$D$20:$D$29</c:f>
              <c:numCache>
                <c:formatCode>General</c:formatCode>
                <c:ptCount val="10"/>
                <c:pt idx="0">
                  <c:v>-5.9627182704999999</c:v>
                </c:pt>
                <c:pt idx="1">
                  <c:v>-5.9631870500000002</c:v>
                </c:pt>
                <c:pt idx="2">
                  <c:v>-5.8836756359999995</c:v>
                </c:pt>
                <c:pt idx="3">
                  <c:v>-5.9359736144999999</c:v>
                </c:pt>
                <c:pt idx="4">
                  <c:v>-5.8906672394999999</c:v>
                </c:pt>
                <c:pt idx="5">
                  <c:v>-5.9549423035000002</c:v>
                </c:pt>
                <c:pt idx="6">
                  <c:v>-5.9268233620000004</c:v>
                </c:pt>
                <c:pt idx="7">
                  <c:v>-5.9336862984999996</c:v>
                </c:pt>
                <c:pt idx="8">
                  <c:v>-5.9045410579999995</c:v>
                </c:pt>
                <c:pt idx="9">
                  <c:v>-5.9171827234999999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C-114F-9426-45036B54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8464"/>
        <c:axId val="519180944"/>
      </c:scatterChart>
      <c:valAx>
        <c:axId val="5191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0944"/>
        <c:crosses val="autoZero"/>
        <c:crossBetween val="midCat"/>
      </c:valAx>
      <c:valAx>
        <c:axId val="519180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U50MoADP!$H$32:$H$41</c:f>
              <c:numCache>
                <c:formatCode>General</c:formatCode>
                <c:ptCount val="10"/>
                <c:pt idx="0">
                  <c:v>0.73</c:v>
                </c:pt>
                <c:pt idx="1">
                  <c:v>0.73099999999999998</c:v>
                </c:pt>
                <c:pt idx="2">
                  <c:v>0.70099999999999996</c:v>
                </c:pt>
                <c:pt idx="3">
                  <c:v>0.72050000000000003</c:v>
                </c:pt>
                <c:pt idx="4">
                  <c:v>0.70250000000000001</c:v>
                </c:pt>
                <c:pt idx="5">
                  <c:v>0.72699999999999998</c:v>
                </c:pt>
                <c:pt idx="6">
                  <c:v>0.71699999999999997</c:v>
                </c:pt>
                <c:pt idx="7">
                  <c:v>0.72099999999999997</c:v>
                </c:pt>
                <c:pt idx="8">
                  <c:v>0.71</c:v>
                </c:pt>
                <c:pt idx="9">
                  <c:v>0.71450000000000002</c:v>
                </c:pt>
              </c:numCache>
            </c:numRef>
          </c:xVal>
          <c:yVal>
            <c:numRef>
              <c:f>U50MoADP!$D$32:$D$41</c:f>
              <c:numCache>
                <c:formatCode>General</c:formatCode>
                <c:ptCount val="10"/>
                <c:pt idx="0">
                  <c:v>-5.9332177364999996</c:v>
                </c:pt>
                <c:pt idx="1">
                  <c:v>-5.9340308619999993</c:v>
                </c:pt>
                <c:pt idx="2">
                  <c:v>-5.8535711039999994</c:v>
                </c:pt>
                <c:pt idx="3">
                  <c:v>-5.9064473424999999</c:v>
                </c:pt>
                <c:pt idx="4">
                  <c:v>-5.8611312884999993</c:v>
                </c:pt>
                <c:pt idx="5">
                  <c:v>-5.9254830810000003</c:v>
                </c:pt>
                <c:pt idx="6">
                  <c:v>-5.8964840545000001</c:v>
                </c:pt>
                <c:pt idx="7">
                  <c:v>-5.9037198630000001</c:v>
                </c:pt>
                <c:pt idx="8">
                  <c:v>-5.8748631124999999</c:v>
                </c:pt>
                <c:pt idx="9">
                  <c:v>-5.8876388445000005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E-CA43-81B0-F0820BFF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01968"/>
        <c:axId val="519204448"/>
      </c:scatterChart>
      <c:valAx>
        <c:axId val="5192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04448"/>
        <c:crosses val="autoZero"/>
        <c:crossBetween val="midCat"/>
      </c:valAx>
      <c:valAx>
        <c:axId val="51920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0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('ADP600'!$AB$31,'ADP600'!$AB$67,'ADP600'!$AB$79,'ADP600'!$AB$90)</c:f>
                <c:numCache>
                  <c:formatCode>General</c:formatCode>
                  <c:ptCount val="4"/>
                  <c:pt idx="0">
                    <c:v>5.4988185486201768E-2</c:v>
                  </c:pt>
                  <c:pt idx="1">
                    <c:v>3.4876421801562835E-2</c:v>
                  </c:pt>
                  <c:pt idx="2">
                    <c:v>2.414407021879577E-2</c:v>
                  </c:pt>
                  <c:pt idx="3">
                    <c:v>5.2585169624665598E-2</c:v>
                  </c:pt>
                </c:numCache>
              </c:numRef>
            </c:plus>
            <c:minus>
              <c:numRef>
                <c:f>('ADP600'!$AB$31,'ADP600'!$AB$67,'ADP600'!$AB$79,'ADP600'!$AB$90)</c:f>
                <c:numCache>
                  <c:formatCode>General</c:formatCode>
                  <c:ptCount val="4"/>
                  <c:pt idx="0">
                    <c:v>5.4988185486201768E-2</c:v>
                  </c:pt>
                  <c:pt idx="1">
                    <c:v>3.4876421801562835E-2</c:v>
                  </c:pt>
                  <c:pt idx="2">
                    <c:v>2.414407021879577E-2</c:v>
                  </c:pt>
                  <c:pt idx="3">
                    <c:v>5.2585169624665598E-2</c:v>
                  </c:pt>
                </c:numCache>
              </c:numRef>
            </c:minus>
          </c:errBars>
          <c:cat>
            <c:strRef>
              <c:f>'ADP600'!$AD$45:$AD$48</c:f>
              <c:strCache>
                <c:ptCount val="4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</c:strCache>
            </c:strRef>
          </c:cat>
          <c:val>
            <c:numRef>
              <c:f>'ADP600'!$AE$45:$AE$48</c:f>
              <c:numCache>
                <c:formatCode>General</c:formatCode>
                <c:ptCount val="4"/>
                <c:pt idx="0">
                  <c:v>0.56538596982123235</c:v>
                </c:pt>
                <c:pt idx="1">
                  <c:v>0.54988961835965766</c:v>
                </c:pt>
                <c:pt idx="2">
                  <c:v>0.56851294882102754</c:v>
                </c:pt>
                <c:pt idx="3">
                  <c:v>0.52623986580595583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4-E348-B3F3-37E76FFF67B6}"/>
            </c:ext>
          </c:extLst>
        </c:ser>
        <c:ser>
          <c:idx val="1"/>
          <c:order val="1"/>
          <c:cat>
            <c:strRef>
              <c:f>'ADP600'!$AD$45:$AD$48</c:f>
              <c:strCache>
                <c:ptCount val="4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</c:strCache>
            </c:strRef>
          </c:cat>
          <c:val>
            <c:numRef>
              <c:f>'ADP600'!$AF$45:$AF$48</c:f>
              <c:numCache>
                <c:formatCode>General</c:formatCode>
                <c:ptCount val="4"/>
                <c:pt idx="0">
                  <c:v>0.34005727712181116</c:v>
                </c:pt>
                <c:pt idx="1">
                  <c:v>0.34954032574035304</c:v>
                </c:pt>
                <c:pt idx="2">
                  <c:v>0.43292370677381642</c:v>
                </c:pt>
                <c:pt idx="3">
                  <c:v>0.42997002822320596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4-E348-B3F3-37E76FFF67B6}"/>
            </c:ext>
          </c:extLst>
        </c:ser>
        <c:ser>
          <c:idx val="2"/>
          <c:order val="2"/>
          <c:val>
            <c:numRef>
              <c:f>'ADP600'!$AG$45:$AG$48</c:f>
              <c:numCache>
                <c:formatCode>General</c:formatCode>
                <c:ptCount val="4"/>
                <c:pt idx="0">
                  <c:v>1.6110840255766583</c:v>
                </c:pt>
                <c:pt idx="1">
                  <c:v>1.5532530662965855</c:v>
                </c:pt>
                <c:pt idx="2">
                  <c:v>1.6162468126163236</c:v>
                </c:pt>
                <c:pt idx="3">
                  <c:v>1.5210681670184989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4-E348-B3F3-37E76FFF6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767872"/>
        <c:axId val="484770192"/>
      </c:lineChart>
      <c:catAx>
        <c:axId val="4847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770192"/>
        <c:crosses val="autoZero"/>
        <c:auto val="1"/>
        <c:lblAlgn val="ctr"/>
        <c:lblOffset val="100"/>
        <c:noMultiLvlLbl val="0"/>
      </c:catAx>
      <c:valAx>
        <c:axId val="484770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47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U50MoADP!$H$44:$H$53</c:f>
              <c:numCache>
                <c:formatCode>General</c:formatCode>
                <c:ptCount val="10"/>
                <c:pt idx="0">
                  <c:v>0.73</c:v>
                </c:pt>
                <c:pt idx="1">
                  <c:v>0.73099999999999998</c:v>
                </c:pt>
                <c:pt idx="2">
                  <c:v>0.70099999999999996</c:v>
                </c:pt>
                <c:pt idx="3">
                  <c:v>0.72050000000000003</c:v>
                </c:pt>
                <c:pt idx="4">
                  <c:v>0.70250000000000001</c:v>
                </c:pt>
                <c:pt idx="5">
                  <c:v>0.72699999999999998</c:v>
                </c:pt>
                <c:pt idx="6">
                  <c:v>0.71699999999999997</c:v>
                </c:pt>
                <c:pt idx="7">
                  <c:v>0.72099999999999997</c:v>
                </c:pt>
                <c:pt idx="8">
                  <c:v>0.71</c:v>
                </c:pt>
                <c:pt idx="9">
                  <c:v>0.71450000000000002</c:v>
                </c:pt>
              </c:numCache>
            </c:numRef>
          </c:xVal>
          <c:yVal>
            <c:numRef>
              <c:f>U50MoADP!$D$44:$D$53</c:f>
              <c:numCache>
                <c:formatCode>General</c:formatCode>
                <c:ptCount val="10"/>
                <c:pt idx="0">
                  <c:v>-5.902002972</c:v>
                </c:pt>
                <c:pt idx="1">
                  <c:v>-5.9026436185</c:v>
                </c:pt>
                <c:pt idx="2">
                  <c:v>-5.8223968109999999</c:v>
                </c:pt>
                <c:pt idx="3">
                  <c:v>-5.875658015</c:v>
                </c:pt>
                <c:pt idx="4">
                  <c:v>-5.8297329055000002</c:v>
                </c:pt>
                <c:pt idx="5">
                  <c:v>-5.8945540100000002</c:v>
                </c:pt>
                <c:pt idx="6">
                  <c:v>-5.8654641860000005</c:v>
                </c:pt>
                <c:pt idx="7">
                  <c:v>-5.8726770015000005</c:v>
                </c:pt>
                <c:pt idx="8">
                  <c:v>-5.8439655385</c:v>
                </c:pt>
                <c:pt idx="9">
                  <c:v>-5.8562075670000002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F-264D-999A-316BA178B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25664"/>
        <c:axId val="519228144"/>
      </c:scatterChart>
      <c:valAx>
        <c:axId val="5192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28144"/>
        <c:crosses val="autoZero"/>
        <c:crossBetween val="midCat"/>
      </c:valAx>
      <c:valAx>
        <c:axId val="51922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2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03544759857001"/>
                  <c:y val="0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U50MoADP!$H$56:$H$65</c:f>
              <c:numCache>
                <c:formatCode>General</c:formatCode>
                <c:ptCount val="10"/>
                <c:pt idx="0">
                  <c:v>0.73750000000000004</c:v>
                </c:pt>
                <c:pt idx="1">
                  <c:v>0.73399999999999999</c:v>
                </c:pt>
                <c:pt idx="2">
                  <c:v>0.70399999999999996</c:v>
                </c:pt>
                <c:pt idx="3">
                  <c:v>0.72099999999999997</c:v>
                </c:pt>
                <c:pt idx="4">
                  <c:v>0.72099999999999997</c:v>
                </c:pt>
                <c:pt idx="5">
                  <c:v>0.71350000000000002</c:v>
                </c:pt>
                <c:pt idx="6">
                  <c:v>0.72099999999999997</c:v>
                </c:pt>
                <c:pt idx="7">
                  <c:v>0.70250000000000001</c:v>
                </c:pt>
                <c:pt idx="8">
                  <c:v>0.72</c:v>
                </c:pt>
                <c:pt idx="9">
                  <c:v>0.71399999999999997</c:v>
                </c:pt>
              </c:numCache>
            </c:numRef>
          </c:xVal>
          <c:yVal>
            <c:numRef>
              <c:f>U50MoADP!$D$56:$D$65</c:f>
              <c:numCache>
                <c:formatCode>General</c:formatCode>
                <c:ptCount val="10"/>
                <c:pt idx="0">
                  <c:v>-6.0492399045000003</c:v>
                </c:pt>
                <c:pt idx="1">
                  <c:v>-6.041110067</c:v>
                </c:pt>
                <c:pt idx="2">
                  <c:v>-5.9591544125000002</c:v>
                </c:pt>
                <c:pt idx="3">
                  <c:v>-6.0062180719999994</c:v>
                </c:pt>
                <c:pt idx="4">
                  <c:v>-6.0078865214999997</c:v>
                </c:pt>
                <c:pt idx="5">
                  <c:v>-5.9849775105000003</c:v>
                </c:pt>
                <c:pt idx="6">
                  <c:v>-6.0090806335</c:v>
                </c:pt>
                <c:pt idx="7">
                  <c:v>-5.9571035009999997</c:v>
                </c:pt>
                <c:pt idx="8">
                  <c:v>-6.0027828689999998</c:v>
                </c:pt>
                <c:pt idx="9">
                  <c:v>-5.9844725959999998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B-9744-A796-32500010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01968"/>
        <c:axId val="519204448"/>
      </c:scatterChart>
      <c:valAx>
        <c:axId val="5192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04448"/>
        <c:crosses val="autoZero"/>
        <c:crossBetween val="midCat"/>
      </c:valAx>
      <c:valAx>
        <c:axId val="51920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0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217436378446401"/>
                  <c:y val="-3.245697581215520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'ADP swelling 500K'!$O$3:$O$12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'ADP swelling 500K'!$K$3:$K$12</c:f>
              <c:numCache>
                <c:formatCode>General</c:formatCode>
                <c:ptCount val="10"/>
                <c:pt idx="0">
                  <c:v>-9386.9937499999996</c:v>
                </c:pt>
                <c:pt idx="1">
                  <c:v>-9381.4220700000005</c:v>
                </c:pt>
                <c:pt idx="2">
                  <c:v>-9358.9111229999999</c:v>
                </c:pt>
                <c:pt idx="3">
                  <c:v>-9401.3256309999997</c:v>
                </c:pt>
                <c:pt idx="4">
                  <c:v>-9395.9035719999993</c:v>
                </c:pt>
                <c:pt idx="5">
                  <c:v>-9392.097694</c:v>
                </c:pt>
                <c:pt idx="6">
                  <c:v>-9499.2689520000004</c:v>
                </c:pt>
                <c:pt idx="7">
                  <c:v>-9417.1722140000002</c:v>
                </c:pt>
                <c:pt idx="8">
                  <c:v>-9433.0701229999995</c:v>
                </c:pt>
                <c:pt idx="9">
                  <c:v>-9345.1976180000001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5-2248-B8A9-74860CA8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6160"/>
        <c:axId val="519258640"/>
      </c:scatterChart>
      <c:valAx>
        <c:axId val="5192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58640"/>
        <c:crosses val="autoZero"/>
        <c:crossBetween val="midCat"/>
      </c:valAx>
      <c:valAx>
        <c:axId val="51925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56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230296448053701"/>
                  <c:y val="-2.4208590692630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'ADP swelling 500K'!$O$3:$O$12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'ADP swelling 500K'!$L$3:$L$12</c:f>
              <c:numCache>
                <c:formatCode>General</c:formatCode>
                <c:ptCount val="10"/>
                <c:pt idx="0">
                  <c:v>39434.761297999998</c:v>
                </c:pt>
                <c:pt idx="1">
                  <c:v>39469.812361999997</c:v>
                </c:pt>
                <c:pt idx="2">
                  <c:v>39565.623994000001</c:v>
                </c:pt>
                <c:pt idx="3">
                  <c:v>39431.419669000003</c:v>
                </c:pt>
                <c:pt idx="4">
                  <c:v>39429.016356</c:v>
                </c:pt>
                <c:pt idx="5">
                  <c:v>39441.7454</c:v>
                </c:pt>
                <c:pt idx="6">
                  <c:v>39165.195846000002</c:v>
                </c:pt>
                <c:pt idx="7">
                  <c:v>39381.040373999997</c:v>
                </c:pt>
                <c:pt idx="8">
                  <c:v>39337.886485000003</c:v>
                </c:pt>
                <c:pt idx="9">
                  <c:v>39556.264410999996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D-0D49-9568-3199FB60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0080"/>
        <c:axId val="519282560"/>
      </c:scatterChart>
      <c:valAx>
        <c:axId val="51928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2560"/>
        <c:crosses val="autoZero"/>
        <c:crossBetween val="midCat"/>
      </c:valAx>
      <c:valAx>
        <c:axId val="51928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0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2.93449256342957E-2"/>
                  <c:y val="-9.5306576261300596E-2"/>
                </c:manualLayout>
              </c:layout>
              <c:numFmt formatCode="General" sourceLinked="0"/>
            </c:trendlineLbl>
          </c:trendline>
          <c:xVal>
            <c:numRef>
              <c:f>'ADP swelling 500K'!$U$61:$U$67</c:f>
              <c:numCache>
                <c:formatCode>General</c:formatCode>
                <c:ptCount val="7"/>
                <c:pt idx="0">
                  <c:v>-135.02771999999999</c:v>
                </c:pt>
                <c:pt idx="1">
                  <c:v>1276639.115919</c:v>
                </c:pt>
                <c:pt idx="2">
                  <c:v>804301.64331499999</c:v>
                </c:pt>
                <c:pt idx="3">
                  <c:v>465773.54377799999</c:v>
                </c:pt>
                <c:pt idx="4">
                  <c:v>194735.83384899999</c:v>
                </c:pt>
                <c:pt idx="5">
                  <c:v>-138077.835441</c:v>
                </c:pt>
                <c:pt idx="6">
                  <c:v>-237002.369546</c:v>
                </c:pt>
              </c:numCache>
            </c:numRef>
          </c:xVal>
          <c:yVal>
            <c:numRef>
              <c:f>'ADP swelling 500K'!$S$61:$S$67</c:f>
              <c:numCache>
                <c:formatCode>General</c:formatCode>
                <c:ptCount val="7"/>
                <c:pt idx="0">
                  <c:v>-55925.033982000001</c:v>
                </c:pt>
                <c:pt idx="1">
                  <c:v>-47266.831805000002</c:v>
                </c:pt>
                <c:pt idx="2">
                  <c:v>-51564.203749</c:v>
                </c:pt>
                <c:pt idx="3">
                  <c:v>-54267.341177000002</c:v>
                </c:pt>
                <c:pt idx="4">
                  <c:v>-55648.372081000001</c:v>
                </c:pt>
                <c:pt idx="5">
                  <c:v>-55378.679441</c:v>
                </c:pt>
                <c:pt idx="6">
                  <c:v>-54180.650808999999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C-324B-8A53-DAE2F29E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03584"/>
        <c:axId val="519306064"/>
      </c:scatterChart>
      <c:valAx>
        <c:axId val="5193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306064"/>
        <c:crosses val="autoZero"/>
        <c:crossBetween val="midCat"/>
      </c:valAx>
      <c:valAx>
        <c:axId val="519306064"/>
        <c:scaling>
          <c:orientation val="minMax"/>
          <c:max val="-40000"/>
        </c:scaling>
        <c:delete val="0"/>
        <c:axPos val="l"/>
        <c:numFmt formatCode="General" sourceLinked="1"/>
        <c:majorTickMark val="out"/>
        <c:minorTickMark val="none"/>
        <c:tickLblPos val="nextTo"/>
        <c:crossAx val="51930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'atom swap'!$B$59:$B$78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'atom swap'!$D$59:$D$78</c:f>
              <c:numCache>
                <c:formatCode>General</c:formatCode>
                <c:ptCount val="20"/>
                <c:pt idx="0">
                  <c:v>-35535.727783000002</c:v>
                </c:pt>
                <c:pt idx="1">
                  <c:v>-35551.326651000003</c:v>
                </c:pt>
                <c:pt idx="2">
                  <c:v>-35566.095209999999</c:v>
                </c:pt>
                <c:pt idx="3">
                  <c:v>-35560.878568</c:v>
                </c:pt>
                <c:pt idx="4">
                  <c:v>-35575.516021000003</c:v>
                </c:pt>
                <c:pt idx="5">
                  <c:v>-35579.159216</c:v>
                </c:pt>
                <c:pt idx="6">
                  <c:v>-35584.740111999999</c:v>
                </c:pt>
                <c:pt idx="7">
                  <c:v>-35579.966697999997</c:v>
                </c:pt>
                <c:pt idx="8">
                  <c:v>-35572.175435999998</c:v>
                </c:pt>
                <c:pt idx="9">
                  <c:v>-35589.167229999999</c:v>
                </c:pt>
                <c:pt idx="10">
                  <c:v>-35588.699994000002</c:v>
                </c:pt>
                <c:pt idx="11">
                  <c:v>-35581.468934999997</c:v>
                </c:pt>
                <c:pt idx="12">
                  <c:v>-35586.385365000002</c:v>
                </c:pt>
                <c:pt idx="13">
                  <c:v>-35582.147086999998</c:v>
                </c:pt>
                <c:pt idx="14">
                  <c:v>-35585.400077999999</c:v>
                </c:pt>
                <c:pt idx="15">
                  <c:v>-35572.819818999997</c:v>
                </c:pt>
                <c:pt idx="16">
                  <c:v>-35585.166889</c:v>
                </c:pt>
                <c:pt idx="17">
                  <c:v>-35590.332635999999</c:v>
                </c:pt>
                <c:pt idx="18">
                  <c:v>-35581.909236</c:v>
                </c:pt>
                <c:pt idx="19">
                  <c:v>-35571.801065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8-A645-AC55-A2E58ADB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77232"/>
        <c:axId val="410679552"/>
      </c:scatterChart>
      <c:valAx>
        <c:axId val="41067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679552"/>
        <c:crosses val="autoZero"/>
        <c:crossBetween val="midCat"/>
      </c:valAx>
      <c:valAx>
        <c:axId val="41067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067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'atom swap'!$H$59:$H$78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'atom swap'!$J$59:$J$78</c:f>
              <c:numCache>
                <c:formatCode>General</c:formatCode>
                <c:ptCount val="20"/>
                <c:pt idx="0">
                  <c:v>-35263.670643999998</c:v>
                </c:pt>
                <c:pt idx="1">
                  <c:v>-35284.649657000002</c:v>
                </c:pt>
                <c:pt idx="2">
                  <c:v>-35275.965523999999</c:v>
                </c:pt>
                <c:pt idx="3">
                  <c:v>-35260.946880000003</c:v>
                </c:pt>
                <c:pt idx="4">
                  <c:v>-35295.831924999999</c:v>
                </c:pt>
                <c:pt idx="5">
                  <c:v>-35291.140837999999</c:v>
                </c:pt>
                <c:pt idx="6">
                  <c:v>-35302.975617999997</c:v>
                </c:pt>
                <c:pt idx="7">
                  <c:v>-35323.719029</c:v>
                </c:pt>
                <c:pt idx="8">
                  <c:v>-35326.346176999999</c:v>
                </c:pt>
                <c:pt idx="9">
                  <c:v>-35307.516301000003</c:v>
                </c:pt>
                <c:pt idx="10">
                  <c:v>-35326.004129000001</c:v>
                </c:pt>
                <c:pt idx="11">
                  <c:v>-35310.909701999997</c:v>
                </c:pt>
                <c:pt idx="12">
                  <c:v>-35308.205114999997</c:v>
                </c:pt>
                <c:pt idx="13">
                  <c:v>-35323.142394000002</c:v>
                </c:pt>
                <c:pt idx="14">
                  <c:v>-35316.129690000002</c:v>
                </c:pt>
                <c:pt idx="15">
                  <c:v>-35325.059699999998</c:v>
                </c:pt>
                <c:pt idx="16">
                  <c:v>-35313.561027999996</c:v>
                </c:pt>
                <c:pt idx="17">
                  <c:v>-35328.043015000003</c:v>
                </c:pt>
                <c:pt idx="18">
                  <c:v>-35309.80414</c:v>
                </c:pt>
                <c:pt idx="19">
                  <c:v>-35331.185654000001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E-694E-91D5-591AA3B1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98128"/>
        <c:axId val="410700448"/>
      </c:scatterChart>
      <c:valAx>
        <c:axId val="41069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00448"/>
        <c:crosses val="autoZero"/>
        <c:crossBetween val="midCat"/>
      </c:valAx>
      <c:valAx>
        <c:axId val="410700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069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'atom swap'!$H$8:$H$57</c:f>
              <c:numCache>
                <c:formatCode>General</c:formatCode>
                <c:ptCount val="50"/>
                <c:pt idx="0">
                  <c:v>-89.930400000000006</c:v>
                </c:pt>
                <c:pt idx="1">
                  <c:v>-86.259699999999995</c:v>
                </c:pt>
                <c:pt idx="2">
                  <c:v>-82.589100000000002</c:v>
                </c:pt>
                <c:pt idx="3">
                  <c:v>-78.918499999999995</c:v>
                </c:pt>
                <c:pt idx="4">
                  <c:v>-75.247799999999998</c:v>
                </c:pt>
                <c:pt idx="5">
                  <c:v>-71.577200000000005</c:v>
                </c:pt>
                <c:pt idx="6">
                  <c:v>-67.906599999999997</c:v>
                </c:pt>
                <c:pt idx="7">
                  <c:v>-64.236000000000004</c:v>
                </c:pt>
                <c:pt idx="8">
                  <c:v>-60.565300000000001</c:v>
                </c:pt>
                <c:pt idx="9">
                  <c:v>-56.8947</c:v>
                </c:pt>
                <c:pt idx="10">
                  <c:v>-53.2241</c:v>
                </c:pt>
                <c:pt idx="11">
                  <c:v>-49.5535</c:v>
                </c:pt>
                <c:pt idx="12">
                  <c:v>-45.882800000000003</c:v>
                </c:pt>
                <c:pt idx="13">
                  <c:v>-42.212200000000003</c:v>
                </c:pt>
                <c:pt idx="14">
                  <c:v>-38.541600000000003</c:v>
                </c:pt>
                <c:pt idx="15">
                  <c:v>-34.871000000000002</c:v>
                </c:pt>
                <c:pt idx="16">
                  <c:v>-31.200299999999999</c:v>
                </c:pt>
                <c:pt idx="17">
                  <c:v>-27.529699999999998</c:v>
                </c:pt>
                <c:pt idx="18">
                  <c:v>-23.859100000000002</c:v>
                </c:pt>
                <c:pt idx="19">
                  <c:v>-20.188400000000001</c:v>
                </c:pt>
                <c:pt idx="20">
                  <c:v>-16.517800000000001</c:v>
                </c:pt>
                <c:pt idx="21">
                  <c:v>-12.847200000000001</c:v>
                </c:pt>
                <c:pt idx="22">
                  <c:v>-9.1765699999999999</c:v>
                </c:pt>
                <c:pt idx="23">
                  <c:v>-5.5059399999999998</c:v>
                </c:pt>
                <c:pt idx="24">
                  <c:v>-1.83531</c:v>
                </c:pt>
                <c:pt idx="25">
                  <c:v>1.83531</c:v>
                </c:pt>
                <c:pt idx="26">
                  <c:v>5.5059399999999998</c:v>
                </c:pt>
                <c:pt idx="27">
                  <c:v>9.1765699999999999</c:v>
                </c:pt>
                <c:pt idx="28">
                  <c:v>12.847200000000001</c:v>
                </c:pt>
                <c:pt idx="29">
                  <c:v>16.517800000000001</c:v>
                </c:pt>
                <c:pt idx="30">
                  <c:v>20.188400000000001</c:v>
                </c:pt>
                <c:pt idx="31">
                  <c:v>23.859100000000002</c:v>
                </c:pt>
                <c:pt idx="32">
                  <c:v>27.529699999999998</c:v>
                </c:pt>
                <c:pt idx="33">
                  <c:v>31.200299999999999</c:v>
                </c:pt>
                <c:pt idx="34">
                  <c:v>34.871000000000002</c:v>
                </c:pt>
                <c:pt idx="35">
                  <c:v>38.541600000000003</c:v>
                </c:pt>
                <c:pt idx="36">
                  <c:v>42.212200000000003</c:v>
                </c:pt>
                <c:pt idx="37">
                  <c:v>45.882800000000003</c:v>
                </c:pt>
                <c:pt idx="38">
                  <c:v>49.5535</c:v>
                </c:pt>
                <c:pt idx="39">
                  <c:v>53.2241</c:v>
                </c:pt>
                <c:pt idx="40">
                  <c:v>56.8947</c:v>
                </c:pt>
                <c:pt idx="41">
                  <c:v>60.565300000000001</c:v>
                </c:pt>
                <c:pt idx="42">
                  <c:v>64.236000000000004</c:v>
                </c:pt>
                <c:pt idx="43">
                  <c:v>67.906599999999997</c:v>
                </c:pt>
                <c:pt idx="44">
                  <c:v>71.577200000000005</c:v>
                </c:pt>
                <c:pt idx="45">
                  <c:v>75.247799999999998</c:v>
                </c:pt>
                <c:pt idx="46">
                  <c:v>78.918499999999995</c:v>
                </c:pt>
                <c:pt idx="47">
                  <c:v>82.589100000000002</c:v>
                </c:pt>
                <c:pt idx="48">
                  <c:v>86.259699999999995</c:v>
                </c:pt>
                <c:pt idx="49">
                  <c:v>89.930400000000006</c:v>
                </c:pt>
              </c:numCache>
            </c:numRef>
          </c:xVal>
          <c:yVal>
            <c:numRef>
              <c:f>'atom swap'!$I$8:$I$57</c:f>
              <c:numCache>
                <c:formatCode>General</c:formatCode>
                <c:ptCount val="50"/>
                <c:pt idx="0">
                  <c:v>38</c:v>
                </c:pt>
                <c:pt idx="1">
                  <c:v>23</c:v>
                </c:pt>
                <c:pt idx="2">
                  <c:v>44</c:v>
                </c:pt>
                <c:pt idx="3">
                  <c:v>26</c:v>
                </c:pt>
                <c:pt idx="4">
                  <c:v>29</c:v>
                </c:pt>
                <c:pt idx="5">
                  <c:v>37</c:v>
                </c:pt>
                <c:pt idx="6">
                  <c:v>29</c:v>
                </c:pt>
                <c:pt idx="7">
                  <c:v>38</c:v>
                </c:pt>
                <c:pt idx="8">
                  <c:v>34</c:v>
                </c:pt>
                <c:pt idx="9">
                  <c:v>36</c:v>
                </c:pt>
                <c:pt idx="10">
                  <c:v>36</c:v>
                </c:pt>
                <c:pt idx="11">
                  <c:v>29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28</c:v>
                </c:pt>
                <c:pt idx="16">
                  <c:v>33</c:v>
                </c:pt>
                <c:pt idx="17">
                  <c:v>39</c:v>
                </c:pt>
                <c:pt idx="18">
                  <c:v>43</c:v>
                </c:pt>
                <c:pt idx="19">
                  <c:v>27</c:v>
                </c:pt>
                <c:pt idx="20">
                  <c:v>38</c:v>
                </c:pt>
                <c:pt idx="21">
                  <c:v>33</c:v>
                </c:pt>
                <c:pt idx="22">
                  <c:v>24</c:v>
                </c:pt>
                <c:pt idx="23">
                  <c:v>31</c:v>
                </c:pt>
                <c:pt idx="24">
                  <c:v>36</c:v>
                </c:pt>
                <c:pt idx="25">
                  <c:v>40</c:v>
                </c:pt>
                <c:pt idx="26">
                  <c:v>28</c:v>
                </c:pt>
                <c:pt idx="27">
                  <c:v>34</c:v>
                </c:pt>
                <c:pt idx="28">
                  <c:v>34</c:v>
                </c:pt>
                <c:pt idx="29">
                  <c:v>32</c:v>
                </c:pt>
                <c:pt idx="30">
                  <c:v>28</c:v>
                </c:pt>
                <c:pt idx="31">
                  <c:v>33</c:v>
                </c:pt>
                <c:pt idx="32">
                  <c:v>42</c:v>
                </c:pt>
                <c:pt idx="33">
                  <c:v>35</c:v>
                </c:pt>
                <c:pt idx="34">
                  <c:v>36</c:v>
                </c:pt>
                <c:pt idx="35">
                  <c:v>28</c:v>
                </c:pt>
                <c:pt idx="36">
                  <c:v>37</c:v>
                </c:pt>
                <c:pt idx="37">
                  <c:v>31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44</c:v>
                </c:pt>
                <c:pt idx="43">
                  <c:v>39</c:v>
                </c:pt>
                <c:pt idx="44">
                  <c:v>30</c:v>
                </c:pt>
                <c:pt idx="45">
                  <c:v>34</c:v>
                </c:pt>
                <c:pt idx="46">
                  <c:v>42</c:v>
                </c:pt>
                <c:pt idx="47">
                  <c:v>22</c:v>
                </c:pt>
                <c:pt idx="48">
                  <c:v>44</c:v>
                </c:pt>
                <c:pt idx="4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8-C74F-889B-88411B93CFB0}"/>
            </c:ext>
          </c:extLst>
        </c:ser>
        <c:ser>
          <c:idx val="1"/>
          <c:order val="1"/>
          <c:xVal>
            <c:numRef>
              <c:f>'atom swap'!$J$8:$J$57</c:f>
              <c:numCache>
                <c:formatCode>General</c:formatCode>
                <c:ptCount val="50"/>
                <c:pt idx="0">
                  <c:v>-89.795100000000005</c:v>
                </c:pt>
                <c:pt idx="1">
                  <c:v>-86.13</c:v>
                </c:pt>
                <c:pt idx="2">
                  <c:v>-82.4649</c:v>
                </c:pt>
                <c:pt idx="3">
                  <c:v>-78.799800000000005</c:v>
                </c:pt>
                <c:pt idx="4">
                  <c:v>-75.134699999999995</c:v>
                </c:pt>
                <c:pt idx="5">
                  <c:v>-71.4696</c:v>
                </c:pt>
                <c:pt idx="6">
                  <c:v>-67.804500000000004</c:v>
                </c:pt>
                <c:pt idx="7">
                  <c:v>-64.139399999999995</c:v>
                </c:pt>
                <c:pt idx="8">
                  <c:v>-60.474299999999999</c:v>
                </c:pt>
                <c:pt idx="9">
                  <c:v>-56.809199999999997</c:v>
                </c:pt>
                <c:pt idx="10">
                  <c:v>-53.144100000000002</c:v>
                </c:pt>
                <c:pt idx="11">
                  <c:v>-49.478999999999999</c:v>
                </c:pt>
                <c:pt idx="12">
                  <c:v>-45.813899999999997</c:v>
                </c:pt>
                <c:pt idx="13">
                  <c:v>-42.148699999999998</c:v>
                </c:pt>
                <c:pt idx="14">
                  <c:v>-38.483600000000003</c:v>
                </c:pt>
                <c:pt idx="15">
                  <c:v>-34.8185</c:v>
                </c:pt>
                <c:pt idx="16">
                  <c:v>-31.153400000000001</c:v>
                </c:pt>
                <c:pt idx="17">
                  <c:v>-27.488299999999999</c:v>
                </c:pt>
                <c:pt idx="18">
                  <c:v>-23.8232</c:v>
                </c:pt>
                <c:pt idx="19">
                  <c:v>-20.158100000000001</c:v>
                </c:pt>
                <c:pt idx="20">
                  <c:v>-16.492999999999999</c:v>
                </c:pt>
                <c:pt idx="21">
                  <c:v>-12.8279</c:v>
                </c:pt>
                <c:pt idx="22">
                  <c:v>-9.1627700000000001</c:v>
                </c:pt>
                <c:pt idx="23">
                  <c:v>-5.4976700000000003</c:v>
                </c:pt>
                <c:pt idx="24">
                  <c:v>-1.83256</c:v>
                </c:pt>
                <c:pt idx="25">
                  <c:v>1.8325499999999999</c:v>
                </c:pt>
                <c:pt idx="26">
                  <c:v>5.4976599999999998</c:v>
                </c:pt>
                <c:pt idx="27">
                  <c:v>9.1627700000000001</c:v>
                </c:pt>
                <c:pt idx="28">
                  <c:v>12.8279</c:v>
                </c:pt>
                <c:pt idx="29">
                  <c:v>16.492999999999999</c:v>
                </c:pt>
                <c:pt idx="30">
                  <c:v>20.158100000000001</c:v>
                </c:pt>
                <c:pt idx="31">
                  <c:v>23.8232</c:v>
                </c:pt>
                <c:pt idx="32">
                  <c:v>27.488299999999999</c:v>
                </c:pt>
                <c:pt idx="33">
                  <c:v>31.153400000000001</c:v>
                </c:pt>
                <c:pt idx="34">
                  <c:v>34.8185</c:v>
                </c:pt>
                <c:pt idx="35">
                  <c:v>38.483600000000003</c:v>
                </c:pt>
                <c:pt idx="36">
                  <c:v>42.148699999999998</c:v>
                </c:pt>
                <c:pt idx="37">
                  <c:v>45.813800000000001</c:v>
                </c:pt>
                <c:pt idx="38">
                  <c:v>49.478999999999999</c:v>
                </c:pt>
                <c:pt idx="39">
                  <c:v>53.144100000000002</c:v>
                </c:pt>
                <c:pt idx="40">
                  <c:v>56.809199999999997</c:v>
                </c:pt>
                <c:pt idx="41">
                  <c:v>60.474299999999999</c:v>
                </c:pt>
                <c:pt idx="42">
                  <c:v>64.139399999999995</c:v>
                </c:pt>
                <c:pt idx="43">
                  <c:v>67.804500000000004</c:v>
                </c:pt>
                <c:pt idx="44">
                  <c:v>71.4696</c:v>
                </c:pt>
                <c:pt idx="45">
                  <c:v>75.134699999999995</c:v>
                </c:pt>
                <c:pt idx="46">
                  <c:v>78.799800000000005</c:v>
                </c:pt>
                <c:pt idx="47">
                  <c:v>82.4649</c:v>
                </c:pt>
                <c:pt idx="48">
                  <c:v>86.13</c:v>
                </c:pt>
                <c:pt idx="49">
                  <c:v>89.795199999999994</c:v>
                </c:pt>
              </c:numCache>
            </c:numRef>
          </c:xVal>
          <c:yVal>
            <c:numRef>
              <c:f>'atom swap'!$K$8:$K$57</c:f>
              <c:numCache>
                <c:formatCode>General</c:formatCode>
                <c:ptCount val="50"/>
                <c:pt idx="0">
                  <c:v>30</c:v>
                </c:pt>
                <c:pt idx="1">
                  <c:v>29</c:v>
                </c:pt>
                <c:pt idx="2">
                  <c:v>49</c:v>
                </c:pt>
                <c:pt idx="3">
                  <c:v>32</c:v>
                </c:pt>
                <c:pt idx="4">
                  <c:v>28</c:v>
                </c:pt>
                <c:pt idx="5">
                  <c:v>39</c:v>
                </c:pt>
                <c:pt idx="6">
                  <c:v>32</c:v>
                </c:pt>
                <c:pt idx="7">
                  <c:v>33</c:v>
                </c:pt>
                <c:pt idx="8">
                  <c:v>41</c:v>
                </c:pt>
                <c:pt idx="9">
                  <c:v>29</c:v>
                </c:pt>
                <c:pt idx="10">
                  <c:v>33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47</c:v>
                </c:pt>
                <c:pt idx="19">
                  <c:v>26</c:v>
                </c:pt>
                <c:pt idx="20">
                  <c:v>55</c:v>
                </c:pt>
                <c:pt idx="21">
                  <c:v>33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26</c:v>
                </c:pt>
                <c:pt idx="26">
                  <c:v>30</c:v>
                </c:pt>
                <c:pt idx="27">
                  <c:v>36</c:v>
                </c:pt>
                <c:pt idx="28">
                  <c:v>30</c:v>
                </c:pt>
                <c:pt idx="29">
                  <c:v>23</c:v>
                </c:pt>
                <c:pt idx="30">
                  <c:v>24</c:v>
                </c:pt>
                <c:pt idx="31">
                  <c:v>31</c:v>
                </c:pt>
                <c:pt idx="32">
                  <c:v>39</c:v>
                </c:pt>
                <c:pt idx="33">
                  <c:v>27</c:v>
                </c:pt>
                <c:pt idx="34">
                  <c:v>37</c:v>
                </c:pt>
                <c:pt idx="35">
                  <c:v>44</c:v>
                </c:pt>
                <c:pt idx="36">
                  <c:v>29</c:v>
                </c:pt>
                <c:pt idx="37">
                  <c:v>45</c:v>
                </c:pt>
                <c:pt idx="38">
                  <c:v>39</c:v>
                </c:pt>
                <c:pt idx="39">
                  <c:v>44</c:v>
                </c:pt>
                <c:pt idx="40">
                  <c:v>42</c:v>
                </c:pt>
                <c:pt idx="41">
                  <c:v>40</c:v>
                </c:pt>
                <c:pt idx="42">
                  <c:v>41</c:v>
                </c:pt>
                <c:pt idx="43">
                  <c:v>37</c:v>
                </c:pt>
                <c:pt idx="44">
                  <c:v>25</c:v>
                </c:pt>
                <c:pt idx="45">
                  <c:v>33</c:v>
                </c:pt>
                <c:pt idx="46">
                  <c:v>39</c:v>
                </c:pt>
                <c:pt idx="47">
                  <c:v>32</c:v>
                </c:pt>
                <c:pt idx="48">
                  <c:v>32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8-C74F-889B-88411B93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22720"/>
        <c:axId val="410725040"/>
      </c:scatterChart>
      <c:valAx>
        <c:axId val="4107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25040"/>
        <c:crosses val="autoZero"/>
        <c:crossBetween val="midCat"/>
      </c:valAx>
      <c:valAx>
        <c:axId val="410725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072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'atom swap'!$B$8:$B$57</c:f>
              <c:numCache>
                <c:formatCode>General</c:formatCode>
                <c:ptCount val="50"/>
                <c:pt idx="0">
                  <c:v>-89.930400000000006</c:v>
                </c:pt>
                <c:pt idx="1">
                  <c:v>-86.259699999999995</c:v>
                </c:pt>
                <c:pt idx="2">
                  <c:v>-82.589100000000002</c:v>
                </c:pt>
                <c:pt idx="3">
                  <c:v>-78.918499999999995</c:v>
                </c:pt>
                <c:pt idx="4">
                  <c:v>-75.247799999999998</c:v>
                </c:pt>
                <c:pt idx="5">
                  <c:v>-71.577200000000005</c:v>
                </c:pt>
                <c:pt idx="6">
                  <c:v>-67.906599999999997</c:v>
                </c:pt>
                <c:pt idx="7">
                  <c:v>-64.236000000000004</c:v>
                </c:pt>
                <c:pt idx="8">
                  <c:v>-60.565300000000001</c:v>
                </c:pt>
                <c:pt idx="9">
                  <c:v>-56.8947</c:v>
                </c:pt>
                <c:pt idx="10">
                  <c:v>-53.2241</c:v>
                </c:pt>
                <c:pt idx="11">
                  <c:v>-49.5535</c:v>
                </c:pt>
                <c:pt idx="12">
                  <c:v>-45.882800000000003</c:v>
                </c:pt>
                <c:pt idx="13">
                  <c:v>-42.212200000000003</c:v>
                </c:pt>
                <c:pt idx="14">
                  <c:v>-38.541600000000003</c:v>
                </c:pt>
                <c:pt idx="15">
                  <c:v>-34.871000000000002</c:v>
                </c:pt>
                <c:pt idx="16">
                  <c:v>-31.200299999999999</c:v>
                </c:pt>
                <c:pt idx="17">
                  <c:v>-27.529699999999998</c:v>
                </c:pt>
                <c:pt idx="18">
                  <c:v>-23.859100000000002</c:v>
                </c:pt>
                <c:pt idx="19">
                  <c:v>-20.188400000000001</c:v>
                </c:pt>
                <c:pt idx="20">
                  <c:v>-16.517800000000001</c:v>
                </c:pt>
                <c:pt idx="21">
                  <c:v>-12.847200000000001</c:v>
                </c:pt>
                <c:pt idx="22">
                  <c:v>-9.1765699999999999</c:v>
                </c:pt>
                <c:pt idx="23">
                  <c:v>-5.5059399999999998</c:v>
                </c:pt>
                <c:pt idx="24">
                  <c:v>-1.83531</c:v>
                </c:pt>
                <c:pt idx="25">
                  <c:v>1.83531</c:v>
                </c:pt>
                <c:pt idx="26">
                  <c:v>5.5059399999999998</c:v>
                </c:pt>
                <c:pt idx="27">
                  <c:v>9.1765699999999999</c:v>
                </c:pt>
                <c:pt idx="28">
                  <c:v>12.847200000000001</c:v>
                </c:pt>
                <c:pt idx="29">
                  <c:v>16.517800000000001</c:v>
                </c:pt>
                <c:pt idx="30">
                  <c:v>20.188400000000001</c:v>
                </c:pt>
                <c:pt idx="31">
                  <c:v>23.859100000000002</c:v>
                </c:pt>
                <c:pt idx="32">
                  <c:v>27.529699999999998</c:v>
                </c:pt>
                <c:pt idx="33">
                  <c:v>31.200299999999999</c:v>
                </c:pt>
                <c:pt idx="34">
                  <c:v>34.871000000000002</c:v>
                </c:pt>
                <c:pt idx="35">
                  <c:v>38.541600000000003</c:v>
                </c:pt>
                <c:pt idx="36">
                  <c:v>42.212200000000003</c:v>
                </c:pt>
                <c:pt idx="37">
                  <c:v>45.882800000000003</c:v>
                </c:pt>
                <c:pt idx="38">
                  <c:v>49.5535</c:v>
                </c:pt>
                <c:pt idx="39">
                  <c:v>53.2241</c:v>
                </c:pt>
                <c:pt idx="40">
                  <c:v>56.8947</c:v>
                </c:pt>
                <c:pt idx="41">
                  <c:v>60.565300000000001</c:v>
                </c:pt>
                <c:pt idx="42">
                  <c:v>64.236000000000004</c:v>
                </c:pt>
                <c:pt idx="43">
                  <c:v>67.906599999999997</c:v>
                </c:pt>
                <c:pt idx="44">
                  <c:v>71.577200000000005</c:v>
                </c:pt>
                <c:pt idx="45">
                  <c:v>75.247799999999998</c:v>
                </c:pt>
                <c:pt idx="46">
                  <c:v>78.918499999999995</c:v>
                </c:pt>
                <c:pt idx="47">
                  <c:v>82.589100000000002</c:v>
                </c:pt>
                <c:pt idx="48">
                  <c:v>86.259699999999995</c:v>
                </c:pt>
                <c:pt idx="49">
                  <c:v>89.930400000000006</c:v>
                </c:pt>
              </c:numCache>
            </c:numRef>
          </c:xVal>
          <c:yVal>
            <c:numRef>
              <c:f>'atom swap'!$C$8:$C$57</c:f>
              <c:numCache>
                <c:formatCode>General</c:formatCode>
                <c:ptCount val="50"/>
                <c:pt idx="0">
                  <c:v>38</c:v>
                </c:pt>
                <c:pt idx="1">
                  <c:v>23</c:v>
                </c:pt>
                <c:pt idx="2">
                  <c:v>44</c:v>
                </c:pt>
                <c:pt idx="3">
                  <c:v>26</c:v>
                </c:pt>
                <c:pt idx="4">
                  <c:v>29</c:v>
                </c:pt>
                <c:pt idx="5">
                  <c:v>37</c:v>
                </c:pt>
                <c:pt idx="6">
                  <c:v>29</c:v>
                </c:pt>
                <c:pt idx="7">
                  <c:v>38</c:v>
                </c:pt>
                <c:pt idx="8">
                  <c:v>34</c:v>
                </c:pt>
                <c:pt idx="9">
                  <c:v>36</c:v>
                </c:pt>
                <c:pt idx="10">
                  <c:v>36</c:v>
                </c:pt>
                <c:pt idx="11">
                  <c:v>29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28</c:v>
                </c:pt>
                <c:pt idx="16">
                  <c:v>33</c:v>
                </c:pt>
                <c:pt idx="17">
                  <c:v>39</c:v>
                </c:pt>
                <c:pt idx="18">
                  <c:v>43</c:v>
                </c:pt>
                <c:pt idx="19">
                  <c:v>27</c:v>
                </c:pt>
                <c:pt idx="20">
                  <c:v>38</c:v>
                </c:pt>
                <c:pt idx="21">
                  <c:v>33</c:v>
                </c:pt>
                <c:pt idx="22">
                  <c:v>24</c:v>
                </c:pt>
                <c:pt idx="23">
                  <c:v>31</c:v>
                </c:pt>
                <c:pt idx="24">
                  <c:v>36</c:v>
                </c:pt>
                <c:pt idx="25">
                  <c:v>40</c:v>
                </c:pt>
                <c:pt idx="26">
                  <c:v>28</c:v>
                </c:pt>
                <c:pt idx="27">
                  <c:v>34</c:v>
                </c:pt>
                <c:pt idx="28">
                  <c:v>34</c:v>
                </c:pt>
                <c:pt idx="29">
                  <c:v>32</c:v>
                </c:pt>
                <c:pt idx="30">
                  <c:v>28</c:v>
                </c:pt>
                <c:pt idx="31">
                  <c:v>33</c:v>
                </c:pt>
                <c:pt idx="32">
                  <c:v>42</c:v>
                </c:pt>
                <c:pt idx="33">
                  <c:v>35</c:v>
                </c:pt>
                <c:pt idx="34">
                  <c:v>36</c:v>
                </c:pt>
                <c:pt idx="35">
                  <c:v>28</c:v>
                </c:pt>
                <c:pt idx="36">
                  <c:v>37</c:v>
                </c:pt>
                <c:pt idx="37">
                  <c:v>31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44</c:v>
                </c:pt>
                <c:pt idx="43">
                  <c:v>39</c:v>
                </c:pt>
                <c:pt idx="44">
                  <c:v>30</c:v>
                </c:pt>
                <c:pt idx="45">
                  <c:v>34</c:v>
                </c:pt>
                <c:pt idx="46">
                  <c:v>42</c:v>
                </c:pt>
                <c:pt idx="47">
                  <c:v>22</c:v>
                </c:pt>
                <c:pt idx="48">
                  <c:v>44</c:v>
                </c:pt>
                <c:pt idx="4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8-AB47-8DEC-F2462226CAD1}"/>
            </c:ext>
          </c:extLst>
        </c:ser>
        <c:ser>
          <c:idx val="1"/>
          <c:order val="1"/>
          <c:marker>
            <c:symbol val="none"/>
          </c:marker>
          <c:xVal>
            <c:numRef>
              <c:f>'atom swap'!$D$8:$D$57</c:f>
              <c:numCache>
                <c:formatCode>General</c:formatCode>
                <c:ptCount val="50"/>
                <c:pt idx="0">
                  <c:v>-89.564400000000006</c:v>
                </c:pt>
                <c:pt idx="1">
                  <c:v>-85.908699999999996</c:v>
                </c:pt>
                <c:pt idx="2">
                  <c:v>-82.253</c:v>
                </c:pt>
                <c:pt idx="3">
                  <c:v>-78.597300000000004</c:v>
                </c:pt>
                <c:pt idx="4">
                  <c:v>-74.941699999999997</c:v>
                </c:pt>
                <c:pt idx="5">
                  <c:v>-71.286000000000001</c:v>
                </c:pt>
                <c:pt idx="6">
                  <c:v>-67.630300000000005</c:v>
                </c:pt>
                <c:pt idx="7">
                  <c:v>-63.974600000000002</c:v>
                </c:pt>
                <c:pt idx="8">
                  <c:v>-60.318899999999999</c:v>
                </c:pt>
                <c:pt idx="9">
                  <c:v>-56.663200000000003</c:v>
                </c:pt>
                <c:pt idx="10">
                  <c:v>-53.0075</c:v>
                </c:pt>
                <c:pt idx="11">
                  <c:v>-49.351799999999997</c:v>
                </c:pt>
                <c:pt idx="12">
                  <c:v>-45.696100000000001</c:v>
                </c:pt>
                <c:pt idx="13">
                  <c:v>-42.040399999999998</c:v>
                </c:pt>
                <c:pt idx="14">
                  <c:v>-38.384799999999998</c:v>
                </c:pt>
                <c:pt idx="15">
                  <c:v>-34.729100000000003</c:v>
                </c:pt>
                <c:pt idx="16">
                  <c:v>-31.073399999999999</c:v>
                </c:pt>
                <c:pt idx="17">
                  <c:v>-27.4177</c:v>
                </c:pt>
                <c:pt idx="18">
                  <c:v>-23.762</c:v>
                </c:pt>
                <c:pt idx="19">
                  <c:v>-20.106300000000001</c:v>
                </c:pt>
                <c:pt idx="20">
                  <c:v>-16.450600000000001</c:v>
                </c:pt>
                <c:pt idx="21">
                  <c:v>-12.7949</c:v>
                </c:pt>
                <c:pt idx="22">
                  <c:v>-9.1392299999999995</c:v>
                </c:pt>
                <c:pt idx="23">
                  <c:v>-5.4835399999999996</c:v>
                </c:pt>
                <c:pt idx="24">
                  <c:v>-1.82785</c:v>
                </c:pt>
                <c:pt idx="25">
                  <c:v>1.8278399999999999</c:v>
                </c:pt>
                <c:pt idx="26">
                  <c:v>5.4835399999999996</c:v>
                </c:pt>
                <c:pt idx="27">
                  <c:v>9.1392199999999999</c:v>
                </c:pt>
                <c:pt idx="28">
                  <c:v>12.7949</c:v>
                </c:pt>
                <c:pt idx="29">
                  <c:v>16.450600000000001</c:v>
                </c:pt>
                <c:pt idx="30">
                  <c:v>20.106300000000001</c:v>
                </c:pt>
                <c:pt idx="31">
                  <c:v>23.762</c:v>
                </c:pt>
                <c:pt idx="32">
                  <c:v>27.4177</c:v>
                </c:pt>
                <c:pt idx="33">
                  <c:v>31.073399999999999</c:v>
                </c:pt>
                <c:pt idx="34">
                  <c:v>34.729100000000003</c:v>
                </c:pt>
                <c:pt idx="35">
                  <c:v>38.384799999999998</c:v>
                </c:pt>
                <c:pt idx="36">
                  <c:v>42.040399999999998</c:v>
                </c:pt>
                <c:pt idx="37">
                  <c:v>45.696100000000001</c:v>
                </c:pt>
                <c:pt idx="38">
                  <c:v>49.351799999999997</c:v>
                </c:pt>
                <c:pt idx="39">
                  <c:v>53.0075</c:v>
                </c:pt>
                <c:pt idx="40">
                  <c:v>56.663200000000003</c:v>
                </c:pt>
                <c:pt idx="41">
                  <c:v>60.318899999999999</c:v>
                </c:pt>
                <c:pt idx="42">
                  <c:v>63.974600000000002</c:v>
                </c:pt>
                <c:pt idx="43">
                  <c:v>67.630300000000005</c:v>
                </c:pt>
                <c:pt idx="44">
                  <c:v>71.285899999999998</c:v>
                </c:pt>
                <c:pt idx="45">
                  <c:v>74.941699999999997</c:v>
                </c:pt>
                <c:pt idx="46">
                  <c:v>78.597300000000004</c:v>
                </c:pt>
                <c:pt idx="47">
                  <c:v>82.253</c:v>
                </c:pt>
                <c:pt idx="48">
                  <c:v>85.908699999999996</c:v>
                </c:pt>
                <c:pt idx="49">
                  <c:v>89.564400000000006</c:v>
                </c:pt>
              </c:numCache>
            </c:numRef>
          </c:xVal>
          <c:yVal>
            <c:numRef>
              <c:f>'atom swap'!$E$8:$E$57</c:f>
              <c:numCache>
                <c:formatCode>General</c:formatCode>
                <c:ptCount val="50"/>
                <c:pt idx="0">
                  <c:v>16</c:v>
                </c:pt>
                <c:pt idx="1">
                  <c:v>34</c:v>
                </c:pt>
                <c:pt idx="2">
                  <c:v>34</c:v>
                </c:pt>
                <c:pt idx="3">
                  <c:v>39</c:v>
                </c:pt>
                <c:pt idx="4">
                  <c:v>38</c:v>
                </c:pt>
                <c:pt idx="5">
                  <c:v>29</c:v>
                </c:pt>
                <c:pt idx="6">
                  <c:v>38</c:v>
                </c:pt>
                <c:pt idx="7">
                  <c:v>35</c:v>
                </c:pt>
                <c:pt idx="8">
                  <c:v>33</c:v>
                </c:pt>
                <c:pt idx="9">
                  <c:v>36</c:v>
                </c:pt>
                <c:pt idx="10">
                  <c:v>36</c:v>
                </c:pt>
                <c:pt idx="11">
                  <c:v>32</c:v>
                </c:pt>
                <c:pt idx="12">
                  <c:v>40</c:v>
                </c:pt>
                <c:pt idx="13">
                  <c:v>24</c:v>
                </c:pt>
                <c:pt idx="14">
                  <c:v>40</c:v>
                </c:pt>
                <c:pt idx="15">
                  <c:v>32</c:v>
                </c:pt>
                <c:pt idx="16">
                  <c:v>42</c:v>
                </c:pt>
                <c:pt idx="17">
                  <c:v>31</c:v>
                </c:pt>
                <c:pt idx="18">
                  <c:v>35</c:v>
                </c:pt>
                <c:pt idx="19">
                  <c:v>48</c:v>
                </c:pt>
                <c:pt idx="20">
                  <c:v>31</c:v>
                </c:pt>
                <c:pt idx="21">
                  <c:v>34</c:v>
                </c:pt>
                <c:pt idx="22">
                  <c:v>44</c:v>
                </c:pt>
                <c:pt idx="23">
                  <c:v>24</c:v>
                </c:pt>
                <c:pt idx="24">
                  <c:v>13</c:v>
                </c:pt>
                <c:pt idx="25">
                  <c:v>19</c:v>
                </c:pt>
                <c:pt idx="26">
                  <c:v>30</c:v>
                </c:pt>
                <c:pt idx="27">
                  <c:v>33</c:v>
                </c:pt>
                <c:pt idx="28">
                  <c:v>29</c:v>
                </c:pt>
                <c:pt idx="29">
                  <c:v>34</c:v>
                </c:pt>
                <c:pt idx="30">
                  <c:v>36</c:v>
                </c:pt>
                <c:pt idx="31">
                  <c:v>38</c:v>
                </c:pt>
                <c:pt idx="32">
                  <c:v>31</c:v>
                </c:pt>
                <c:pt idx="33">
                  <c:v>42</c:v>
                </c:pt>
                <c:pt idx="34">
                  <c:v>36</c:v>
                </c:pt>
                <c:pt idx="35">
                  <c:v>34</c:v>
                </c:pt>
                <c:pt idx="36">
                  <c:v>41</c:v>
                </c:pt>
                <c:pt idx="37">
                  <c:v>31</c:v>
                </c:pt>
                <c:pt idx="38">
                  <c:v>41</c:v>
                </c:pt>
                <c:pt idx="39">
                  <c:v>25</c:v>
                </c:pt>
                <c:pt idx="40">
                  <c:v>41</c:v>
                </c:pt>
                <c:pt idx="41">
                  <c:v>35</c:v>
                </c:pt>
                <c:pt idx="42">
                  <c:v>42</c:v>
                </c:pt>
                <c:pt idx="43">
                  <c:v>38</c:v>
                </c:pt>
                <c:pt idx="44">
                  <c:v>41</c:v>
                </c:pt>
                <c:pt idx="45">
                  <c:v>41</c:v>
                </c:pt>
                <c:pt idx="46">
                  <c:v>40</c:v>
                </c:pt>
                <c:pt idx="47">
                  <c:v>38</c:v>
                </c:pt>
                <c:pt idx="48">
                  <c:v>33</c:v>
                </c:pt>
                <c:pt idx="4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8-AB47-8DEC-F2462226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47920"/>
        <c:axId val="410750240"/>
      </c:scatterChart>
      <c:valAx>
        <c:axId val="410747920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410750240"/>
        <c:crosses val="autoZero"/>
        <c:crossBetween val="midCat"/>
      </c:valAx>
      <c:valAx>
        <c:axId val="410750240"/>
        <c:scaling>
          <c:orientation val="minMax"/>
          <c:max val="50"/>
          <c:min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41074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'atom swap'!$N$59:$N$78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'atom swap'!$P$59:$P$78</c:f>
              <c:numCache>
                <c:formatCode>General</c:formatCode>
                <c:ptCount val="20"/>
                <c:pt idx="0">
                  <c:v>-35530.677436999998</c:v>
                </c:pt>
                <c:pt idx="1">
                  <c:v>-35580.630859999997</c:v>
                </c:pt>
                <c:pt idx="2">
                  <c:v>-35555.138727999998</c:v>
                </c:pt>
                <c:pt idx="3">
                  <c:v>-35574.898416999997</c:v>
                </c:pt>
                <c:pt idx="4">
                  <c:v>-35589.635125000001</c:v>
                </c:pt>
                <c:pt idx="5">
                  <c:v>-35582.854700999997</c:v>
                </c:pt>
                <c:pt idx="6">
                  <c:v>-35561.496212999999</c:v>
                </c:pt>
                <c:pt idx="7">
                  <c:v>-35583.473088999999</c:v>
                </c:pt>
                <c:pt idx="8">
                  <c:v>-35592.054019000003</c:v>
                </c:pt>
                <c:pt idx="9">
                  <c:v>-35586.148749</c:v>
                </c:pt>
                <c:pt idx="10">
                  <c:v>-35582.012849999999</c:v>
                </c:pt>
                <c:pt idx="11">
                  <c:v>-35584.975689999999</c:v>
                </c:pt>
                <c:pt idx="12">
                  <c:v>-35584.569323000003</c:v>
                </c:pt>
                <c:pt idx="13">
                  <c:v>-35587.290073999997</c:v>
                </c:pt>
                <c:pt idx="14">
                  <c:v>-35574.261223000001</c:v>
                </c:pt>
                <c:pt idx="15">
                  <c:v>-35575.993994999997</c:v>
                </c:pt>
                <c:pt idx="16">
                  <c:v>-35579.041704000003</c:v>
                </c:pt>
                <c:pt idx="17">
                  <c:v>-35580.540352999997</c:v>
                </c:pt>
                <c:pt idx="18">
                  <c:v>-35589.535587999999</c:v>
                </c:pt>
                <c:pt idx="19">
                  <c:v>-35585.253270000001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8-B04F-BA30-4620D9D5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69136"/>
        <c:axId val="410771456"/>
      </c:scatterChart>
      <c:valAx>
        <c:axId val="41076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71456"/>
        <c:crosses val="autoZero"/>
        <c:crossBetween val="midCat"/>
      </c:valAx>
      <c:valAx>
        <c:axId val="410771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076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399278215223102"/>
                  <c:y val="-0.157407407407407"/>
                </c:manualLayout>
              </c:layout>
              <c:numFmt formatCode="General" sourceLinked="0"/>
            </c:trendlineLbl>
          </c:trendline>
          <c:xVal>
            <c:numRef>
              <c:f>'ADP600'!$I$8:$I$17</c:f>
              <c:numCache>
                <c:formatCode>General</c:formatCode>
                <c:ptCount val="10"/>
                <c:pt idx="0">
                  <c:v>0.219</c:v>
                </c:pt>
                <c:pt idx="1">
                  <c:v>0.2185</c:v>
                </c:pt>
                <c:pt idx="2">
                  <c:v>0.22</c:v>
                </c:pt>
                <c:pt idx="3">
                  <c:v>0.23400000000000001</c:v>
                </c:pt>
                <c:pt idx="4">
                  <c:v>0.221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0.218</c:v>
                </c:pt>
                <c:pt idx="8">
                  <c:v>0.23150000000000001</c:v>
                </c:pt>
                <c:pt idx="9">
                  <c:v>0.2185</c:v>
                </c:pt>
              </c:numCache>
            </c:numRef>
          </c:xVal>
          <c:yVal>
            <c:numRef>
              <c:f>'ADP600'!$H$8:$H$17</c:f>
              <c:numCache>
                <c:formatCode>General</c:formatCode>
                <c:ptCount val="10"/>
                <c:pt idx="0">
                  <c:v>3.577906895893284E-2</c:v>
                </c:pt>
                <c:pt idx="1">
                  <c:v>3.5430588314962735E-2</c:v>
                </c:pt>
                <c:pt idx="2">
                  <c:v>3.509553874687299E-2</c:v>
                </c:pt>
                <c:pt idx="3">
                  <c:v>3.9367515278037897E-2</c:v>
                </c:pt>
                <c:pt idx="4">
                  <c:v>3.7056361034813565E-2</c:v>
                </c:pt>
                <c:pt idx="5">
                  <c:v>3.778952246672361E-2</c:v>
                </c:pt>
                <c:pt idx="6">
                  <c:v>3.8791190369501238E-2</c:v>
                </c:pt>
                <c:pt idx="7">
                  <c:v>3.7339875170992853E-2</c:v>
                </c:pt>
                <c:pt idx="8">
                  <c:v>3.8906196058186654E-2</c:v>
                </c:pt>
                <c:pt idx="9">
                  <c:v>3.628434581496276E-2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5-BC49-80C2-512714BE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93520"/>
        <c:axId val="484795840"/>
      </c:scatterChart>
      <c:valAx>
        <c:axId val="48479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795840"/>
        <c:crosses val="autoZero"/>
        <c:crossBetween val="midCat"/>
      </c:valAx>
      <c:valAx>
        <c:axId val="48479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479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'atom swap'!$N$8:$N$57</c:f>
              <c:numCache>
                <c:formatCode>General</c:formatCode>
                <c:ptCount val="50"/>
                <c:pt idx="0">
                  <c:v>-89.930400000000006</c:v>
                </c:pt>
                <c:pt idx="1">
                  <c:v>-86.259699999999995</c:v>
                </c:pt>
                <c:pt idx="2">
                  <c:v>-82.589100000000002</c:v>
                </c:pt>
                <c:pt idx="3">
                  <c:v>-78.918499999999995</c:v>
                </c:pt>
                <c:pt idx="4">
                  <c:v>-75.247799999999998</c:v>
                </c:pt>
                <c:pt idx="5">
                  <c:v>-71.577200000000005</c:v>
                </c:pt>
                <c:pt idx="6">
                  <c:v>-67.906599999999997</c:v>
                </c:pt>
                <c:pt idx="7">
                  <c:v>-64.236000000000004</c:v>
                </c:pt>
                <c:pt idx="8">
                  <c:v>-60.565300000000001</c:v>
                </c:pt>
                <c:pt idx="9">
                  <c:v>-56.8947</c:v>
                </c:pt>
                <c:pt idx="10">
                  <c:v>-53.2241</c:v>
                </c:pt>
                <c:pt idx="11">
                  <c:v>-49.5535</c:v>
                </c:pt>
                <c:pt idx="12">
                  <c:v>-45.882800000000003</c:v>
                </c:pt>
                <c:pt idx="13">
                  <c:v>-42.212200000000003</c:v>
                </c:pt>
                <c:pt idx="14">
                  <c:v>-38.541600000000003</c:v>
                </c:pt>
                <c:pt idx="15">
                  <c:v>-34.871000000000002</c:v>
                </c:pt>
                <c:pt idx="16">
                  <c:v>-31.200299999999999</c:v>
                </c:pt>
                <c:pt idx="17">
                  <c:v>-27.529699999999998</c:v>
                </c:pt>
                <c:pt idx="18">
                  <c:v>-23.859100000000002</c:v>
                </c:pt>
                <c:pt idx="19">
                  <c:v>-20.188400000000001</c:v>
                </c:pt>
                <c:pt idx="20">
                  <c:v>-16.517800000000001</c:v>
                </c:pt>
                <c:pt idx="21">
                  <c:v>-12.847200000000001</c:v>
                </c:pt>
                <c:pt idx="22">
                  <c:v>-9.1765699999999999</c:v>
                </c:pt>
                <c:pt idx="23">
                  <c:v>-5.5059399999999998</c:v>
                </c:pt>
                <c:pt idx="24">
                  <c:v>-1.83531</c:v>
                </c:pt>
                <c:pt idx="25">
                  <c:v>1.83531</c:v>
                </c:pt>
                <c:pt idx="26">
                  <c:v>5.5059399999999998</c:v>
                </c:pt>
                <c:pt idx="27">
                  <c:v>9.1765699999999999</c:v>
                </c:pt>
                <c:pt idx="28">
                  <c:v>12.847200000000001</c:v>
                </c:pt>
                <c:pt idx="29">
                  <c:v>16.517800000000001</c:v>
                </c:pt>
                <c:pt idx="30">
                  <c:v>20.188400000000001</c:v>
                </c:pt>
                <c:pt idx="31">
                  <c:v>23.859100000000002</c:v>
                </c:pt>
                <c:pt idx="32">
                  <c:v>27.529699999999998</c:v>
                </c:pt>
                <c:pt idx="33">
                  <c:v>31.200299999999999</c:v>
                </c:pt>
                <c:pt idx="34">
                  <c:v>34.871000000000002</c:v>
                </c:pt>
                <c:pt idx="35">
                  <c:v>38.541600000000003</c:v>
                </c:pt>
                <c:pt idx="36">
                  <c:v>42.212200000000003</c:v>
                </c:pt>
                <c:pt idx="37">
                  <c:v>45.882800000000003</c:v>
                </c:pt>
                <c:pt idx="38">
                  <c:v>49.5535</c:v>
                </c:pt>
                <c:pt idx="39">
                  <c:v>53.2241</c:v>
                </c:pt>
                <c:pt idx="40">
                  <c:v>56.8947</c:v>
                </c:pt>
                <c:pt idx="41">
                  <c:v>60.565300000000001</c:v>
                </c:pt>
                <c:pt idx="42">
                  <c:v>64.236000000000004</c:v>
                </c:pt>
                <c:pt idx="43">
                  <c:v>67.906599999999997</c:v>
                </c:pt>
                <c:pt idx="44">
                  <c:v>71.577200000000005</c:v>
                </c:pt>
                <c:pt idx="45">
                  <c:v>75.247799999999998</c:v>
                </c:pt>
                <c:pt idx="46">
                  <c:v>78.918499999999995</c:v>
                </c:pt>
                <c:pt idx="47">
                  <c:v>82.589100000000002</c:v>
                </c:pt>
                <c:pt idx="48">
                  <c:v>86.259699999999995</c:v>
                </c:pt>
                <c:pt idx="49">
                  <c:v>89.930400000000006</c:v>
                </c:pt>
              </c:numCache>
            </c:numRef>
          </c:xVal>
          <c:yVal>
            <c:numRef>
              <c:f>'atom swap'!$O$8:$O$57</c:f>
              <c:numCache>
                <c:formatCode>General</c:formatCode>
                <c:ptCount val="50"/>
                <c:pt idx="0">
                  <c:v>38</c:v>
                </c:pt>
                <c:pt idx="1">
                  <c:v>23</c:v>
                </c:pt>
                <c:pt idx="2">
                  <c:v>44</c:v>
                </c:pt>
                <c:pt idx="3">
                  <c:v>26</c:v>
                </c:pt>
                <c:pt idx="4">
                  <c:v>29</c:v>
                </c:pt>
                <c:pt idx="5">
                  <c:v>37</c:v>
                </c:pt>
                <c:pt idx="6">
                  <c:v>29</c:v>
                </c:pt>
                <c:pt idx="7">
                  <c:v>38</c:v>
                </c:pt>
                <c:pt idx="8">
                  <c:v>34</c:v>
                </c:pt>
                <c:pt idx="9">
                  <c:v>36</c:v>
                </c:pt>
                <c:pt idx="10">
                  <c:v>36</c:v>
                </c:pt>
                <c:pt idx="11">
                  <c:v>29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28</c:v>
                </c:pt>
                <c:pt idx="16">
                  <c:v>33</c:v>
                </c:pt>
                <c:pt idx="17">
                  <c:v>39</c:v>
                </c:pt>
                <c:pt idx="18">
                  <c:v>43</c:v>
                </c:pt>
                <c:pt idx="19">
                  <c:v>27</c:v>
                </c:pt>
                <c:pt idx="20">
                  <c:v>38</c:v>
                </c:pt>
                <c:pt idx="21">
                  <c:v>33</c:v>
                </c:pt>
                <c:pt idx="22">
                  <c:v>24</c:v>
                </c:pt>
                <c:pt idx="23">
                  <c:v>31</c:v>
                </c:pt>
                <c:pt idx="24">
                  <c:v>36</c:v>
                </c:pt>
                <c:pt idx="25">
                  <c:v>40</c:v>
                </c:pt>
                <c:pt idx="26">
                  <c:v>28</c:v>
                </c:pt>
                <c:pt idx="27">
                  <c:v>34</c:v>
                </c:pt>
                <c:pt idx="28">
                  <c:v>34</c:v>
                </c:pt>
                <c:pt idx="29">
                  <c:v>32</c:v>
                </c:pt>
                <c:pt idx="30">
                  <c:v>28</c:v>
                </c:pt>
                <c:pt idx="31">
                  <c:v>33</c:v>
                </c:pt>
                <c:pt idx="32">
                  <c:v>42</c:v>
                </c:pt>
                <c:pt idx="33">
                  <c:v>35</c:v>
                </c:pt>
                <c:pt idx="34">
                  <c:v>36</c:v>
                </c:pt>
                <c:pt idx="35">
                  <c:v>28</c:v>
                </c:pt>
                <c:pt idx="36">
                  <c:v>37</c:v>
                </c:pt>
                <c:pt idx="37">
                  <c:v>31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44</c:v>
                </c:pt>
                <c:pt idx="43">
                  <c:v>39</c:v>
                </c:pt>
                <c:pt idx="44">
                  <c:v>30</c:v>
                </c:pt>
                <c:pt idx="45">
                  <c:v>34</c:v>
                </c:pt>
                <c:pt idx="46">
                  <c:v>42</c:v>
                </c:pt>
                <c:pt idx="47">
                  <c:v>22</c:v>
                </c:pt>
                <c:pt idx="48">
                  <c:v>44</c:v>
                </c:pt>
                <c:pt idx="4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F-FA44-B428-8A2D2457B9BF}"/>
            </c:ext>
          </c:extLst>
        </c:ser>
        <c:ser>
          <c:idx val="1"/>
          <c:order val="1"/>
          <c:xVal>
            <c:numRef>
              <c:f>'atom swap'!$P$8:$P$57</c:f>
              <c:numCache>
                <c:formatCode>General</c:formatCode>
                <c:ptCount val="50"/>
                <c:pt idx="0">
                  <c:v>-89.636899999999997</c:v>
                </c:pt>
                <c:pt idx="1">
                  <c:v>-85.978300000000004</c:v>
                </c:pt>
                <c:pt idx="2">
                  <c:v>-82.319599999999994</c:v>
                </c:pt>
                <c:pt idx="3">
                  <c:v>-78.661000000000001</c:v>
                </c:pt>
                <c:pt idx="4">
                  <c:v>-75.002300000000005</c:v>
                </c:pt>
                <c:pt idx="5">
                  <c:v>-71.343699999999998</c:v>
                </c:pt>
                <c:pt idx="6">
                  <c:v>-67.685000000000002</c:v>
                </c:pt>
                <c:pt idx="7">
                  <c:v>-64.026399999999995</c:v>
                </c:pt>
                <c:pt idx="8">
                  <c:v>-60.367699999999999</c:v>
                </c:pt>
                <c:pt idx="9">
                  <c:v>-56.709099999999999</c:v>
                </c:pt>
                <c:pt idx="10">
                  <c:v>-53.050400000000003</c:v>
                </c:pt>
                <c:pt idx="11">
                  <c:v>-49.391800000000003</c:v>
                </c:pt>
                <c:pt idx="12">
                  <c:v>-45.7331</c:v>
                </c:pt>
                <c:pt idx="13">
                  <c:v>-42.0745</c:v>
                </c:pt>
                <c:pt idx="14">
                  <c:v>-38.415799999999997</c:v>
                </c:pt>
                <c:pt idx="15">
                  <c:v>-34.757199999999997</c:v>
                </c:pt>
                <c:pt idx="16">
                  <c:v>-31.098500000000001</c:v>
                </c:pt>
                <c:pt idx="17">
                  <c:v>-27.439900000000002</c:v>
                </c:pt>
                <c:pt idx="18">
                  <c:v>-23.781199999999998</c:v>
                </c:pt>
                <c:pt idx="19">
                  <c:v>-20.122599999999998</c:v>
                </c:pt>
                <c:pt idx="20">
                  <c:v>-16.463899999999999</c:v>
                </c:pt>
                <c:pt idx="21">
                  <c:v>-12.805300000000001</c:v>
                </c:pt>
                <c:pt idx="22">
                  <c:v>-9.1466399999999997</c:v>
                </c:pt>
                <c:pt idx="23">
                  <c:v>-5.4879800000000003</c:v>
                </c:pt>
                <c:pt idx="24">
                  <c:v>-1.82934</c:v>
                </c:pt>
                <c:pt idx="25">
                  <c:v>1.8293200000000001</c:v>
                </c:pt>
                <c:pt idx="26">
                  <c:v>5.4879699999999998</c:v>
                </c:pt>
                <c:pt idx="27">
                  <c:v>9.1466100000000008</c:v>
                </c:pt>
                <c:pt idx="28">
                  <c:v>12.805300000000001</c:v>
                </c:pt>
                <c:pt idx="29">
                  <c:v>16.463899999999999</c:v>
                </c:pt>
                <c:pt idx="30">
                  <c:v>20.122599999999998</c:v>
                </c:pt>
                <c:pt idx="31">
                  <c:v>23.781199999999998</c:v>
                </c:pt>
                <c:pt idx="32">
                  <c:v>27.439900000000002</c:v>
                </c:pt>
                <c:pt idx="33">
                  <c:v>31.098500000000001</c:v>
                </c:pt>
                <c:pt idx="34">
                  <c:v>34.757199999999997</c:v>
                </c:pt>
                <c:pt idx="35">
                  <c:v>38.415799999999997</c:v>
                </c:pt>
                <c:pt idx="36">
                  <c:v>42.0745</c:v>
                </c:pt>
                <c:pt idx="37">
                  <c:v>45.7331</c:v>
                </c:pt>
                <c:pt idx="38">
                  <c:v>49.391800000000003</c:v>
                </c:pt>
                <c:pt idx="39">
                  <c:v>53.050400000000003</c:v>
                </c:pt>
                <c:pt idx="40">
                  <c:v>56.709099999999999</c:v>
                </c:pt>
                <c:pt idx="41">
                  <c:v>60.367699999999999</c:v>
                </c:pt>
                <c:pt idx="42">
                  <c:v>64.026399999999995</c:v>
                </c:pt>
                <c:pt idx="43">
                  <c:v>67.685000000000002</c:v>
                </c:pt>
                <c:pt idx="44">
                  <c:v>71.343699999999998</c:v>
                </c:pt>
                <c:pt idx="45">
                  <c:v>75.002300000000005</c:v>
                </c:pt>
                <c:pt idx="46">
                  <c:v>78.661000000000001</c:v>
                </c:pt>
                <c:pt idx="47">
                  <c:v>82.319599999999994</c:v>
                </c:pt>
                <c:pt idx="48">
                  <c:v>85.978300000000004</c:v>
                </c:pt>
                <c:pt idx="49">
                  <c:v>89.636899999999997</c:v>
                </c:pt>
              </c:numCache>
            </c:numRef>
          </c:xVal>
          <c:yVal>
            <c:numRef>
              <c:f>'atom swap'!$Q$8:$Q$57</c:f>
              <c:numCache>
                <c:formatCode>General</c:formatCode>
                <c:ptCount val="50"/>
                <c:pt idx="0">
                  <c:v>27</c:v>
                </c:pt>
                <c:pt idx="1">
                  <c:v>40</c:v>
                </c:pt>
                <c:pt idx="2">
                  <c:v>31</c:v>
                </c:pt>
                <c:pt idx="3">
                  <c:v>40</c:v>
                </c:pt>
                <c:pt idx="4">
                  <c:v>34</c:v>
                </c:pt>
                <c:pt idx="5">
                  <c:v>39</c:v>
                </c:pt>
                <c:pt idx="6">
                  <c:v>35</c:v>
                </c:pt>
                <c:pt idx="7">
                  <c:v>45</c:v>
                </c:pt>
                <c:pt idx="8">
                  <c:v>39</c:v>
                </c:pt>
                <c:pt idx="9">
                  <c:v>37</c:v>
                </c:pt>
                <c:pt idx="10">
                  <c:v>28</c:v>
                </c:pt>
                <c:pt idx="11">
                  <c:v>43</c:v>
                </c:pt>
                <c:pt idx="12">
                  <c:v>40</c:v>
                </c:pt>
                <c:pt idx="13">
                  <c:v>41</c:v>
                </c:pt>
                <c:pt idx="14">
                  <c:v>33</c:v>
                </c:pt>
                <c:pt idx="15">
                  <c:v>30</c:v>
                </c:pt>
                <c:pt idx="16">
                  <c:v>34</c:v>
                </c:pt>
                <c:pt idx="17">
                  <c:v>42</c:v>
                </c:pt>
                <c:pt idx="18">
                  <c:v>32</c:v>
                </c:pt>
                <c:pt idx="19">
                  <c:v>33</c:v>
                </c:pt>
                <c:pt idx="20">
                  <c:v>31</c:v>
                </c:pt>
                <c:pt idx="21">
                  <c:v>36</c:v>
                </c:pt>
                <c:pt idx="22">
                  <c:v>22</c:v>
                </c:pt>
                <c:pt idx="23">
                  <c:v>36</c:v>
                </c:pt>
                <c:pt idx="24">
                  <c:v>11</c:v>
                </c:pt>
                <c:pt idx="25">
                  <c:v>24</c:v>
                </c:pt>
                <c:pt idx="26">
                  <c:v>34</c:v>
                </c:pt>
                <c:pt idx="27">
                  <c:v>42</c:v>
                </c:pt>
                <c:pt idx="28">
                  <c:v>40</c:v>
                </c:pt>
                <c:pt idx="29">
                  <c:v>41</c:v>
                </c:pt>
                <c:pt idx="30">
                  <c:v>27</c:v>
                </c:pt>
                <c:pt idx="31">
                  <c:v>30</c:v>
                </c:pt>
                <c:pt idx="32">
                  <c:v>32</c:v>
                </c:pt>
                <c:pt idx="33">
                  <c:v>39</c:v>
                </c:pt>
                <c:pt idx="34">
                  <c:v>25</c:v>
                </c:pt>
                <c:pt idx="35">
                  <c:v>40</c:v>
                </c:pt>
                <c:pt idx="36">
                  <c:v>36</c:v>
                </c:pt>
                <c:pt idx="37">
                  <c:v>38</c:v>
                </c:pt>
                <c:pt idx="38">
                  <c:v>38</c:v>
                </c:pt>
                <c:pt idx="39">
                  <c:v>32</c:v>
                </c:pt>
                <c:pt idx="40">
                  <c:v>37</c:v>
                </c:pt>
                <c:pt idx="41">
                  <c:v>39</c:v>
                </c:pt>
                <c:pt idx="42">
                  <c:v>45</c:v>
                </c:pt>
                <c:pt idx="43">
                  <c:v>29</c:v>
                </c:pt>
                <c:pt idx="44">
                  <c:v>39</c:v>
                </c:pt>
                <c:pt idx="45">
                  <c:v>36</c:v>
                </c:pt>
                <c:pt idx="46">
                  <c:v>34</c:v>
                </c:pt>
                <c:pt idx="47">
                  <c:v>27</c:v>
                </c:pt>
                <c:pt idx="48">
                  <c:v>34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F-FA44-B428-8A2D2457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93808"/>
        <c:axId val="410796128"/>
      </c:scatterChart>
      <c:valAx>
        <c:axId val="41079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796128"/>
        <c:crosses val="autoZero"/>
        <c:crossBetween val="midCat"/>
      </c:valAx>
      <c:valAx>
        <c:axId val="410796128"/>
        <c:scaling>
          <c:orientation val="minMax"/>
          <c:max val="60"/>
        </c:scaling>
        <c:delete val="0"/>
        <c:axPos val="l"/>
        <c:numFmt formatCode="General" sourceLinked="1"/>
        <c:majorTickMark val="out"/>
        <c:minorTickMark val="none"/>
        <c:tickLblPos val="nextTo"/>
        <c:crossAx val="41079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'atom swap'!$T$59:$T$78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'atom swap'!$V$59:$V$78</c:f>
              <c:numCache>
                <c:formatCode>General</c:formatCode>
                <c:ptCount val="20"/>
                <c:pt idx="0">
                  <c:v>-35286.439427999998</c:v>
                </c:pt>
                <c:pt idx="1">
                  <c:v>-35300.407998000002</c:v>
                </c:pt>
                <c:pt idx="2">
                  <c:v>-35305.038366000001</c:v>
                </c:pt>
                <c:pt idx="3">
                  <c:v>-35307.743418999999</c:v>
                </c:pt>
                <c:pt idx="4">
                  <c:v>-35313.163021</c:v>
                </c:pt>
                <c:pt idx="5">
                  <c:v>-35325.867768999997</c:v>
                </c:pt>
                <c:pt idx="6">
                  <c:v>-35318.101840000003</c:v>
                </c:pt>
                <c:pt idx="7">
                  <c:v>-35304.137938</c:v>
                </c:pt>
                <c:pt idx="8">
                  <c:v>-35315.353862999997</c:v>
                </c:pt>
                <c:pt idx="9">
                  <c:v>-35284.250526000003</c:v>
                </c:pt>
                <c:pt idx="10">
                  <c:v>-35299.926867000002</c:v>
                </c:pt>
                <c:pt idx="11">
                  <c:v>-35314.696070999998</c:v>
                </c:pt>
                <c:pt idx="12">
                  <c:v>-35316.092664000003</c:v>
                </c:pt>
                <c:pt idx="13">
                  <c:v>-35315.699653000003</c:v>
                </c:pt>
                <c:pt idx="14">
                  <c:v>-35317.346905999999</c:v>
                </c:pt>
                <c:pt idx="15">
                  <c:v>-35316.032717000002</c:v>
                </c:pt>
                <c:pt idx="16">
                  <c:v>-35317.363249000002</c:v>
                </c:pt>
                <c:pt idx="17">
                  <c:v>-35293.703032999998</c:v>
                </c:pt>
                <c:pt idx="18">
                  <c:v>-35318.535958</c:v>
                </c:pt>
                <c:pt idx="19">
                  <c:v>-35312.616449000001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C-0A4D-8FF1-210EA10C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15200"/>
        <c:axId val="410817520"/>
      </c:scatterChart>
      <c:valAx>
        <c:axId val="4108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817520"/>
        <c:crosses val="autoZero"/>
        <c:crossBetween val="midCat"/>
      </c:valAx>
      <c:valAx>
        <c:axId val="410817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081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'atom swap'!$T$8:$T$57</c:f>
              <c:numCache>
                <c:formatCode>General</c:formatCode>
                <c:ptCount val="50"/>
                <c:pt idx="0">
                  <c:v>-89.901799999999994</c:v>
                </c:pt>
                <c:pt idx="1">
                  <c:v>-86.232299999999995</c:v>
                </c:pt>
                <c:pt idx="2">
                  <c:v>-82.562899999999999</c:v>
                </c:pt>
                <c:pt idx="3">
                  <c:v>-78.8934</c:v>
                </c:pt>
                <c:pt idx="4">
                  <c:v>-75.2239</c:v>
                </c:pt>
                <c:pt idx="5">
                  <c:v>-71.554500000000004</c:v>
                </c:pt>
                <c:pt idx="6">
                  <c:v>-67.885000000000005</c:v>
                </c:pt>
                <c:pt idx="7">
                  <c:v>-64.215599999999995</c:v>
                </c:pt>
                <c:pt idx="8">
                  <c:v>-60.546100000000003</c:v>
                </c:pt>
                <c:pt idx="9">
                  <c:v>-56.876600000000003</c:v>
                </c:pt>
                <c:pt idx="10">
                  <c:v>-53.2072</c:v>
                </c:pt>
                <c:pt idx="11">
                  <c:v>-49.537700000000001</c:v>
                </c:pt>
                <c:pt idx="12">
                  <c:v>-45.868299999999998</c:v>
                </c:pt>
                <c:pt idx="13">
                  <c:v>-42.198799999999999</c:v>
                </c:pt>
                <c:pt idx="14">
                  <c:v>-38.529299999999999</c:v>
                </c:pt>
                <c:pt idx="15">
                  <c:v>-34.859900000000003</c:v>
                </c:pt>
                <c:pt idx="16">
                  <c:v>-31.1904</c:v>
                </c:pt>
                <c:pt idx="17">
                  <c:v>-27.521000000000001</c:v>
                </c:pt>
                <c:pt idx="18">
                  <c:v>-23.851500000000001</c:v>
                </c:pt>
                <c:pt idx="19">
                  <c:v>-20.181999999999999</c:v>
                </c:pt>
                <c:pt idx="20">
                  <c:v>-16.512599999999999</c:v>
                </c:pt>
                <c:pt idx="21">
                  <c:v>-12.8431</c:v>
                </c:pt>
                <c:pt idx="22">
                  <c:v>-9.1736500000000003</c:v>
                </c:pt>
                <c:pt idx="23">
                  <c:v>-5.5041900000000004</c:v>
                </c:pt>
                <c:pt idx="24">
                  <c:v>-1.83473</c:v>
                </c:pt>
                <c:pt idx="25">
                  <c:v>1.8347199999999999</c:v>
                </c:pt>
                <c:pt idx="26">
                  <c:v>5.5041900000000004</c:v>
                </c:pt>
                <c:pt idx="27">
                  <c:v>9.1736500000000003</c:v>
                </c:pt>
                <c:pt idx="28">
                  <c:v>12.8431</c:v>
                </c:pt>
                <c:pt idx="29">
                  <c:v>16.512599999999999</c:v>
                </c:pt>
                <c:pt idx="30">
                  <c:v>20.181999999999999</c:v>
                </c:pt>
                <c:pt idx="31">
                  <c:v>23.851500000000001</c:v>
                </c:pt>
                <c:pt idx="32">
                  <c:v>27.521000000000001</c:v>
                </c:pt>
                <c:pt idx="33">
                  <c:v>31.1904</c:v>
                </c:pt>
                <c:pt idx="34">
                  <c:v>34.859900000000003</c:v>
                </c:pt>
                <c:pt idx="35">
                  <c:v>38.529299999999999</c:v>
                </c:pt>
                <c:pt idx="36">
                  <c:v>42.198799999999999</c:v>
                </c:pt>
                <c:pt idx="37">
                  <c:v>45.868200000000002</c:v>
                </c:pt>
                <c:pt idx="38">
                  <c:v>49.537700000000001</c:v>
                </c:pt>
                <c:pt idx="39">
                  <c:v>53.2072</c:v>
                </c:pt>
                <c:pt idx="40">
                  <c:v>56.876600000000003</c:v>
                </c:pt>
                <c:pt idx="41">
                  <c:v>60.546100000000003</c:v>
                </c:pt>
                <c:pt idx="42">
                  <c:v>64.215599999999995</c:v>
                </c:pt>
                <c:pt idx="43">
                  <c:v>67.885000000000005</c:v>
                </c:pt>
                <c:pt idx="44">
                  <c:v>71.554500000000004</c:v>
                </c:pt>
                <c:pt idx="45">
                  <c:v>75.2239</c:v>
                </c:pt>
                <c:pt idx="46">
                  <c:v>78.8934</c:v>
                </c:pt>
                <c:pt idx="47">
                  <c:v>82.562799999999996</c:v>
                </c:pt>
                <c:pt idx="48">
                  <c:v>86.232299999999995</c:v>
                </c:pt>
                <c:pt idx="49">
                  <c:v>89.901799999999994</c:v>
                </c:pt>
              </c:numCache>
            </c:numRef>
          </c:xVal>
          <c:yVal>
            <c:numRef>
              <c:f>'atom swap'!$U$8:$U$57</c:f>
              <c:numCache>
                <c:formatCode>General</c:formatCode>
                <c:ptCount val="50"/>
                <c:pt idx="0">
                  <c:v>45</c:v>
                </c:pt>
                <c:pt idx="1">
                  <c:v>20</c:v>
                </c:pt>
                <c:pt idx="2">
                  <c:v>43</c:v>
                </c:pt>
                <c:pt idx="3">
                  <c:v>28</c:v>
                </c:pt>
                <c:pt idx="4">
                  <c:v>30</c:v>
                </c:pt>
                <c:pt idx="5">
                  <c:v>38</c:v>
                </c:pt>
                <c:pt idx="6">
                  <c:v>27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39</c:v>
                </c:pt>
                <c:pt idx="11">
                  <c:v>30</c:v>
                </c:pt>
                <c:pt idx="12">
                  <c:v>35</c:v>
                </c:pt>
                <c:pt idx="13">
                  <c:v>38</c:v>
                </c:pt>
                <c:pt idx="14">
                  <c:v>37</c:v>
                </c:pt>
                <c:pt idx="15">
                  <c:v>29</c:v>
                </c:pt>
                <c:pt idx="16">
                  <c:v>32</c:v>
                </c:pt>
                <c:pt idx="17">
                  <c:v>41</c:v>
                </c:pt>
                <c:pt idx="18">
                  <c:v>41</c:v>
                </c:pt>
                <c:pt idx="19">
                  <c:v>28</c:v>
                </c:pt>
                <c:pt idx="20">
                  <c:v>38</c:v>
                </c:pt>
                <c:pt idx="21">
                  <c:v>33</c:v>
                </c:pt>
                <c:pt idx="22">
                  <c:v>24</c:v>
                </c:pt>
                <c:pt idx="23">
                  <c:v>26</c:v>
                </c:pt>
                <c:pt idx="24">
                  <c:v>41</c:v>
                </c:pt>
                <c:pt idx="25">
                  <c:v>39</c:v>
                </c:pt>
                <c:pt idx="26">
                  <c:v>31</c:v>
                </c:pt>
                <c:pt idx="27">
                  <c:v>31</c:v>
                </c:pt>
                <c:pt idx="28">
                  <c:v>35</c:v>
                </c:pt>
                <c:pt idx="29">
                  <c:v>31</c:v>
                </c:pt>
                <c:pt idx="30">
                  <c:v>28</c:v>
                </c:pt>
                <c:pt idx="31">
                  <c:v>33</c:v>
                </c:pt>
                <c:pt idx="32">
                  <c:v>41</c:v>
                </c:pt>
                <c:pt idx="33">
                  <c:v>37</c:v>
                </c:pt>
                <c:pt idx="34">
                  <c:v>33</c:v>
                </c:pt>
                <c:pt idx="35">
                  <c:v>29</c:v>
                </c:pt>
                <c:pt idx="36">
                  <c:v>39</c:v>
                </c:pt>
                <c:pt idx="37">
                  <c:v>29</c:v>
                </c:pt>
                <c:pt idx="38">
                  <c:v>39</c:v>
                </c:pt>
                <c:pt idx="39">
                  <c:v>32</c:v>
                </c:pt>
                <c:pt idx="40">
                  <c:v>36</c:v>
                </c:pt>
                <c:pt idx="41">
                  <c:v>36</c:v>
                </c:pt>
                <c:pt idx="42">
                  <c:v>41</c:v>
                </c:pt>
                <c:pt idx="43">
                  <c:v>39</c:v>
                </c:pt>
                <c:pt idx="44">
                  <c:v>33</c:v>
                </c:pt>
                <c:pt idx="45">
                  <c:v>34</c:v>
                </c:pt>
                <c:pt idx="46">
                  <c:v>43</c:v>
                </c:pt>
                <c:pt idx="47">
                  <c:v>21</c:v>
                </c:pt>
                <c:pt idx="48">
                  <c:v>45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3-3849-AEB3-239D5D7DBD21}"/>
            </c:ext>
          </c:extLst>
        </c:ser>
        <c:ser>
          <c:idx val="1"/>
          <c:order val="1"/>
          <c:xVal>
            <c:numRef>
              <c:f>'atom swap'!$T$8:$T$57</c:f>
              <c:numCache>
                <c:formatCode>General</c:formatCode>
                <c:ptCount val="50"/>
                <c:pt idx="0">
                  <c:v>-89.901799999999994</c:v>
                </c:pt>
                <c:pt idx="1">
                  <c:v>-86.232299999999995</c:v>
                </c:pt>
                <c:pt idx="2">
                  <c:v>-82.562899999999999</c:v>
                </c:pt>
                <c:pt idx="3">
                  <c:v>-78.8934</c:v>
                </c:pt>
                <c:pt idx="4">
                  <c:v>-75.2239</c:v>
                </c:pt>
                <c:pt idx="5">
                  <c:v>-71.554500000000004</c:v>
                </c:pt>
                <c:pt idx="6">
                  <c:v>-67.885000000000005</c:v>
                </c:pt>
                <c:pt idx="7">
                  <c:v>-64.215599999999995</c:v>
                </c:pt>
                <c:pt idx="8">
                  <c:v>-60.546100000000003</c:v>
                </c:pt>
                <c:pt idx="9">
                  <c:v>-56.876600000000003</c:v>
                </c:pt>
                <c:pt idx="10">
                  <c:v>-53.2072</c:v>
                </c:pt>
                <c:pt idx="11">
                  <c:v>-49.537700000000001</c:v>
                </c:pt>
                <c:pt idx="12">
                  <c:v>-45.868299999999998</c:v>
                </c:pt>
                <c:pt idx="13">
                  <c:v>-42.198799999999999</c:v>
                </c:pt>
                <c:pt idx="14">
                  <c:v>-38.529299999999999</c:v>
                </c:pt>
                <c:pt idx="15">
                  <c:v>-34.859900000000003</c:v>
                </c:pt>
                <c:pt idx="16">
                  <c:v>-31.1904</c:v>
                </c:pt>
                <c:pt idx="17">
                  <c:v>-27.521000000000001</c:v>
                </c:pt>
                <c:pt idx="18">
                  <c:v>-23.851500000000001</c:v>
                </c:pt>
                <c:pt idx="19">
                  <c:v>-20.181999999999999</c:v>
                </c:pt>
                <c:pt idx="20">
                  <c:v>-16.512599999999999</c:v>
                </c:pt>
                <c:pt idx="21">
                  <c:v>-12.8431</c:v>
                </c:pt>
                <c:pt idx="22">
                  <c:v>-9.1736500000000003</c:v>
                </c:pt>
                <c:pt idx="23">
                  <c:v>-5.5041900000000004</c:v>
                </c:pt>
                <c:pt idx="24">
                  <c:v>-1.83473</c:v>
                </c:pt>
                <c:pt idx="25">
                  <c:v>1.8347199999999999</c:v>
                </c:pt>
                <c:pt idx="26">
                  <c:v>5.5041900000000004</c:v>
                </c:pt>
                <c:pt idx="27">
                  <c:v>9.1736500000000003</c:v>
                </c:pt>
                <c:pt idx="28">
                  <c:v>12.8431</c:v>
                </c:pt>
                <c:pt idx="29">
                  <c:v>16.512599999999999</c:v>
                </c:pt>
                <c:pt idx="30">
                  <c:v>20.181999999999999</c:v>
                </c:pt>
                <c:pt idx="31">
                  <c:v>23.851500000000001</c:v>
                </c:pt>
                <c:pt idx="32">
                  <c:v>27.521000000000001</c:v>
                </c:pt>
                <c:pt idx="33">
                  <c:v>31.1904</c:v>
                </c:pt>
                <c:pt idx="34">
                  <c:v>34.859900000000003</c:v>
                </c:pt>
                <c:pt idx="35">
                  <c:v>38.529299999999999</c:v>
                </c:pt>
                <c:pt idx="36">
                  <c:v>42.198799999999999</c:v>
                </c:pt>
                <c:pt idx="37">
                  <c:v>45.868200000000002</c:v>
                </c:pt>
                <c:pt idx="38">
                  <c:v>49.537700000000001</c:v>
                </c:pt>
                <c:pt idx="39">
                  <c:v>53.2072</c:v>
                </c:pt>
                <c:pt idx="40">
                  <c:v>56.876600000000003</c:v>
                </c:pt>
                <c:pt idx="41">
                  <c:v>60.546100000000003</c:v>
                </c:pt>
                <c:pt idx="42">
                  <c:v>64.215599999999995</c:v>
                </c:pt>
                <c:pt idx="43">
                  <c:v>67.885000000000005</c:v>
                </c:pt>
                <c:pt idx="44">
                  <c:v>71.554500000000004</c:v>
                </c:pt>
                <c:pt idx="45">
                  <c:v>75.2239</c:v>
                </c:pt>
                <c:pt idx="46">
                  <c:v>78.8934</c:v>
                </c:pt>
                <c:pt idx="47">
                  <c:v>82.562799999999996</c:v>
                </c:pt>
                <c:pt idx="48">
                  <c:v>86.232299999999995</c:v>
                </c:pt>
                <c:pt idx="49">
                  <c:v>89.901799999999994</c:v>
                </c:pt>
              </c:numCache>
            </c:numRef>
          </c:xVal>
          <c:yVal>
            <c:numRef>
              <c:f>'atom swap'!$W$8:$W$57</c:f>
              <c:numCache>
                <c:formatCode>General</c:formatCode>
                <c:ptCount val="50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38</c:v>
                </c:pt>
                <c:pt idx="6">
                  <c:v>35</c:v>
                </c:pt>
                <c:pt idx="7">
                  <c:v>29</c:v>
                </c:pt>
                <c:pt idx="8">
                  <c:v>38</c:v>
                </c:pt>
                <c:pt idx="9">
                  <c:v>33</c:v>
                </c:pt>
                <c:pt idx="10">
                  <c:v>32</c:v>
                </c:pt>
                <c:pt idx="11">
                  <c:v>40</c:v>
                </c:pt>
                <c:pt idx="12">
                  <c:v>39</c:v>
                </c:pt>
                <c:pt idx="13">
                  <c:v>35</c:v>
                </c:pt>
                <c:pt idx="14">
                  <c:v>30</c:v>
                </c:pt>
                <c:pt idx="15">
                  <c:v>30</c:v>
                </c:pt>
                <c:pt idx="16">
                  <c:v>33</c:v>
                </c:pt>
                <c:pt idx="17">
                  <c:v>24</c:v>
                </c:pt>
                <c:pt idx="18">
                  <c:v>33</c:v>
                </c:pt>
                <c:pt idx="19">
                  <c:v>31</c:v>
                </c:pt>
                <c:pt idx="20">
                  <c:v>30</c:v>
                </c:pt>
                <c:pt idx="21">
                  <c:v>31</c:v>
                </c:pt>
                <c:pt idx="22">
                  <c:v>29</c:v>
                </c:pt>
                <c:pt idx="23">
                  <c:v>34</c:v>
                </c:pt>
                <c:pt idx="24">
                  <c:v>20</c:v>
                </c:pt>
                <c:pt idx="25">
                  <c:v>19</c:v>
                </c:pt>
                <c:pt idx="26">
                  <c:v>33</c:v>
                </c:pt>
                <c:pt idx="27">
                  <c:v>37</c:v>
                </c:pt>
                <c:pt idx="28">
                  <c:v>33</c:v>
                </c:pt>
                <c:pt idx="29">
                  <c:v>48</c:v>
                </c:pt>
                <c:pt idx="30">
                  <c:v>36</c:v>
                </c:pt>
                <c:pt idx="31">
                  <c:v>45</c:v>
                </c:pt>
                <c:pt idx="32">
                  <c:v>39</c:v>
                </c:pt>
                <c:pt idx="33">
                  <c:v>40</c:v>
                </c:pt>
                <c:pt idx="34">
                  <c:v>39</c:v>
                </c:pt>
                <c:pt idx="35">
                  <c:v>27</c:v>
                </c:pt>
                <c:pt idx="36">
                  <c:v>48</c:v>
                </c:pt>
                <c:pt idx="37">
                  <c:v>29</c:v>
                </c:pt>
                <c:pt idx="38">
                  <c:v>34</c:v>
                </c:pt>
                <c:pt idx="39">
                  <c:v>47</c:v>
                </c:pt>
                <c:pt idx="40">
                  <c:v>41</c:v>
                </c:pt>
                <c:pt idx="41">
                  <c:v>35</c:v>
                </c:pt>
                <c:pt idx="42">
                  <c:v>55</c:v>
                </c:pt>
                <c:pt idx="43">
                  <c:v>34</c:v>
                </c:pt>
                <c:pt idx="44">
                  <c:v>41</c:v>
                </c:pt>
                <c:pt idx="45">
                  <c:v>40</c:v>
                </c:pt>
                <c:pt idx="46">
                  <c:v>35</c:v>
                </c:pt>
                <c:pt idx="47">
                  <c:v>41</c:v>
                </c:pt>
                <c:pt idx="48">
                  <c:v>13</c:v>
                </c:pt>
                <c:pt idx="4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3-3849-AEB3-239D5D7D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40144"/>
        <c:axId val="410842464"/>
      </c:scatterChart>
      <c:valAx>
        <c:axId val="41084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842464"/>
        <c:crosses val="autoZero"/>
        <c:crossBetween val="midCat"/>
      </c:valAx>
      <c:valAx>
        <c:axId val="41084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084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500K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'atom swap'!$Z$8:$Z$57</c:f>
              <c:numCache>
                <c:formatCode>General</c:formatCode>
                <c:ptCount val="50"/>
                <c:pt idx="0">
                  <c:v>-89.394499999999994</c:v>
                </c:pt>
                <c:pt idx="1">
                  <c:v>-85.745699999999999</c:v>
                </c:pt>
                <c:pt idx="2">
                  <c:v>-82.096999999999994</c:v>
                </c:pt>
                <c:pt idx="3">
                  <c:v>-78.4482</c:v>
                </c:pt>
                <c:pt idx="4">
                  <c:v>-74.799499999999995</c:v>
                </c:pt>
                <c:pt idx="5">
                  <c:v>-71.150700000000001</c:v>
                </c:pt>
                <c:pt idx="6">
                  <c:v>-67.501900000000006</c:v>
                </c:pt>
                <c:pt idx="7">
                  <c:v>-63.853200000000001</c:v>
                </c:pt>
                <c:pt idx="8">
                  <c:v>-60.2044</c:v>
                </c:pt>
                <c:pt idx="9">
                  <c:v>-56.555700000000002</c:v>
                </c:pt>
                <c:pt idx="10">
                  <c:v>-52.9069</c:v>
                </c:pt>
                <c:pt idx="11">
                  <c:v>-49.258200000000002</c:v>
                </c:pt>
                <c:pt idx="12">
                  <c:v>-45.609400000000001</c:v>
                </c:pt>
                <c:pt idx="13">
                  <c:v>-41.960700000000003</c:v>
                </c:pt>
                <c:pt idx="14">
                  <c:v>-38.311900000000001</c:v>
                </c:pt>
                <c:pt idx="15">
                  <c:v>-34.663200000000003</c:v>
                </c:pt>
                <c:pt idx="16">
                  <c:v>-31.014399999999998</c:v>
                </c:pt>
                <c:pt idx="17">
                  <c:v>-27.3657</c:v>
                </c:pt>
                <c:pt idx="18">
                  <c:v>-23.716899999999999</c:v>
                </c:pt>
                <c:pt idx="19">
                  <c:v>-20.068100000000001</c:v>
                </c:pt>
                <c:pt idx="20">
                  <c:v>-16.4194</c:v>
                </c:pt>
                <c:pt idx="21">
                  <c:v>-12.7706</c:v>
                </c:pt>
                <c:pt idx="22">
                  <c:v>-9.1218900000000005</c:v>
                </c:pt>
                <c:pt idx="23">
                  <c:v>-5.4731300000000003</c:v>
                </c:pt>
                <c:pt idx="24">
                  <c:v>-1.8243799999999999</c:v>
                </c:pt>
                <c:pt idx="25">
                  <c:v>1.8243799999999999</c:v>
                </c:pt>
                <c:pt idx="26">
                  <c:v>5.4731300000000003</c:v>
                </c:pt>
                <c:pt idx="27">
                  <c:v>9.1218900000000005</c:v>
                </c:pt>
                <c:pt idx="28">
                  <c:v>12.7706</c:v>
                </c:pt>
                <c:pt idx="29">
                  <c:v>16.4194</c:v>
                </c:pt>
                <c:pt idx="30">
                  <c:v>20.068100000000001</c:v>
                </c:pt>
                <c:pt idx="31">
                  <c:v>23.716899999999999</c:v>
                </c:pt>
                <c:pt idx="32">
                  <c:v>27.3657</c:v>
                </c:pt>
                <c:pt idx="33">
                  <c:v>31.014399999999998</c:v>
                </c:pt>
                <c:pt idx="34">
                  <c:v>34.663200000000003</c:v>
                </c:pt>
                <c:pt idx="35">
                  <c:v>38.311900000000001</c:v>
                </c:pt>
                <c:pt idx="36">
                  <c:v>41.960700000000003</c:v>
                </c:pt>
                <c:pt idx="37">
                  <c:v>45.609400000000001</c:v>
                </c:pt>
                <c:pt idx="38">
                  <c:v>49.258200000000002</c:v>
                </c:pt>
                <c:pt idx="39">
                  <c:v>52.9069</c:v>
                </c:pt>
                <c:pt idx="40">
                  <c:v>56.555700000000002</c:v>
                </c:pt>
                <c:pt idx="41">
                  <c:v>60.2044</c:v>
                </c:pt>
                <c:pt idx="42">
                  <c:v>63.853200000000001</c:v>
                </c:pt>
                <c:pt idx="43">
                  <c:v>67.501900000000006</c:v>
                </c:pt>
                <c:pt idx="44">
                  <c:v>71.150700000000001</c:v>
                </c:pt>
                <c:pt idx="45">
                  <c:v>74.799499999999995</c:v>
                </c:pt>
                <c:pt idx="46">
                  <c:v>78.4482</c:v>
                </c:pt>
                <c:pt idx="47">
                  <c:v>82.096999999999994</c:v>
                </c:pt>
                <c:pt idx="48">
                  <c:v>85.745699999999999</c:v>
                </c:pt>
                <c:pt idx="49">
                  <c:v>89.394499999999994</c:v>
                </c:pt>
              </c:numCache>
            </c:numRef>
          </c:xVal>
          <c:yVal>
            <c:numRef>
              <c:f>'atom swap'!$AA$8:$AA$57</c:f>
              <c:numCache>
                <c:formatCode>General</c:formatCode>
                <c:ptCount val="50"/>
                <c:pt idx="0">
                  <c:v>37</c:v>
                </c:pt>
                <c:pt idx="1">
                  <c:v>27</c:v>
                </c:pt>
                <c:pt idx="2">
                  <c:v>38</c:v>
                </c:pt>
                <c:pt idx="3">
                  <c:v>28</c:v>
                </c:pt>
                <c:pt idx="4">
                  <c:v>31</c:v>
                </c:pt>
                <c:pt idx="5">
                  <c:v>35</c:v>
                </c:pt>
                <c:pt idx="6">
                  <c:v>28</c:v>
                </c:pt>
                <c:pt idx="7">
                  <c:v>39</c:v>
                </c:pt>
                <c:pt idx="8">
                  <c:v>37</c:v>
                </c:pt>
                <c:pt idx="9">
                  <c:v>33</c:v>
                </c:pt>
                <c:pt idx="10">
                  <c:v>36</c:v>
                </c:pt>
                <c:pt idx="11">
                  <c:v>30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28</c:v>
                </c:pt>
                <c:pt idx="16">
                  <c:v>33</c:v>
                </c:pt>
                <c:pt idx="17">
                  <c:v>42</c:v>
                </c:pt>
                <c:pt idx="18">
                  <c:v>43</c:v>
                </c:pt>
                <c:pt idx="19">
                  <c:v>23</c:v>
                </c:pt>
                <c:pt idx="20">
                  <c:v>39</c:v>
                </c:pt>
                <c:pt idx="21">
                  <c:v>33</c:v>
                </c:pt>
                <c:pt idx="22">
                  <c:v>24</c:v>
                </c:pt>
                <c:pt idx="23">
                  <c:v>31</c:v>
                </c:pt>
                <c:pt idx="24">
                  <c:v>40</c:v>
                </c:pt>
                <c:pt idx="25">
                  <c:v>36</c:v>
                </c:pt>
                <c:pt idx="26">
                  <c:v>27</c:v>
                </c:pt>
                <c:pt idx="27">
                  <c:v>35</c:v>
                </c:pt>
                <c:pt idx="28">
                  <c:v>35</c:v>
                </c:pt>
                <c:pt idx="29">
                  <c:v>32</c:v>
                </c:pt>
                <c:pt idx="30">
                  <c:v>27</c:v>
                </c:pt>
                <c:pt idx="31">
                  <c:v>34</c:v>
                </c:pt>
                <c:pt idx="32">
                  <c:v>41</c:v>
                </c:pt>
                <c:pt idx="33">
                  <c:v>36</c:v>
                </c:pt>
                <c:pt idx="34">
                  <c:v>31</c:v>
                </c:pt>
                <c:pt idx="35">
                  <c:v>33</c:v>
                </c:pt>
                <c:pt idx="36">
                  <c:v>36</c:v>
                </c:pt>
                <c:pt idx="37">
                  <c:v>29</c:v>
                </c:pt>
                <c:pt idx="38">
                  <c:v>40</c:v>
                </c:pt>
                <c:pt idx="39">
                  <c:v>35</c:v>
                </c:pt>
                <c:pt idx="40">
                  <c:v>33</c:v>
                </c:pt>
                <c:pt idx="41">
                  <c:v>36</c:v>
                </c:pt>
                <c:pt idx="42">
                  <c:v>42</c:v>
                </c:pt>
                <c:pt idx="43">
                  <c:v>38</c:v>
                </c:pt>
                <c:pt idx="44">
                  <c:v>34</c:v>
                </c:pt>
                <c:pt idx="45">
                  <c:v>33</c:v>
                </c:pt>
                <c:pt idx="46">
                  <c:v>42</c:v>
                </c:pt>
                <c:pt idx="47">
                  <c:v>23</c:v>
                </c:pt>
                <c:pt idx="48">
                  <c:v>43</c:v>
                </c:pt>
                <c:pt idx="4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8-604B-97CC-0736E529A4D6}"/>
            </c:ext>
          </c:extLst>
        </c:ser>
        <c:ser>
          <c:idx val="1"/>
          <c:order val="1"/>
          <c:marker>
            <c:symbol val="none"/>
          </c:marker>
          <c:xVal>
            <c:numRef>
              <c:f>'atom swap'!$AB$8:$AB$57</c:f>
              <c:numCache>
                <c:formatCode>General</c:formatCode>
                <c:ptCount val="50"/>
                <c:pt idx="0">
                  <c:v>-89.213499999999996</c:v>
                </c:pt>
                <c:pt idx="1">
                  <c:v>-85.572199999999995</c:v>
                </c:pt>
                <c:pt idx="2">
                  <c:v>-81.930800000000005</c:v>
                </c:pt>
                <c:pt idx="3">
                  <c:v>-78.289400000000001</c:v>
                </c:pt>
                <c:pt idx="4">
                  <c:v>-74.647999999999996</c:v>
                </c:pt>
                <c:pt idx="5">
                  <c:v>-71.006699999999995</c:v>
                </c:pt>
                <c:pt idx="6">
                  <c:v>-67.365300000000005</c:v>
                </c:pt>
                <c:pt idx="7">
                  <c:v>-63.7239</c:v>
                </c:pt>
                <c:pt idx="8">
                  <c:v>-60.082599999999999</c:v>
                </c:pt>
                <c:pt idx="9">
                  <c:v>-56.441200000000002</c:v>
                </c:pt>
                <c:pt idx="10">
                  <c:v>-52.799799999999998</c:v>
                </c:pt>
                <c:pt idx="11">
                  <c:v>-49.158499999999997</c:v>
                </c:pt>
                <c:pt idx="12">
                  <c:v>-45.517099999999999</c:v>
                </c:pt>
                <c:pt idx="13">
                  <c:v>-41.875700000000002</c:v>
                </c:pt>
                <c:pt idx="14">
                  <c:v>-38.234400000000001</c:v>
                </c:pt>
                <c:pt idx="15">
                  <c:v>-34.593000000000004</c:v>
                </c:pt>
                <c:pt idx="16">
                  <c:v>-30.951599999999999</c:v>
                </c:pt>
                <c:pt idx="17">
                  <c:v>-27.310300000000002</c:v>
                </c:pt>
                <c:pt idx="18">
                  <c:v>-23.668900000000001</c:v>
                </c:pt>
                <c:pt idx="19">
                  <c:v>-20.0275</c:v>
                </c:pt>
                <c:pt idx="20">
                  <c:v>-16.386199999999999</c:v>
                </c:pt>
                <c:pt idx="21">
                  <c:v>-12.7448</c:v>
                </c:pt>
                <c:pt idx="22">
                  <c:v>-9.1034199999999998</c:v>
                </c:pt>
                <c:pt idx="23">
                  <c:v>-5.4620499999999996</c:v>
                </c:pt>
                <c:pt idx="24">
                  <c:v>-1.8206899999999999</c:v>
                </c:pt>
                <c:pt idx="25">
                  <c:v>1.8206899999999999</c:v>
                </c:pt>
                <c:pt idx="26">
                  <c:v>5.4620499999999996</c:v>
                </c:pt>
                <c:pt idx="27">
                  <c:v>9.1034199999999998</c:v>
                </c:pt>
                <c:pt idx="28">
                  <c:v>12.7448</c:v>
                </c:pt>
                <c:pt idx="29">
                  <c:v>16.386199999999999</c:v>
                </c:pt>
                <c:pt idx="30">
                  <c:v>20.0275</c:v>
                </c:pt>
                <c:pt idx="31">
                  <c:v>23.668900000000001</c:v>
                </c:pt>
                <c:pt idx="32">
                  <c:v>27.310300000000002</c:v>
                </c:pt>
                <c:pt idx="33">
                  <c:v>30.951599999999999</c:v>
                </c:pt>
                <c:pt idx="34">
                  <c:v>34.593000000000004</c:v>
                </c:pt>
                <c:pt idx="35">
                  <c:v>38.234400000000001</c:v>
                </c:pt>
                <c:pt idx="36">
                  <c:v>41.875700000000002</c:v>
                </c:pt>
                <c:pt idx="37">
                  <c:v>45.517099999999999</c:v>
                </c:pt>
                <c:pt idx="38">
                  <c:v>49.158499999999997</c:v>
                </c:pt>
                <c:pt idx="39">
                  <c:v>52.799799999999998</c:v>
                </c:pt>
                <c:pt idx="40">
                  <c:v>56.441200000000002</c:v>
                </c:pt>
                <c:pt idx="41">
                  <c:v>60.082599999999999</c:v>
                </c:pt>
                <c:pt idx="42">
                  <c:v>63.7239</c:v>
                </c:pt>
                <c:pt idx="43">
                  <c:v>67.365300000000005</c:v>
                </c:pt>
                <c:pt idx="44">
                  <c:v>71.006699999999995</c:v>
                </c:pt>
                <c:pt idx="45">
                  <c:v>74.647999999999996</c:v>
                </c:pt>
                <c:pt idx="46">
                  <c:v>78.289400000000001</c:v>
                </c:pt>
                <c:pt idx="47">
                  <c:v>81.930800000000005</c:v>
                </c:pt>
                <c:pt idx="48">
                  <c:v>85.572199999999995</c:v>
                </c:pt>
                <c:pt idx="49">
                  <c:v>89.213499999999996</c:v>
                </c:pt>
              </c:numCache>
            </c:numRef>
          </c:xVal>
          <c:yVal>
            <c:numRef>
              <c:f>'atom swap'!$AC$8:$AC$57</c:f>
              <c:numCache>
                <c:formatCode>General</c:formatCode>
                <c:ptCount val="50"/>
                <c:pt idx="0">
                  <c:v>13</c:v>
                </c:pt>
                <c:pt idx="1">
                  <c:v>31</c:v>
                </c:pt>
                <c:pt idx="2">
                  <c:v>37</c:v>
                </c:pt>
                <c:pt idx="3">
                  <c:v>36</c:v>
                </c:pt>
                <c:pt idx="4">
                  <c:v>44</c:v>
                </c:pt>
                <c:pt idx="5">
                  <c:v>24</c:v>
                </c:pt>
                <c:pt idx="6">
                  <c:v>38</c:v>
                </c:pt>
                <c:pt idx="7">
                  <c:v>38</c:v>
                </c:pt>
                <c:pt idx="8">
                  <c:v>36</c:v>
                </c:pt>
                <c:pt idx="9">
                  <c:v>37</c:v>
                </c:pt>
                <c:pt idx="10">
                  <c:v>36</c:v>
                </c:pt>
                <c:pt idx="11">
                  <c:v>34</c:v>
                </c:pt>
                <c:pt idx="12">
                  <c:v>36</c:v>
                </c:pt>
                <c:pt idx="13">
                  <c:v>47</c:v>
                </c:pt>
                <c:pt idx="14">
                  <c:v>30</c:v>
                </c:pt>
                <c:pt idx="15">
                  <c:v>28</c:v>
                </c:pt>
                <c:pt idx="16">
                  <c:v>39</c:v>
                </c:pt>
                <c:pt idx="17">
                  <c:v>42</c:v>
                </c:pt>
                <c:pt idx="18">
                  <c:v>38</c:v>
                </c:pt>
                <c:pt idx="19">
                  <c:v>29</c:v>
                </c:pt>
                <c:pt idx="20">
                  <c:v>30</c:v>
                </c:pt>
                <c:pt idx="21">
                  <c:v>39</c:v>
                </c:pt>
                <c:pt idx="22">
                  <c:v>32</c:v>
                </c:pt>
                <c:pt idx="23">
                  <c:v>23</c:v>
                </c:pt>
                <c:pt idx="24">
                  <c:v>21</c:v>
                </c:pt>
                <c:pt idx="25">
                  <c:v>17</c:v>
                </c:pt>
                <c:pt idx="26">
                  <c:v>29</c:v>
                </c:pt>
                <c:pt idx="27">
                  <c:v>37</c:v>
                </c:pt>
                <c:pt idx="28">
                  <c:v>34</c:v>
                </c:pt>
                <c:pt idx="29">
                  <c:v>24</c:v>
                </c:pt>
                <c:pt idx="30">
                  <c:v>42</c:v>
                </c:pt>
                <c:pt idx="31">
                  <c:v>35</c:v>
                </c:pt>
                <c:pt idx="32">
                  <c:v>36</c:v>
                </c:pt>
                <c:pt idx="33">
                  <c:v>40</c:v>
                </c:pt>
                <c:pt idx="34">
                  <c:v>34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36</c:v>
                </c:pt>
                <c:pt idx="39">
                  <c:v>34</c:v>
                </c:pt>
                <c:pt idx="40">
                  <c:v>34</c:v>
                </c:pt>
                <c:pt idx="41">
                  <c:v>41</c:v>
                </c:pt>
                <c:pt idx="42">
                  <c:v>39</c:v>
                </c:pt>
                <c:pt idx="43">
                  <c:v>39</c:v>
                </c:pt>
                <c:pt idx="44">
                  <c:v>27</c:v>
                </c:pt>
                <c:pt idx="45">
                  <c:v>35</c:v>
                </c:pt>
                <c:pt idx="46">
                  <c:v>46</c:v>
                </c:pt>
                <c:pt idx="47">
                  <c:v>34</c:v>
                </c:pt>
                <c:pt idx="48">
                  <c:v>40</c:v>
                </c:pt>
                <c:pt idx="4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8-604B-97CC-0736E52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65792"/>
        <c:axId val="410868112"/>
      </c:scatterChart>
      <c:valAx>
        <c:axId val="410865792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410868112"/>
        <c:crosses val="autoZero"/>
        <c:crossBetween val="midCat"/>
      </c:valAx>
      <c:valAx>
        <c:axId val="410868112"/>
        <c:scaling>
          <c:orientation val="minMax"/>
          <c:max val="50"/>
          <c:min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41086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'atom swap'!$Z$59:$Z$78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'atom swap'!$AB$59:$AB$78</c:f>
              <c:numCache>
                <c:formatCode>General</c:formatCode>
                <c:ptCount val="20"/>
                <c:pt idx="0">
                  <c:v>-35920.946050999999</c:v>
                </c:pt>
                <c:pt idx="1">
                  <c:v>-35945.884682999997</c:v>
                </c:pt>
                <c:pt idx="2">
                  <c:v>-35962.105012</c:v>
                </c:pt>
                <c:pt idx="3">
                  <c:v>-35981.043124999997</c:v>
                </c:pt>
                <c:pt idx="4">
                  <c:v>-35982.908727000002</c:v>
                </c:pt>
                <c:pt idx="5">
                  <c:v>-35988.060995</c:v>
                </c:pt>
                <c:pt idx="6">
                  <c:v>-35991.743111000003</c:v>
                </c:pt>
                <c:pt idx="7">
                  <c:v>-36002.047506000003</c:v>
                </c:pt>
                <c:pt idx="8">
                  <c:v>-36002.574877999999</c:v>
                </c:pt>
                <c:pt idx="9">
                  <c:v>-36007.622044999996</c:v>
                </c:pt>
                <c:pt idx="10">
                  <c:v>-36003.492336000003</c:v>
                </c:pt>
                <c:pt idx="11">
                  <c:v>-35999.033187000001</c:v>
                </c:pt>
                <c:pt idx="12">
                  <c:v>-36002.159897999998</c:v>
                </c:pt>
                <c:pt idx="13">
                  <c:v>-36010.924876999998</c:v>
                </c:pt>
                <c:pt idx="14">
                  <c:v>-36007.910302999997</c:v>
                </c:pt>
                <c:pt idx="15">
                  <c:v>-36011.975921999998</c:v>
                </c:pt>
                <c:pt idx="16">
                  <c:v>-36009.708006000001</c:v>
                </c:pt>
                <c:pt idx="17">
                  <c:v>-36005.65984</c:v>
                </c:pt>
                <c:pt idx="18">
                  <c:v>-36007.726610999998</c:v>
                </c:pt>
                <c:pt idx="19">
                  <c:v>-36007.598768000003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B-2A42-A857-8F53BDD2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88256"/>
        <c:axId val="410890576"/>
      </c:scatterChart>
      <c:valAx>
        <c:axId val="4108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890576"/>
        <c:crosses val="autoZero"/>
        <c:crossBetween val="midCat"/>
      </c:valAx>
      <c:valAx>
        <c:axId val="41089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088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1000K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'atom swap'!$B$8:$B$57</c:f>
              <c:numCache>
                <c:formatCode>General</c:formatCode>
                <c:ptCount val="50"/>
                <c:pt idx="0">
                  <c:v>-89.930400000000006</c:v>
                </c:pt>
                <c:pt idx="1">
                  <c:v>-86.259699999999995</c:v>
                </c:pt>
                <c:pt idx="2">
                  <c:v>-82.589100000000002</c:v>
                </c:pt>
                <c:pt idx="3">
                  <c:v>-78.918499999999995</c:v>
                </c:pt>
                <c:pt idx="4">
                  <c:v>-75.247799999999998</c:v>
                </c:pt>
                <c:pt idx="5">
                  <c:v>-71.577200000000005</c:v>
                </c:pt>
                <c:pt idx="6">
                  <c:v>-67.906599999999997</c:v>
                </c:pt>
                <c:pt idx="7">
                  <c:v>-64.236000000000004</c:v>
                </c:pt>
                <c:pt idx="8">
                  <c:v>-60.565300000000001</c:v>
                </c:pt>
                <c:pt idx="9">
                  <c:v>-56.8947</c:v>
                </c:pt>
                <c:pt idx="10">
                  <c:v>-53.2241</c:v>
                </c:pt>
                <c:pt idx="11">
                  <c:v>-49.5535</c:v>
                </c:pt>
                <c:pt idx="12">
                  <c:v>-45.882800000000003</c:v>
                </c:pt>
                <c:pt idx="13">
                  <c:v>-42.212200000000003</c:v>
                </c:pt>
                <c:pt idx="14">
                  <c:v>-38.541600000000003</c:v>
                </c:pt>
                <c:pt idx="15">
                  <c:v>-34.871000000000002</c:v>
                </c:pt>
                <c:pt idx="16">
                  <c:v>-31.200299999999999</c:v>
                </c:pt>
                <c:pt idx="17">
                  <c:v>-27.529699999999998</c:v>
                </c:pt>
                <c:pt idx="18">
                  <c:v>-23.859100000000002</c:v>
                </c:pt>
                <c:pt idx="19">
                  <c:v>-20.188400000000001</c:v>
                </c:pt>
                <c:pt idx="20">
                  <c:v>-16.517800000000001</c:v>
                </c:pt>
                <c:pt idx="21">
                  <c:v>-12.847200000000001</c:v>
                </c:pt>
                <c:pt idx="22">
                  <c:v>-9.1765699999999999</c:v>
                </c:pt>
                <c:pt idx="23">
                  <c:v>-5.5059399999999998</c:v>
                </c:pt>
                <c:pt idx="24">
                  <c:v>-1.83531</c:v>
                </c:pt>
                <c:pt idx="25">
                  <c:v>1.83531</c:v>
                </c:pt>
                <c:pt idx="26">
                  <c:v>5.5059399999999998</c:v>
                </c:pt>
                <c:pt idx="27">
                  <c:v>9.1765699999999999</c:v>
                </c:pt>
                <c:pt idx="28">
                  <c:v>12.847200000000001</c:v>
                </c:pt>
                <c:pt idx="29">
                  <c:v>16.517800000000001</c:v>
                </c:pt>
                <c:pt idx="30">
                  <c:v>20.188400000000001</c:v>
                </c:pt>
                <c:pt idx="31">
                  <c:v>23.859100000000002</c:v>
                </c:pt>
                <c:pt idx="32">
                  <c:v>27.529699999999998</c:v>
                </c:pt>
                <c:pt idx="33">
                  <c:v>31.200299999999999</c:v>
                </c:pt>
                <c:pt idx="34">
                  <c:v>34.871000000000002</c:v>
                </c:pt>
                <c:pt idx="35">
                  <c:v>38.541600000000003</c:v>
                </c:pt>
                <c:pt idx="36">
                  <c:v>42.212200000000003</c:v>
                </c:pt>
                <c:pt idx="37">
                  <c:v>45.882800000000003</c:v>
                </c:pt>
                <c:pt idx="38">
                  <c:v>49.5535</c:v>
                </c:pt>
                <c:pt idx="39">
                  <c:v>53.2241</c:v>
                </c:pt>
                <c:pt idx="40">
                  <c:v>56.8947</c:v>
                </c:pt>
                <c:pt idx="41">
                  <c:v>60.565300000000001</c:v>
                </c:pt>
                <c:pt idx="42">
                  <c:v>64.236000000000004</c:v>
                </c:pt>
                <c:pt idx="43">
                  <c:v>67.906599999999997</c:v>
                </c:pt>
                <c:pt idx="44">
                  <c:v>71.577200000000005</c:v>
                </c:pt>
                <c:pt idx="45">
                  <c:v>75.247799999999998</c:v>
                </c:pt>
                <c:pt idx="46">
                  <c:v>78.918499999999995</c:v>
                </c:pt>
                <c:pt idx="47">
                  <c:v>82.589100000000002</c:v>
                </c:pt>
                <c:pt idx="48">
                  <c:v>86.259699999999995</c:v>
                </c:pt>
                <c:pt idx="49">
                  <c:v>89.930400000000006</c:v>
                </c:pt>
              </c:numCache>
            </c:numRef>
          </c:xVal>
          <c:yVal>
            <c:numRef>
              <c:f>'atom swap'!$C$8:$C$57</c:f>
              <c:numCache>
                <c:formatCode>General</c:formatCode>
                <c:ptCount val="50"/>
                <c:pt idx="0">
                  <c:v>38</c:v>
                </c:pt>
                <c:pt idx="1">
                  <c:v>23</c:v>
                </c:pt>
                <c:pt idx="2">
                  <c:v>44</c:v>
                </c:pt>
                <c:pt idx="3">
                  <c:v>26</c:v>
                </c:pt>
                <c:pt idx="4">
                  <c:v>29</c:v>
                </c:pt>
                <c:pt idx="5">
                  <c:v>37</c:v>
                </c:pt>
                <c:pt idx="6">
                  <c:v>29</c:v>
                </c:pt>
                <c:pt idx="7">
                  <c:v>38</c:v>
                </c:pt>
                <c:pt idx="8">
                  <c:v>34</c:v>
                </c:pt>
                <c:pt idx="9">
                  <c:v>36</c:v>
                </c:pt>
                <c:pt idx="10">
                  <c:v>36</c:v>
                </c:pt>
                <c:pt idx="11">
                  <c:v>29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28</c:v>
                </c:pt>
                <c:pt idx="16">
                  <c:v>33</c:v>
                </c:pt>
                <c:pt idx="17">
                  <c:v>39</c:v>
                </c:pt>
                <c:pt idx="18">
                  <c:v>43</c:v>
                </c:pt>
                <c:pt idx="19">
                  <c:v>27</c:v>
                </c:pt>
                <c:pt idx="20">
                  <c:v>38</c:v>
                </c:pt>
                <c:pt idx="21">
                  <c:v>33</c:v>
                </c:pt>
                <c:pt idx="22">
                  <c:v>24</c:v>
                </c:pt>
                <c:pt idx="23">
                  <c:v>31</c:v>
                </c:pt>
                <c:pt idx="24">
                  <c:v>36</c:v>
                </c:pt>
                <c:pt idx="25">
                  <c:v>40</c:v>
                </c:pt>
                <c:pt idx="26">
                  <c:v>28</c:v>
                </c:pt>
                <c:pt idx="27">
                  <c:v>34</c:v>
                </c:pt>
                <c:pt idx="28">
                  <c:v>34</c:v>
                </c:pt>
                <c:pt idx="29">
                  <c:v>32</c:v>
                </c:pt>
                <c:pt idx="30">
                  <c:v>28</c:v>
                </c:pt>
                <c:pt idx="31">
                  <c:v>33</c:v>
                </c:pt>
                <c:pt idx="32">
                  <c:v>42</c:v>
                </c:pt>
                <c:pt idx="33">
                  <c:v>35</c:v>
                </c:pt>
                <c:pt idx="34">
                  <c:v>36</c:v>
                </c:pt>
                <c:pt idx="35">
                  <c:v>28</c:v>
                </c:pt>
                <c:pt idx="36">
                  <c:v>37</c:v>
                </c:pt>
                <c:pt idx="37">
                  <c:v>31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44</c:v>
                </c:pt>
                <c:pt idx="43">
                  <c:v>39</c:v>
                </c:pt>
                <c:pt idx="44">
                  <c:v>30</c:v>
                </c:pt>
                <c:pt idx="45">
                  <c:v>34</c:v>
                </c:pt>
                <c:pt idx="46">
                  <c:v>42</c:v>
                </c:pt>
                <c:pt idx="47">
                  <c:v>22</c:v>
                </c:pt>
                <c:pt idx="48">
                  <c:v>44</c:v>
                </c:pt>
                <c:pt idx="4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D-864F-967E-3E43A1809C20}"/>
            </c:ext>
          </c:extLst>
        </c:ser>
        <c:ser>
          <c:idx val="1"/>
          <c:order val="1"/>
          <c:marker>
            <c:symbol val="none"/>
          </c:marker>
          <c:xVal>
            <c:numRef>
              <c:f>'atom swap'!$D$8:$D$57</c:f>
              <c:numCache>
                <c:formatCode>General</c:formatCode>
                <c:ptCount val="50"/>
                <c:pt idx="0">
                  <c:v>-89.564400000000006</c:v>
                </c:pt>
                <c:pt idx="1">
                  <c:v>-85.908699999999996</c:v>
                </c:pt>
                <c:pt idx="2">
                  <c:v>-82.253</c:v>
                </c:pt>
                <c:pt idx="3">
                  <c:v>-78.597300000000004</c:v>
                </c:pt>
                <c:pt idx="4">
                  <c:v>-74.941699999999997</c:v>
                </c:pt>
                <c:pt idx="5">
                  <c:v>-71.286000000000001</c:v>
                </c:pt>
                <c:pt idx="6">
                  <c:v>-67.630300000000005</c:v>
                </c:pt>
                <c:pt idx="7">
                  <c:v>-63.974600000000002</c:v>
                </c:pt>
                <c:pt idx="8">
                  <c:v>-60.318899999999999</c:v>
                </c:pt>
                <c:pt idx="9">
                  <c:v>-56.663200000000003</c:v>
                </c:pt>
                <c:pt idx="10">
                  <c:v>-53.0075</c:v>
                </c:pt>
                <c:pt idx="11">
                  <c:v>-49.351799999999997</c:v>
                </c:pt>
                <c:pt idx="12">
                  <c:v>-45.696100000000001</c:v>
                </c:pt>
                <c:pt idx="13">
                  <c:v>-42.040399999999998</c:v>
                </c:pt>
                <c:pt idx="14">
                  <c:v>-38.384799999999998</c:v>
                </c:pt>
                <c:pt idx="15">
                  <c:v>-34.729100000000003</c:v>
                </c:pt>
                <c:pt idx="16">
                  <c:v>-31.073399999999999</c:v>
                </c:pt>
                <c:pt idx="17">
                  <c:v>-27.4177</c:v>
                </c:pt>
                <c:pt idx="18">
                  <c:v>-23.762</c:v>
                </c:pt>
                <c:pt idx="19">
                  <c:v>-20.106300000000001</c:v>
                </c:pt>
                <c:pt idx="20">
                  <c:v>-16.450600000000001</c:v>
                </c:pt>
                <c:pt idx="21">
                  <c:v>-12.7949</c:v>
                </c:pt>
                <c:pt idx="22">
                  <c:v>-9.1392299999999995</c:v>
                </c:pt>
                <c:pt idx="23">
                  <c:v>-5.4835399999999996</c:v>
                </c:pt>
                <c:pt idx="24">
                  <c:v>-1.82785</c:v>
                </c:pt>
                <c:pt idx="25">
                  <c:v>1.8278399999999999</c:v>
                </c:pt>
                <c:pt idx="26">
                  <c:v>5.4835399999999996</c:v>
                </c:pt>
                <c:pt idx="27">
                  <c:v>9.1392199999999999</c:v>
                </c:pt>
                <c:pt idx="28">
                  <c:v>12.7949</c:v>
                </c:pt>
                <c:pt idx="29">
                  <c:v>16.450600000000001</c:v>
                </c:pt>
                <c:pt idx="30">
                  <c:v>20.106300000000001</c:v>
                </c:pt>
                <c:pt idx="31">
                  <c:v>23.762</c:v>
                </c:pt>
                <c:pt idx="32">
                  <c:v>27.4177</c:v>
                </c:pt>
                <c:pt idx="33">
                  <c:v>31.073399999999999</c:v>
                </c:pt>
                <c:pt idx="34">
                  <c:v>34.729100000000003</c:v>
                </c:pt>
                <c:pt idx="35">
                  <c:v>38.384799999999998</c:v>
                </c:pt>
                <c:pt idx="36">
                  <c:v>42.040399999999998</c:v>
                </c:pt>
                <c:pt idx="37">
                  <c:v>45.696100000000001</c:v>
                </c:pt>
                <c:pt idx="38">
                  <c:v>49.351799999999997</c:v>
                </c:pt>
                <c:pt idx="39">
                  <c:v>53.0075</c:v>
                </c:pt>
                <c:pt idx="40">
                  <c:v>56.663200000000003</c:v>
                </c:pt>
                <c:pt idx="41">
                  <c:v>60.318899999999999</c:v>
                </c:pt>
                <c:pt idx="42">
                  <c:v>63.974600000000002</c:v>
                </c:pt>
                <c:pt idx="43">
                  <c:v>67.630300000000005</c:v>
                </c:pt>
                <c:pt idx="44">
                  <c:v>71.285899999999998</c:v>
                </c:pt>
                <c:pt idx="45">
                  <c:v>74.941699999999997</c:v>
                </c:pt>
                <c:pt idx="46">
                  <c:v>78.597300000000004</c:v>
                </c:pt>
                <c:pt idx="47">
                  <c:v>82.253</c:v>
                </c:pt>
                <c:pt idx="48">
                  <c:v>85.908699999999996</c:v>
                </c:pt>
                <c:pt idx="49">
                  <c:v>89.564400000000006</c:v>
                </c:pt>
              </c:numCache>
            </c:numRef>
          </c:xVal>
          <c:yVal>
            <c:numRef>
              <c:f>'atom swap'!$E$8:$E$57</c:f>
              <c:numCache>
                <c:formatCode>General</c:formatCode>
                <c:ptCount val="50"/>
                <c:pt idx="0">
                  <c:v>16</c:v>
                </c:pt>
                <c:pt idx="1">
                  <c:v>34</c:v>
                </c:pt>
                <c:pt idx="2">
                  <c:v>34</c:v>
                </c:pt>
                <c:pt idx="3">
                  <c:v>39</c:v>
                </c:pt>
                <c:pt idx="4">
                  <c:v>38</c:v>
                </c:pt>
                <c:pt idx="5">
                  <c:v>29</c:v>
                </c:pt>
                <c:pt idx="6">
                  <c:v>38</c:v>
                </c:pt>
                <c:pt idx="7">
                  <c:v>35</c:v>
                </c:pt>
                <c:pt idx="8">
                  <c:v>33</c:v>
                </c:pt>
                <c:pt idx="9">
                  <c:v>36</c:v>
                </c:pt>
                <c:pt idx="10">
                  <c:v>36</c:v>
                </c:pt>
                <c:pt idx="11">
                  <c:v>32</c:v>
                </c:pt>
                <c:pt idx="12">
                  <c:v>40</c:v>
                </c:pt>
                <c:pt idx="13">
                  <c:v>24</c:v>
                </c:pt>
                <c:pt idx="14">
                  <c:v>40</c:v>
                </c:pt>
                <c:pt idx="15">
                  <c:v>32</c:v>
                </c:pt>
                <c:pt idx="16">
                  <c:v>42</c:v>
                </c:pt>
                <c:pt idx="17">
                  <c:v>31</c:v>
                </c:pt>
                <c:pt idx="18">
                  <c:v>35</c:v>
                </c:pt>
                <c:pt idx="19">
                  <c:v>48</c:v>
                </c:pt>
                <c:pt idx="20">
                  <c:v>31</c:v>
                </c:pt>
                <c:pt idx="21">
                  <c:v>34</c:v>
                </c:pt>
                <c:pt idx="22">
                  <c:v>44</c:v>
                </c:pt>
                <c:pt idx="23">
                  <c:v>24</c:v>
                </c:pt>
                <c:pt idx="24">
                  <c:v>13</c:v>
                </c:pt>
                <c:pt idx="25">
                  <c:v>19</c:v>
                </c:pt>
                <c:pt idx="26">
                  <c:v>30</c:v>
                </c:pt>
                <c:pt idx="27">
                  <c:v>33</c:v>
                </c:pt>
                <c:pt idx="28">
                  <c:v>29</c:v>
                </c:pt>
                <c:pt idx="29">
                  <c:v>34</c:v>
                </c:pt>
                <c:pt idx="30">
                  <c:v>36</c:v>
                </c:pt>
                <c:pt idx="31">
                  <c:v>38</c:v>
                </c:pt>
                <c:pt idx="32">
                  <c:v>31</c:v>
                </c:pt>
                <c:pt idx="33">
                  <c:v>42</c:v>
                </c:pt>
                <c:pt idx="34">
                  <c:v>36</c:v>
                </c:pt>
                <c:pt idx="35">
                  <c:v>34</c:v>
                </c:pt>
                <c:pt idx="36">
                  <c:v>41</c:v>
                </c:pt>
                <c:pt idx="37">
                  <c:v>31</c:v>
                </c:pt>
                <c:pt idx="38">
                  <c:v>41</c:v>
                </c:pt>
                <c:pt idx="39">
                  <c:v>25</c:v>
                </c:pt>
                <c:pt idx="40">
                  <c:v>41</c:v>
                </c:pt>
                <c:pt idx="41">
                  <c:v>35</c:v>
                </c:pt>
                <c:pt idx="42">
                  <c:v>42</c:v>
                </c:pt>
                <c:pt idx="43">
                  <c:v>38</c:v>
                </c:pt>
                <c:pt idx="44">
                  <c:v>41</c:v>
                </c:pt>
                <c:pt idx="45">
                  <c:v>41</c:v>
                </c:pt>
                <c:pt idx="46">
                  <c:v>40</c:v>
                </c:pt>
                <c:pt idx="47">
                  <c:v>38</c:v>
                </c:pt>
                <c:pt idx="48">
                  <c:v>33</c:v>
                </c:pt>
                <c:pt idx="4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D-864F-967E-3E43A180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13200"/>
        <c:axId val="410915520"/>
      </c:scatterChart>
      <c:valAx>
        <c:axId val="410913200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410915520"/>
        <c:crosses val="autoZero"/>
        <c:crossBetween val="midCat"/>
      </c:valAx>
      <c:valAx>
        <c:axId val="410915520"/>
        <c:scaling>
          <c:orientation val="minMax"/>
          <c:max val="50"/>
          <c:min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41091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11111111111097E-2"/>
          <c:y val="2.7777777777777801E-2"/>
          <c:w val="0.89734033245844302"/>
          <c:h val="0.8224693788276470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'atom swap'!$AF$8:$AF$57</c:f>
              <c:numCache>
                <c:formatCode>General</c:formatCode>
                <c:ptCount val="50"/>
                <c:pt idx="0">
                  <c:v>-89.394499999999994</c:v>
                </c:pt>
                <c:pt idx="1">
                  <c:v>-85.745699999999999</c:v>
                </c:pt>
                <c:pt idx="2">
                  <c:v>-82.096999999999994</c:v>
                </c:pt>
                <c:pt idx="3">
                  <c:v>-78.4482</c:v>
                </c:pt>
                <c:pt idx="4">
                  <c:v>-74.799499999999995</c:v>
                </c:pt>
                <c:pt idx="5">
                  <c:v>-71.150700000000001</c:v>
                </c:pt>
                <c:pt idx="6">
                  <c:v>-67.501900000000006</c:v>
                </c:pt>
                <c:pt idx="7">
                  <c:v>-63.853200000000001</c:v>
                </c:pt>
                <c:pt idx="8">
                  <c:v>-60.2044</c:v>
                </c:pt>
                <c:pt idx="9">
                  <c:v>-56.555700000000002</c:v>
                </c:pt>
                <c:pt idx="10">
                  <c:v>-52.9069</c:v>
                </c:pt>
                <c:pt idx="11">
                  <c:v>-49.258200000000002</c:v>
                </c:pt>
                <c:pt idx="12">
                  <c:v>-45.609400000000001</c:v>
                </c:pt>
                <c:pt idx="13">
                  <c:v>-41.960700000000003</c:v>
                </c:pt>
                <c:pt idx="14">
                  <c:v>-38.311900000000001</c:v>
                </c:pt>
                <c:pt idx="15">
                  <c:v>-34.663200000000003</c:v>
                </c:pt>
                <c:pt idx="16">
                  <c:v>-31.014399999999998</c:v>
                </c:pt>
                <c:pt idx="17">
                  <c:v>-27.3657</c:v>
                </c:pt>
                <c:pt idx="18">
                  <c:v>-23.716899999999999</c:v>
                </c:pt>
                <c:pt idx="19">
                  <c:v>-20.068100000000001</c:v>
                </c:pt>
                <c:pt idx="20">
                  <c:v>-16.4194</c:v>
                </c:pt>
                <c:pt idx="21">
                  <c:v>-12.7706</c:v>
                </c:pt>
                <c:pt idx="22">
                  <c:v>-9.1218900000000005</c:v>
                </c:pt>
                <c:pt idx="23">
                  <c:v>-5.4731300000000003</c:v>
                </c:pt>
                <c:pt idx="24">
                  <c:v>-1.8243799999999999</c:v>
                </c:pt>
                <c:pt idx="25">
                  <c:v>1.8243799999999999</c:v>
                </c:pt>
                <c:pt idx="26">
                  <c:v>5.4731300000000003</c:v>
                </c:pt>
                <c:pt idx="27">
                  <c:v>9.1218900000000005</c:v>
                </c:pt>
                <c:pt idx="28">
                  <c:v>12.7706</c:v>
                </c:pt>
                <c:pt idx="29">
                  <c:v>16.4194</c:v>
                </c:pt>
                <c:pt idx="30">
                  <c:v>20.068100000000001</c:v>
                </c:pt>
                <c:pt idx="31">
                  <c:v>23.716899999999999</c:v>
                </c:pt>
                <c:pt idx="32">
                  <c:v>27.3657</c:v>
                </c:pt>
                <c:pt idx="33">
                  <c:v>31.014399999999998</c:v>
                </c:pt>
                <c:pt idx="34">
                  <c:v>34.663200000000003</c:v>
                </c:pt>
                <c:pt idx="35">
                  <c:v>38.311900000000001</c:v>
                </c:pt>
                <c:pt idx="36">
                  <c:v>41.960700000000003</c:v>
                </c:pt>
                <c:pt idx="37">
                  <c:v>45.609400000000001</c:v>
                </c:pt>
                <c:pt idx="38">
                  <c:v>49.258200000000002</c:v>
                </c:pt>
                <c:pt idx="39">
                  <c:v>52.9069</c:v>
                </c:pt>
                <c:pt idx="40">
                  <c:v>56.555700000000002</c:v>
                </c:pt>
                <c:pt idx="41">
                  <c:v>60.2044</c:v>
                </c:pt>
                <c:pt idx="42">
                  <c:v>63.853200000000001</c:v>
                </c:pt>
                <c:pt idx="43">
                  <c:v>67.501900000000006</c:v>
                </c:pt>
                <c:pt idx="44">
                  <c:v>71.150700000000001</c:v>
                </c:pt>
                <c:pt idx="45">
                  <c:v>74.799499999999995</c:v>
                </c:pt>
                <c:pt idx="46">
                  <c:v>78.4482</c:v>
                </c:pt>
                <c:pt idx="47">
                  <c:v>82.096999999999994</c:v>
                </c:pt>
                <c:pt idx="48">
                  <c:v>85.745699999999999</c:v>
                </c:pt>
                <c:pt idx="49">
                  <c:v>89.394499999999994</c:v>
                </c:pt>
              </c:numCache>
            </c:numRef>
          </c:xVal>
          <c:yVal>
            <c:numRef>
              <c:f>'atom swap'!$AG$8:$AG$57</c:f>
              <c:numCache>
                <c:formatCode>General</c:formatCode>
                <c:ptCount val="50"/>
                <c:pt idx="0">
                  <c:v>37</c:v>
                </c:pt>
                <c:pt idx="1">
                  <c:v>27</c:v>
                </c:pt>
                <c:pt idx="2">
                  <c:v>38</c:v>
                </c:pt>
                <c:pt idx="3">
                  <c:v>28</c:v>
                </c:pt>
                <c:pt idx="4">
                  <c:v>31</c:v>
                </c:pt>
                <c:pt idx="5">
                  <c:v>35</c:v>
                </c:pt>
                <c:pt idx="6">
                  <c:v>28</c:v>
                </c:pt>
                <c:pt idx="7">
                  <c:v>39</c:v>
                </c:pt>
                <c:pt idx="8">
                  <c:v>37</c:v>
                </c:pt>
                <c:pt idx="9">
                  <c:v>33</c:v>
                </c:pt>
                <c:pt idx="10">
                  <c:v>36</c:v>
                </c:pt>
                <c:pt idx="11">
                  <c:v>30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28</c:v>
                </c:pt>
                <c:pt idx="16">
                  <c:v>33</c:v>
                </c:pt>
                <c:pt idx="17">
                  <c:v>42</c:v>
                </c:pt>
                <c:pt idx="18">
                  <c:v>43</c:v>
                </c:pt>
                <c:pt idx="19">
                  <c:v>23</c:v>
                </c:pt>
                <c:pt idx="20">
                  <c:v>39</c:v>
                </c:pt>
                <c:pt idx="21">
                  <c:v>33</c:v>
                </c:pt>
                <c:pt idx="22">
                  <c:v>24</c:v>
                </c:pt>
                <c:pt idx="23">
                  <c:v>31</c:v>
                </c:pt>
                <c:pt idx="24">
                  <c:v>40</c:v>
                </c:pt>
                <c:pt idx="25">
                  <c:v>36</c:v>
                </c:pt>
                <c:pt idx="26">
                  <c:v>27</c:v>
                </c:pt>
                <c:pt idx="27">
                  <c:v>35</c:v>
                </c:pt>
                <c:pt idx="28">
                  <c:v>35</c:v>
                </c:pt>
                <c:pt idx="29">
                  <c:v>32</c:v>
                </c:pt>
                <c:pt idx="30">
                  <c:v>27</c:v>
                </c:pt>
                <c:pt idx="31">
                  <c:v>34</c:v>
                </c:pt>
                <c:pt idx="32">
                  <c:v>41</c:v>
                </c:pt>
                <c:pt idx="33">
                  <c:v>36</c:v>
                </c:pt>
                <c:pt idx="34">
                  <c:v>31</c:v>
                </c:pt>
                <c:pt idx="35">
                  <c:v>33</c:v>
                </c:pt>
                <c:pt idx="36">
                  <c:v>36</c:v>
                </c:pt>
                <c:pt idx="37">
                  <c:v>29</c:v>
                </c:pt>
                <c:pt idx="38">
                  <c:v>40</c:v>
                </c:pt>
                <c:pt idx="39">
                  <c:v>35</c:v>
                </c:pt>
                <c:pt idx="40">
                  <c:v>33</c:v>
                </c:pt>
                <c:pt idx="41">
                  <c:v>36</c:v>
                </c:pt>
                <c:pt idx="42">
                  <c:v>42</c:v>
                </c:pt>
                <c:pt idx="43">
                  <c:v>38</c:v>
                </c:pt>
                <c:pt idx="44">
                  <c:v>34</c:v>
                </c:pt>
                <c:pt idx="45">
                  <c:v>33</c:v>
                </c:pt>
                <c:pt idx="46">
                  <c:v>42</c:v>
                </c:pt>
                <c:pt idx="47">
                  <c:v>23</c:v>
                </c:pt>
                <c:pt idx="48">
                  <c:v>43</c:v>
                </c:pt>
                <c:pt idx="4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9-4444-B8B0-D4A5996E7620}"/>
            </c:ext>
          </c:extLst>
        </c:ser>
        <c:ser>
          <c:idx val="1"/>
          <c:order val="1"/>
          <c:marker>
            <c:symbol val="none"/>
          </c:marker>
          <c:xVal>
            <c:numRef>
              <c:f>'atom swap'!$AH$8:$AH$57</c:f>
              <c:numCache>
                <c:formatCode>General</c:formatCode>
                <c:ptCount val="50"/>
                <c:pt idx="0">
                  <c:v>-89.244399999999999</c:v>
                </c:pt>
                <c:pt idx="1">
                  <c:v>-85.601799999999997</c:v>
                </c:pt>
                <c:pt idx="2">
                  <c:v>-81.959199999999996</c:v>
                </c:pt>
                <c:pt idx="3">
                  <c:v>-78.316500000000005</c:v>
                </c:pt>
                <c:pt idx="4">
                  <c:v>-74.673900000000003</c:v>
                </c:pt>
                <c:pt idx="5">
                  <c:v>-71.031300000000002</c:v>
                </c:pt>
                <c:pt idx="6">
                  <c:v>-67.388599999999997</c:v>
                </c:pt>
                <c:pt idx="7">
                  <c:v>-63.746000000000002</c:v>
                </c:pt>
                <c:pt idx="8">
                  <c:v>-60.103400000000001</c:v>
                </c:pt>
                <c:pt idx="9">
                  <c:v>-56.460700000000003</c:v>
                </c:pt>
                <c:pt idx="10">
                  <c:v>-52.818100000000001</c:v>
                </c:pt>
                <c:pt idx="11">
                  <c:v>-49.1755</c:v>
                </c:pt>
                <c:pt idx="12">
                  <c:v>-45.532899999999998</c:v>
                </c:pt>
                <c:pt idx="13">
                  <c:v>-41.8902</c:v>
                </c:pt>
                <c:pt idx="14">
                  <c:v>-38.247599999999998</c:v>
                </c:pt>
                <c:pt idx="15">
                  <c:v>-34.604999999999997</c:v>
                </c:pt>
                <c:pt idx="16">
                  <c:v>-30.962299999999999</c:v>
                </c:pt>
                <c:pt idx="17">
                  <c:v>-27.319700000000001</c:v>
                </c:pt>
                <c:pt idx="18">
                  <c:v>-23.677099999999999</c:v>
                </c:pt>
                <c:pt idx="19">
                  <c:v>-20.034500000000001</c:v>
                </c:pt>
                <c:pt idx="20">
                  <c:v>-16.3918</c:v>
                </c:pt>
                <c:pt idx="21">
                  <c:v>-12.7492</c:v>
                </c:pt>
                <c:pt idx="22">
                  <c:v>-9.1065799999999992</c:v>
                </c:pt>
                <c:pt idx="23">
                  <c:v>-5.46394</c:v>
                </c:pt>
                <c:pt idx="24">
                  <c:v>-1.8213200000000001</c:v>
                </c:pt>
                <c:pt idx="25">
                  <c:v>1.82131</c:v>
                </c:pt>
                <c:pt idx="26">
                  <c:v>5.46394</c:v>
                </c:pt>
                <c:pt idx="27">
                  <c:v>9.1065699999999996</c:v>
                </c:pt>
                <c:pt idx="28">
                  <c:v>12.7492</c:v>
                </c:pt>
                <c:pt idx="29">
                  <c:v>16.3918</c:v>
                </c:pt>
                <c:pt idx="30">
                  <c:v>20.034500000000001</c:v>
                </c:pt>
                <c:pt idx="31">
                  <c:v>23.677099999999999</c:v>
                </c:pt>
                <c:pt idx="32">
                  <c:v>27.319700000000001</c:v>
                </c:pt>
                <c:pt idx="33">
                  <c:v>30.962299999999999</c:v>
                </c:pt>
                <c:pt idx="34">
                  <c:v>34.604999999999997</c:v>
                </c:pt>
                <c:pt idx="35">
                  <c:v>38.247599999999998</c:v>
                </c:pt>
                <c:pt idx="36">
                  <c:v>41.8902</c:v>
                </c:pt>
                <c:pt idx="37">
                  <c:v>45.532899999999998</c:v>
                </c:pt>
                <c:pt idx="38">
                  <c:v>49.1755</c:v>
                </c:pt>
                <c:pt idx="39">
                  <c:v>52.818100000000001</c:v>
                </c:pt>
                <c:pt idx="40">
                  <c:v>56.460700000000003</c:v>
                </c:pt>
                <c:pt idx="41">
                  <c:v>60.103400000000001</c:v>
                </c:pt>
                <c:pt idx="42">
                  <c:v>63.746000000000002</c:v>
                </c:pt>
                <c:pt idx="43">
                  <c:v>67.388599999999997</c:v>
                </c:pt>
                <c:pt idx="44">
                  <c:v>71.031300000000002</c:v>
                </c:pt>
                <c:pt idx="45">
                  <c:v>74.673900000000003</c:v>
                </c:pt>
                <c:pt idx="46">
                  <c:v>78.316500000000005</c:v>
                </c:pt>
                <c:pt idx="47">
                  <c:v>81.959100000000007</c:v>
                </c:pt>
                <c:pt idx="48">
                  <c:v>85.601799999999997</c:v>
                </c:pt>
                <c:pt idx="49">
                  <c:v>89.244399999999999</c:v>
                </c:pt>
              </c:numCache>
            </c:numRef>
          </c:xVal>
          <c:yVal>
            <c:numRef>
              <c:f>'atom swap'!$AI$8:$AI$57</c:f>
              <c:numCache>
                <c:formatCode>General</c:formatCode>
                <c:ptCount val="50"/>
                <c:pt idx="0">
                  <c:v>22</c:v>
                </c:pt>
                <c:pt idx="1">
                  <c:v>31</c:v>
                </c:pt>
                <c:pt idx="2">
                  <c:v>26</c:v>
                </c:pt>
                <c:pt idx="3">
                  <c:v>29</c:v>
                </c:pt>
                <c:pt idx="4">
                  <c:v>36</c:v>
                </c:pt>
                <c:pt idx="5">
                  <c:v>35</c:v>
                </c:pt>
                <c:pt idx="6">
                  <c:v>42</c:v>
                </c:pt>
                <c:pt idx="7">
                  <c:v>43</c:v>
                </c:pt>
                <c:pt idx="8">
                  <c:v>41</c:v>
                </c:pt>
                <c:pt idx="9">
                  <c:v>32</c:v>
                </c:pt>
                <c:pt idx="10">
                  <c:v>38</c:v>
                </c:pt>
                <c:pt idx="11">
                  <c:v>38</c:v>
                </c:pt>
                <c:pt idx="12">
                  <c:v>47</c:v>
                </c:pt>
                <c:pt idx="13">
                  <c:v>31</c:v>
                </c:pt>
                <c:pt idx="14">
                  <c:v>29</c:v>
                </c:pt>
                <c:pt idx="15">
                  <c:v>42</c:v>
                </c:pt>
                <c:pt idx="16">
                  <c:v>35</c:v>
                </c:pt>
                <c:pt idx="17">
                  <c:v>39</c:v>
                </c:pt>
                <c:pt idx="18">
                  <c:v>27</c:v>
                </c:pt>
                <c:pt idx="19">
                  <c:v>29</c:v>
                </c:pt>
                <c:pt idx="20">
                  <c:v>35</c:v>
                </c:pt>
                <c:pt idx="21">
                  <c:v>45</c:v>
                </c:pt>
                <c:pt idx="22">
                  <c:v>40</c:v>
                </c:pt>
                <c:pt idx="23">
                  <c:v>27</c:v>
                </c:pt>
                <c:pt idx="24">
                  <c:v>17</c:v>
                </c:pt>
                <c:pt idx="25">
                  <c:v>16</c:v>
                </c:pt>
                <c:pt idx="26">
                  <c:v>29</c:v>
                </c:pt>
                <c:pt idx="27">
                  <c:v>31</c:v>
                </c:pt>
                <c:pt idx="28">
                  <c:v>33</c:v>
                </c:pt>
                <c:pt idx="29">
                  <c:v>48</c:v>
                </c:pt>
                <c:pt idx="30">
                  <c:v>31</c:v>
                </c:pt>
                <c:pt idx="31">
                  <c:v>38</c:v>
                </c:pt>
                <c:pt idx="32">
                  <c:v>35</c:v>
                </c:pt>
                <c:pt idx="33">
                  <c:v>47</c:v>
                </c:pt>
                <c:pt idx="34">
                  <c:v>47</c:v>
                </c:pt>
                <c:pt idx="35">
                  <c:v>29</c:v>
                </c:pt>
                <c:pt idx="36">
                  <c:v>33</c:v>
                </c:pt>
                <c:pt idx="37">
                  <c:v>34</c:v>
                </c:pt>
                <c:pt idx="38">
                  <c:v>42</c:v>
                </c:pt>
                <c:pt idx="39">
                  <c:v>37</c:v>
                </c:pt>
                <c:pt idx="40">
                  <c:v>38</c:v>
                </c:pt>
                <c:pt idx="41">
                  <c:v>24</c:v>
                </c:pt>
                <c:pt idx="42">
                  <c:v>41</c:v>
                </c:pt>
                <c:pt idx="43">
                  <c:v>38</c:v>
                </c:pt>
                <c:pt idx="44">
                  <c:v>31</c:v>
                </c:pt>
                <c:pt idx="45">
                  <c:v>27</c:v>
                </c:pt>
                <c:pt idx="46">
                  <c:v>40</c:v>
                </c:pt>
                <c:pt idx="47">
                  <c:v>30</c:v>
                </c:pt>
                <c:pt idx="48">
                  <c:v>32</c:v>
                </c:pt>
                <c:pt idx="4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9-4444-B8B0-D4A5996E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39472"/>
        <c:axId val="410941792"/>
      </c:scatterChart>
      <c:valAx>
        <c:axId val="410939472"/>
        <c:scaling>
          <c:orientation val="minMax"/>
          <c:max val="90"/>
          <c:min val="-90"/>
        </c:scaling>
        <c:delete val="0"/>
        <c:axPos val="b"/>
        <c:numFmt formatCode="General" sourceLinked="1"/>
        <c:majorTickMark val="out"/>
        <c:minorTickMark val="none"/>
        <c:tickLblPos val="nextTo"/>
        <c:crossAx val="410941792"/>
        <c:crosses val="autoZero"/>
        <c:crossBetween val="midCat"/>
      </c:valAx>
      <c:valAx>
        <c:axId val="410941792"/>
        <c:scaling>
          <c:orientation val="minMax"/>
          <c:max val="50"/>
          <c:min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41093947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'atom swap'!$AL$8:$AL$57</c:f>
              <c:numCache>
                <c:formatCode>General</c:formatCode>
                <c:ptCount val="50"/>
                <c:pt idx="0">
                  <c:v>-89.930400000000006</c:v>
                </c:pt>
                <c:pt idx="1">
                  <c:v>-86.259699999999995</c:v>
                </c:pt>
                <c:pt idx="2">
                  <c:v>-82.589100000000002</c:v>
                </c:pt>
                <c:pt idx="3">
                  <c:v>-78.918499999999995</c:v>
                </c:pt>
                <c:pt idx="4">
                  <c:v>-75.247799999999998</c:v>
                </c:pt>
                <c:pt idx="5">
                  <c:v>-71.577200000000005</c:v>
                </c:pt>
                <c:pt idx="6">
                  <c:v>-67.906599999999997</c:v>
                </c:pt>
                <c:pt idx="7">
                  <c:v>-64.236000000000004</c:v>
                </c:pt>
                <c:pt idx="8">
                  <c:v>-60.565300000000001</c:v>
                </c:pt>
                <c:pt idx="9">
                  <c:v>-56.8947</c:v>
                </c:pt>
                <c:pt idx="10">
                  <c:v>-53.2241</c:v>
                </c:pt>
                <c:pt idx="11">
                  <c:v>-49.5535</c:v>
                </c:pt>
                <c:pt idx="12">
                  <c:v>-45.882800000000003</c:v>
                </c:pt>
                <c:pt idx="13">
                  <c:v>-42.212200000000003</c:v>
                </c:pt>
                <c:pt idx="14">
                  <c:v>-38.541600000000003</c:v>
                </c:pt>
                <c:pt idx="15">
                  <c:v>-34.871000000000002</c:v>
                </c:pt>
                <c:pt idx="16">
                  <c:v>-31.200299999999999</c:v>
                </c:pt>
                <c:pt idx="17">
                  <c:v>-27.529699999999998</c:v>
                </c:pt>
                <c:pt idx="18">
                  <c:v>-23.859100000000002</c:v>
                </c:pt>
                <c:pt idx="19">
                  <c:v>-20.188400000000001</c:v>
                </c:pt>
                <c:pt idx="20">
                  <c:v>-16.517800000000001</c:v>
                </c:pt>
                <c:pt idx="21">
                  <c:v>-12.847200000000001</c:v>
                </c:pt>
                <c:pt idx="22">
                  <c:v>-9.1765699999999999</c:v>
                </c:pt>
                <c:pt idx="23">
                  <c:v>-5.5059399999999998</c:v>
                </c:pt>
                <c:pt idx="24">
                  <c:v>-1.83531</c:v>
                </c:pt>
                <c:pt idx="25">
                  <c:v>1.83531</c:v>
                </c:pt>
                <c:pt idx="26">
                  <c:v>5.5059399999999998</c:v>
                </c:pt>
                <c:pt idx="27">
                  <c:v>9.1765699999999999</c:v>
                </c:pt>
                <c:pt idx="28">
                  <c:v>12.847200000000001</c:v>
                </c:pt>
                <c:pt idx="29">
                  <c:v>16.517800000000001</c:v>
                </c:pt>
                <c:pt idx="30">
                  <c:v>20.188400000000001</c:v>
                </c:pt>
                <c:pt idx="31">
                  <c:v>23.859100000000002</c:v>
                </c:pt>
                <c:pt idx="32">
                  <c:v>27.529699999999998</c:v>
                </c:pt>
                <c:pt idx="33">
                  <c:v>31.200299999999999</c:v>
                </c:pt>
                <c:pt idx="34">
                  <c:v>34.871000000000002</c:v>
                </c:pt>
                <c:pt idx="35">
                  <c:v>38.541600000000003</c:v>
                </c:pt>
                <c:pt idx="36">
                  <c:v>42.212200000000003</c:v>
                </c:pt>
                <c:pt idx="37">
                  <c:v>45.882800000000003</c:v>
                </c:pt>
                <c:pt idx="38">
                  <c:v>49.5535</c:v>
                </c:pt>
                <c:pt idx="39">
                  <c:v>53.2241</c:v>
                </c:pt>
                <c:pt idx="40">
                  <c:v>56.8947</c:v>
                </c:pt>
                <c:pt idx="41">
                  <c:v>60.565300000000001</c:v>
                </c:pt>
                <c:pt idx="42">
                  <c:v>64.236000000000004</c:v>
                </c:pt>
                <c:pt idx="43">
                  <c:v>67.906599999999997</c:v>
                </c:pt>
                <c:pt idx="44">
                  <c:v>71.577200000000005</c:v>
                </c:pt>
                <c:pt idx="45">
                  <c:v>75.247799999999998</c:v>
                </c:pt>
                <c:pt idx="46">
                  <c:v>78.918499999999995</c:v>
                </c:pt>
                <c:pt idx="47">
                  <c:v>82.589100000000002</c:v>
                </c:pt>
                <c:pt idx="48">
                  <c:v>86.259699999999995</c:v>
                </c:pt>
                <c:pt idx="49">
                  <c:v>89.930400000000006</c:v>
                </c:pt>
              </c:numCache>
            </c:numRef>
          </c:xVal>
          <c:yVal>
            <c:numRef>
              <c:f>'atom swap'!$AM$8:$AM$57</c:f>
              <c:numCache>
                <c:formatCode>General</c:formatCode>
                <c:ptCount val="50"/>
                <c:pt idx="0">
                  <c:v>38</c:v>
                </c:pt>
                <c:pt idx="1">
                  <c:v>23</c:v>
                </c:pt>
                <c:pt idx="2">
                  <c:v>44</c:v>
                </c:pt>
                <c:pt idx="3">
                  <c:v>26</c:v>
                </c:pt>
                <c:pt idx="4">
                  <c:v>29</c:v>
                </c:pt>
                <c:pt idx="5">
                  <c:v>37</c:v>
                </c:pt>
                <c:pt idx="6">
                  <c:v>29</c:v>
                </c:pt>
                <c:pt idx="7">
                  <c:v>38</c:v>
                </c:pt>
                <c:pt idx="8">
                  <c:v>34</c:v>
                </c:pt>
                <c:pt idx="9">
                  <c:v>36</c:v>
                </c:pt>
                <c:pt idx="10">
                  <c:v>36</c:v>
                </c:pt>
                <c:pt idx="11">
                  <c:v>29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28</c:v>
                </c:pt>
                <c:pt idx="16">
                  <c:v>33</c:v>
                </c:pt>
                <c:pt idx="17">
                  <c:v>39</c:v>
                </c:pt>
                <c:pt idx="18">
                  <c:v>43</c:v>
                </c:pt>
                <c:pt idx="19">
                  <c:v>27</c:v>
                </c:pt>
                <c:pt idx="20">
                  <c:v>38</c:v>
                </c:pt>
                <c:pt idx="21">
                  <c:v>33</c:v>
                </c:pt>
                <c:pt idx="22">
                  <c:v>24</c:v>
                </c:pt>
                <c:pt idx="23">
                  <c:v>31</c:v>
                </c:pt>
                <c:pt idx="24">
                  <c:v>36</c:v>
                </c:pt>
                <c:pt idx="25">
                  <c:v>40</c:v>
                </c:pt>
                <c:pt idx="26">
                  <c:v>28</c:v>
                </c:pt>
                <c:pt idx="27">
                  <c:v>34</c:v>
                </c:pt>
                <c:pt idx="28">
                  <c:v>34</c:v>
                </c:pt>
                <c:pt idx="29">
                  <c:v>32</c:v>
                </c:pt>
                <c:pt idx="30">
                  <c:v>28</c:v>
                </c:pt>
                <c:pt idx="31">
                  <c:v>33</c:v>
                </c:pt>
                <c:pt idx="32">
                  <c:v>42</c:v>
                </c:pt>
                <c:pt idx="33">
                  <c:v>35</c:v>
                </c:pt>
                <c:pt idx="34">
                  <c:v>36</c:v>
                </c:pt>
                <c:pt idx="35">
                  <c:v>28</c:v>
                </c:pt>
                <c:pt idx="36">
                  <c:v>37</c:v>
                </c:pt>
                <c:pt idx="37">
                  <c:v>31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44</c:v>
                </c:pt>
                <c:pt idx="43">
                  <c:v>39</c:v>
                </c:pt>
                <c:pt idx="44">
                  <c:v>30</c:v>
                </c:pt>
                <c:pt idx="45">
                  <c:v>34</c:v>
                </c:pt>
                <c:pt idx="46">
                  <c:v>42</c:v>
                </c:pt>
                <c:pt idx="47">
                  <c:v>22</c:v>
                </c:pt>
                <c:pt idx="48">
                  <c:v>44</c:v>
                </c:pt>
                <c:pt idx="4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2-474D-87C6-8855196AC832}"/>
            </c:ext>
          </c:extLst>
        </c:ser>
        <c:ser>
          <c:idx val="1"/>
          <c:order val="1"/>
          <c:spPr>
            <a:ln>
              <a:prstDash val="dash"/>
            </a:ln>
          </c:spPr>
          <c:marker>
            <c:symbol val="none"/>
          </c:marker>
          <c:xVal>
            <c:numRef>
              <c:f>'atom swap'!$AN$8:$AN$57</c:f>
              <c:numCache>
                <c:formatCode>General</c:formatCode>
                <c:ptCount val="50"/>
                <c:pt idx="0">
                  <c:v>-89.563199999999995</c:v>
                </c:pt>
                <c:pt idx="1">
                  <c:v>-85.907600000000002</c:v>
                </c:pt>
                <c:pt idx="2">
                  <c:v>-82.251900000000006</c:v>
                </c:pt>
                <c:pt idx="3">
                  <c:v>-78.596299999999999</c:v>
                </c:pt>
                <c:pt idx="4">
                  <c:v>-74.940600000000003</c:v>
                </c:pt>
                <c:pt idx="5">
                  <c:v>-71.284999999999997</c:v>
                </c:pt>
                <c:pt idx="6">
                  <c:v>-67.629400000000004</c:v>
                </c:pt>
                <c:pt idx="7">
                  <c:v>-63.973700000000001</c:v>
                </c:pt>
                <c:pt idx="8">
                  <c:v>-60.318100000000001</c:v>
                </c:pt>
                <c:pt idx="9">
                  <c:v>-56.662399999999998</c:v>
                </c:pt>
                <c:pt idx="10">
                  <c:v>-53.006799999999998</c:v>
                </c:pt>
                <c:pt idx="11">
                  <c:v>-49.351199999999999</c:v>
                </c:pt>
                <c:pt idx="12">
                  <c:v>-45.695500000000003</c:v>
                </c:pt>
                <c:pt idx="13">
                  <c:v>-42.039900000000003</c:v>
                </c:pt>
                <c:pt idx="14">
                  <c:v>-38.3842</c:v>
                </c:pt>
                <c:pt idx="15">
                  <c:v>-34.7286</c:v>
                </c:pt>
                <c:pt idx="16">
                  <c:v>-31.073</c:v>
                </c:pt>
                <c:pt idx="17">
                  <c:v>-27.417300000000001</c:v>
                </c:pt>
                <c:pt idx="18">
                  <c:v>-23.761700000000001</c:v>
                </c:pt>
                <c:pt idx="19">
                  <c:v>-20.106000000000002</c:v>
                </c:pt>
                <c:pt idx="20">
                  <c:v>-16.450399999999998</c:v>
                </c:pt>
                <c:pt idx="21">
                  <c:v>-12.794700000000001</c:v>
                </c:pt>
                <c:pt idx="22">
                  <c:v>-9.1391100000000005</c:v>
                </c:pt>
                <c:pt idx="23">
                  <c:v>-5.4834699999999996</c:v>
                </c:pt>
                <c:pt idx="24">
                  <c:v>-1.82782</c:v>
                </c:pt>
                <c:pt idx="25">
                  <c:v>1.82782</c:v>
                </c:pt>
                <c:pt idx="26">
                  <c:v>5.48346</c:v>
                </c:pt>
                <c:pt idx="27">
                  <c:v>9.1390999999999991</c:v>
                </c:pt>
                <c:pt idx="28">
                  <c:v>12.794700000000001</c:v>
                </c:pt>
                <c:pt idx="29">
                  <c:v>16.450399999999998</c:v>
                </c:pt>
                <c:pt idx="30">
                  <c:v>20.106000000000002</c:v>
                </c:pt>
                <c:pt idx="31">
                  <c:v>23.761700000000001</c:v>
                </c:pt>
                <c:pt idx="32">
                  <c:v>27.417300000000001</c:v>
                </c:pt>
                <c:pt idx="33">
                  <c:v>31.072900000000001</c:v>
                </c:pt>
                <c:pt idx="34">
                  <c:v>34.7286</c:v>
                </c:pt>
                <c:pt idx="35">
                  <c:v>38.3842</c:v>
                </c:pt>
                <c:pt idx="36">
                  <c:v>42.039900000000003</c:v>
                </c:pt>
                <c:pt idx="37">
                  <c:v>45.695500000000003</c:v>
                </c:pt>
                <c:pt idx="38">
                  <c:v>49.351199999999999</c:v>
                </c:pt>
                <c:pt idx="39">
                  <c:v>53.006799999999998</c:v>
                </c:pt>
                <c:pt idx="40">
                  <c:v>56.662399999999998</c:v>
                </c:pt>
                <c:pt idx="41">
                  <c:v>60.318100000000001</c:v>
                </c:pt>
                <c:pt idx="42">
                  <c:v>63.973700000000001</c:v>
                </c:pt>
                <c:pt idx="43">
                  <c:v>67.629400000000004</c:v>
                </c:pt>
                <c:pt idx="44">
                  <c:v>71.284999999999997</c:v>
                </c:pt>
                <c:pt idx="45">
                  <c:v>74.940600000000003</c:v>
                </c:pt>
                <c:pt idx="46">
                  <c:v>78.596299999999999</c:v>
                </c:pt>
                <c:pt idx="47">
                  <c:v>82.251900000000006</c:v>
                </c:pt>
                <c:pt idx="48">
                  <c:v>85.907600000000002</c:v>
                </c:pt>
                <c:pt idx="49">
                  <c:v>89.563199999999995</c:v>
                </c:pt>
              </c:numCache>
            </c:numRef>
          </c:xVal>
          <c:yVal>
            <c:numRef>
              <c:f>'atom swap'!$AO$8:$AO$57</c:f>
              <c:numCache>
                <c:formatCode>General</c:formatCode>
                <c:ptCount val="50"/>
                <c:pt idx="0">
                  <c:v>15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39</c:v>
                </c:pt>
                <c:pt idx="5">
                  <c:v>30</c:v>
                </c:pt>
                <c:pt idx="6">
                  <c:v>40</c:v>
                </c:pt>
                <c:pt idx="7">
                  <c:v>32</c:v>
                </c:pt>
                <c:pt idx="8">
                  <c:v>43</c:v>
                </c:pt>
                <c:pt idx="9">
                  <c:v>36</c:v>
                </c:pt>
                <c:pt idx="10">
                  <c:v>41</c:v>
                </c:pt>
                <c:pt idx="11">
                  <c:v>35</c:v>
                </c:pt>
                <c:pt idx="12">
                  <c:v>44</c:v>
                </c:pt>
                <c:pt idx="13">
                  <c:v>33</c:v>
                </c:pt>
                <c:pt idx="14">
                  <c:v>34</c:v>
                </c:pt>
                <c:pt idx="15">
                  <c:v>31</c:v>
                </c:pt>
                <c:pt idx="16">
                  <c:v>34</c:v>
                </c:pt>
                <c:pt idx="17">
                  <c:v>29</c:v>
                </c:pt>
                <c:pt idx="18">
                  <c:v>47</c:v>
                </c:pt>
                <c:pt idx="19">
                  <c:v>33</c:v>
                </c:pt>
                <c:pt idx="20">
                  <c:v>39</c:v>
                </c:pt>
                <c:pt idx="21">
                  <c:v>30</c:v>
                </c:pt>
                <c:pt idx="22">
                  <c:v>38</c:v>
                </c:pt>
                <c:pt idx="23">
                  <c:v>29</c:v>
                </c:pt>
                <c:pt idx="24">
                  <c:v>12</c:v>
                </c:pt>
                <c:pt idx="25">
                  <c:v>15</c:v>
                </c:pt>
                <c:pt idx="26">
                  <c:v>36</c:v>
                </c:pt>
                <c:pt idx="27">
                  <c:v>29</c:v>
                </c:pt>
                <c:pt idx="28">
                  <c:v>45</c:v>
                </c:pt>
                <c:pt idx="29">
                  <c:v>32</c:v>
                </c:pt>
                <c:pt idx="30">
                  <c:v>31</c:v>
                </c:pt>
                <c:pt idx="31">
                  <c:v>45</c:v>
                </c:pt>
                <c:pt idx="32">
                  <c:v>44</c:v>
                </c:pt>
                <c:pt idx="33">
                  <c:v>43</c:v>
                </c:pt>
                <c:pt idx="34">
                  <c:v>39</c:v>
                </c:pt>
                <c:pt idx="35">
                  <c:v>37</c:v>
                </c:pt>
                <c:pt idx="36">
                  <c:v>36</c:v>
                </c:pt>
                <c:pt idx="37">
                  <c:v>41</c:v>
                </c:pt>
                <c:pt idx="38">
                  <c:v>38</c:v>
                </c:pt>
                <c:pt idx="39">
                  <c:v>37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33</c:v>
                </c:pt>
                <c:pt idx="44">
                  <c:v>30</c:v>
                </c:pt>
                <c:pt idx="45">
                  <c:v>45</c:v>
                </c:pt>
                <c:pt idx="46">
                  <c:v>37</c:v>
                </c:pt>
                <c:pt idx="47">
                  <c:v>41</c:v>
                </c:pt>
                <c:pt idx="48">
                  <c:v>20</c:v>
                </c:pt>
                <c:pt idx="49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2-474D-87C6-8855196A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65536"/>
        <c:axId val="410968928"/>
      </c:scatterChart>
      <c:valAx>
        <c:axId val="410965536"/>
        <c:scaling>
          <c:orientation val="minMax"/>
          <c:max val="90"/>
          <c:min val="-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968928"/>
        <c:crosses val="autoZero"/>
        <c:crossBetween val="midCat"/>
      </c:valAx>
      <c:valAx>
        <c:axId val="410968928"/>
        <c:scaling>
          <c:orientation val="minMax"/>
          <c:max val="50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Mo atoms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41096553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summary!$L$5</c:f>
              <c:strCache>
                <c:ptCount val="1"/>
                <c:pt idx="0">
                  <c:v>{120}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summary!$M$5:$R$5</c:f>
              <c:numCache>
                <c:formatCode>0.00</c:formatCode>
                <c:ptCount val="6"/>
                <c:pt idx="0">
                  <c:v>0.34005727712181116</c:v>
                </c:pt>
                <c:pt idx="1">
                  <c:v>0.42028864761672791</c:v>
                </c:pt>
                <c:pt idx="2">
                  <c:v>0.56538596982123235</c:v>
                </c:pt>
                <c:pt idx="3">
                  <c:v>0.62079812637782628</c:v>
                </c:pt>
                <c:pt idx="4">
                  <c:v>1.1283949581942085</c:v>
                </c:pt>
                <c:pt idx="5">
                  <c:v>1.6110840255766583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F-0C4B-B732-AF01786BBA21}"/>
            </c:ext>
          </c:extLst>
        </c:ser>
        <c:ser>
          <c:idx val="1"/>
          <c:order val="1"/>
          <c:tx>
            <c:strRef>
              <c:f>summary!$L$6</c:f>
              <c:strCache>
                <c:ptCount val="1"/>
                <c:pt idx="0">
                  <c:v>{130}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summary!$M$6:$R$6</c:f>
              <c:numCache>
                <c:formatCode>0.00</c:formatCode>
                <c:ptCount val="6"/>
                <c:pt idx="0">
                  <c:v>0.34954032574035304</c:v>
                </c:pt>
                <c:pt idx="1">
                  <c:v>0.40709714188681073</c:v>
                </c:pt>
                <c:pt idx="2">
                  <c:v>0.54988961835965766</c:v>
                </c:pt>
                <c:pt idx="3">
                  <c:v>0.63273491901755885</c:v>
                </c:pt>
                <c:pt idx="4">
                  <c:v>1.1161930657207983</c:v>
                </c:pt>
                <c:pt idx="5">
                  <c:v>1.5532530662965855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F-0C4B-B732-AF01786BBA21}"/>
            </c:ext>
          </c:extLst>
        </c:ser>
        <c:ser>
          <c:idx val="2"/>
          <c:order val="2"/>
          <c:tx>
            <c:strRef>
              <c:f>summary!$L$7</c:f>
              <c:strCache>
                <c:ptCount val="1"/>
                <c:pt idx="0">
                  <c:v>{150}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summary!$M$7:$R$7</c:f>
              <c:numCache>
                <c:formatCode>0.00</c:formatCode>
                <c:ptCount val="6"/>
                <c:pt idx="0">
                  <c:v>0.43292370677381642</c:v>
                </c:pt>
                <c:pt idx="1">
                  <c:v>0.44679845600478929</c:v>
                </c:pt>
                <c:pt idx="2">
                  <c:v>0.56851294882102754</c:v>
                </c:pt>
                <c:pt idx="3">
                  <c:v>0.65604958546118008</c:v>
                </c:pt>
                <c:pt idx="4">
                  <c:v>1.1860949911349437</c:v>
                </c:pt>
                <c:pt idx="5">
                  <c:v>1.6162468126163236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F-0C4B-B732-AF01786BBA21}"/>
            </c:ext>
          </c:extLst>
        </c:ser>
        <c:ser>
          <c:idx val="3"/>
          <c:order val="3"/>
          <c:tx>
            <c:strRef>
              <c:f>summary!$L$8</c:f>
              <c:strCache>
                <c:ptCount val="1"/>
                <c:pt idx="0">
                  <c:v>{190}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summary!$M$8:$R$8</c:f>
              <c:numCache>
                <c:formatCode>0.00</c:formatCode>
                <c:ptCount val="6"/>
                <c:pt idx="0">
                  <c:v>0.42997002822320596</c:v>
                </c:pt>
                <c:pt idx="1">
                  <c:v>0.41757721597053088</c:v>
                </c:pt>
                <c:pt idx="2">
                  <c:v>0.52623986580595583</c:v>
                </c:pt>
                <c:pt idx="3">
                  <c:v>0.54996741120052894</c:v>
                </c:pt>
                <c:pt idx="4">
                  <c:v>0.95204359825307083</c:v>
                </c:pt>
                <c:pt idx="5">
                  <c:v>1.5210681670184989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3F-0C4B-B732-AF01786BBA21}"/>
            </c:ext>
          </c:extLst>
        </c:ser>
        <c:ser>
          <c:idx val="4"/>
          <c:order val="4"/>
          <c:tx>
            <c:strRef>
              <c:f>summary!$L$9</c:f>
              <c:strCache>
                <c:ptCount val="1"/>
                <c:pt idx="0">
                  <c:v>{120/100}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summary!$M$9:$R$9</c:f>
              <c:numCache>
                <c:formatCode>0.00</c:formatCode>
                <c:ptCount val="6"/>
                <c:pt idx="0">
                  <c:v>0.47790012944782062</c:v>
                </c:pt>
                <c:pt idx="1">
                  <c:v>0.48821843838832873</c:v>
                </c:pt>
                <c:pt idx="2">
                  <c:v>0.58080565878804646</c:v>
                </c:pt>
                <c:pt idx="3">
                  <c:v>0.68171968573347841</c:v>
                </c:pt>
                <c:pt idx="4">
                  <c:v>1.2693907282962211</c:v>
                </c:pt>
                <c:pt idx="5">
                  <c:v>1.8696392477949075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3F-0C4B-B732-AF01786BB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40576"/>
        <c:axId val="538044608"/>
      </c:scatterChart>
      <c:valAx>
        <c:axId val="53804057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38044608"/>
        <c:crosses val="autoZero"/>
        <c:crossBetween val="midCat"/>
      </c:valAx>
      <c:valAx>
        <c:axId val="53804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380405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472222222222202"/>
          <c:y val="0.51117590769903798"/>
          <c:w val="0.226333333333333"/>
          <c:h val="0.272333770778653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summary!$L$42</c:f>
              <c:strCache>
                <c:ptCount val="1"/>
                <c:pt idx="0">
                  <c:v>{120}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summary!$M$42:$R$42</c:f>
              <c:numCache>
                <c:formatCode>0.00</c:formatCode>
                <c:ptCount val="6"/>
                <c:pt idx="0">
                  <c:v>1.1417847241190653</c:v>
                </c:pt>
                <c:pt idx="1">
                  <c:v>1.3126404277547192</c:v>
                </c:pt>
                <c:pt idx="2">
                  <c:v>1.4993004371111849</c:v>
                </c:pt>
                <c:pt idx="3">
                  <c:v>1.6866899936140847</c:v>
                </c:pt>
                <c:pt idx="4">
                  <c:v>2.9938584530204047</c:v>
                </c:pt>
                <c:pt idx="5">
                  <c:v>4.7582232490558258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2-9B42-9B38-413C645441BC}"/>
            </c:ext>
          </c:extLst>
        </c:ser>
        <c:ser>
          <c:idx val="1"/>
          <c:order val="1"/>
          <c:tx>
            <c:strRef>
              <c:f>summary!$L$43</c:f>
              <c:strCache>
                <c:ptCount val="1"/>
                <c:pt idx="0">
                  <c:v>{130}</c:v>
                </c:pt>
              </c:strCache>
            </c:strRef>
          </c:tx>
          <c:spPr>
            <a:ln w="25400">
              <a:prstDash val="sysDot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summary!$M$43:$R$43</c:f>
              <c:numCache>
                <c:formatCode>0.00</c:formatCode>
                <c:ptCount val="6"/>
                <c:pt idx="0">
                  <c:v>1.1807320121333085</c:v>
                </c:pt>
                <c:pt idx="1">
                  <c:v>1.327620068192124</c:v>
                </c:pt>
                <c:pt idx="2">
                  <c:v>1.5471450600185022</c:v>
                </c:pt>
                <c:pt idx="3">
                  <c:v>1.7163615759317543</c:v>
                </c:pt>
                <c:pt idx="4">
                  <c:v>3.0680518516991149</c:v>
                </c:pt>
                <c:pt idx="5">
                  <c:v>4.8118605830360286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2-9B42-9B38-413C645441BC}"/>
            </c:ext>
          </c:extLst>
        </c:ser>
        <c:ser>
          <c:idx val="2"/>
          <c:order val="2"/>
          <c:tx>
            <c:strRef>
              <c:f>summary!$L$44</c:f>
              <c:strCache>
                <c:ptCount val="1"/>
                <c:pt idx="0">
                  <c:v>{150}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summary!$M$44:$R$44</c:f>
              <c:numCache>
                <c:formatCode>0.00</c:formatCode>
                <c:ptCount val="6"/>
                <c:pt idx="0">
                  <c:v>1.1877466988904259</c:v>
                </c:pt>
                <c:pt idx="1">
                  <c:v>1.2829504885030727</c:v>
                </c:pt>
                <c:pt idx="2">
                  <c:v>1.5729436463655997</c:v>
                </c:pt>
                <c:pt idx="3">
                  <c:v>1.7557256753332595</c:v>
                </c:pt>
                <c:pt idx="4">
                  <c:v>3.1422807058350637</c:v>
                </c:pt>
                <c:pt idx="5">
                  <c:v>4.8390791770074149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2-9B42-9B38-413C645441BC}"/>
            </c:ext>
          </c:extLst>
        </c:ser>
        <c:ser>
          <c:idx val="3"/>
          <c:order val="3"/>
          <c:tx>
            <c:strRef>
              <c:f>summary!$L$45</c:f>
              <c:strCache>
                <c:ptCount val="1"/>
                <c:pt idx="0">
                  <c:v>{190}</c:v>
                </c:pt>
              </c:strCache>
            </c:strRef>
          </c:tx>
          <c:spPr>
            <a:ln w="25400">
              <a:prstDash val="dash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summary!$M$45:$R$45</c:f>
              <c:numCache>
                <c:formatCode>0.00</c:formatCode>
                <c:ptCount val="6"/>
                <c:pt idx="0">
                  <c:v>1.1699099610578692</c:v>
                </c:pt>
                <c:pt idx="1">
                  <c:v>1.3399180242565134</c:v>
                </c:pt>
                <c:pt idx="2">
                  <c:v>1.5240993960617104</c:v>
                </c:pt>
                <c:pt idx="3">
                  <c:v>1.7014723861582177</c:v>
                </c:pt>
                <c:pt idx="4">
                  <c:v>3.048623591829398</c:v>
                </c:pt>
                <c:pt idx="5">
                  <c:v>4.8566989292160461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2-9B42-9B38-413C645441BC}"/>
            </c:ext>
          </c:extLst>
        </c:ser>
        <c:ser>
          <c:idx val="4"/>
          <c:order val="4"/>
          <c:tx>
            <c:strRef>
              <c:f>summary!$L$46</c:f>
              <c:strCache>
                <c:ptCount val="1"/>
                <c:pt idx="0">
                  <c:v>{100}</c:v>
                </c:pt>
              </c:strCache>
            </c:strRef>
          </c:tx>
          <c:spPr>
            <a:ln w="25400">
              <a:prstDash val="dashDot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summary!$M$46:$R$46</c:f>
              <c:numCache>
                <c:formatCode>0.00</c:formatCode>
                <c:ptCount val="6"/>
                <c:pt idx="0">
                  <c:v>1.1490538956680909</c:v>
                </c:pt>
                <c:pt idx="1">
                  <c:v>1.3119524471317674</c:v>
                </c:pt>
                <c:pt idx="2">
                  <c:v>1.4824809264786118</c:v>
                </c:pt>
                <c:pt idx="3">
                  <c:v>1.6349650568656682</c:v>
                </c:pt>
                <c:pt idx="4">
                  <c:v>2.9634284532986883</c:v>
                </c:pt>
                <c:pt idx="5">
                  <c:v>4.8396626624633896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22-9B42-9B38-413C645441BC}"/>
            </c:ext>
          </c:extLst>
        </c:ser>
        <c:ser>
          <c:idx val="5"/>
          <c:order val="5"/>
          <c:tx>
            <c:strRef>
              <c:f>summary!$L$47</c:f>
              <c:strCache>
                <c:ptCount val="1"/>
                <c:pt idx="0">
                  <c:v>{110}</c:v>
                </c:pt>
              </c:strCache>
            </c:strRef>
          </c:tx>
          <c:spPr>
            <a:ln w="25400">
              <a:prstDash val="lgDash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summary!$M$47:$R$47</c:f>
              <c:numCache>
                <c:formatCode>0.00</c:formatCode>
                <c:ptCount val="6"/>
                <c:pt idx="0">
                  <c:v>1.0323195233449924</c:v>
                </c:pt>
                <c:pt idx="1">
                  <c:v>1.1347329507934907</c:v>
                </c:pt>
                <c:pt idx="2">
                  <c:v>1.3262243291014431</c:v>
                </c:pt>
                <c:pt idx="3">
                  <c:v>1.4810177147704797</c:v>
                </c:pt>
                <c:pt idx="4">
                  <c:v>2.7545392989524857</c:v>
                </c:pt>
                <c:pt idx="5">
                  <c:v>4.5880188560511765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22-9B42-9B38-413C645441BC}"/>
            </c:ext>
          </c:extLst>
        </c:ser>
        <c:ser>
          <c:idx val="6"/>
          <c:order val="6"/>
          <c:tx>
            <c:strRef>
              <c:f>summary!$L$48</c:f>
              <c:strCache>
                <c:ptCount val="1"/>
                <c:pt idx="0">
                  <c:v>{111}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summary!$M$48:$R$48</c:f>
              <c:numCache>
                <c:formatCode>0.00</c:formatCode>
                <c:ptCount val="6"/>
                <c:pt idx="0">
                  <c:v>1.2081286544086183</c:v>
                </c:pt>
                <c:pt idx="1">
                  <c:v>1.3813900742822482</c:v>
                </c:pt>
                <c:pt idx="2">
                  <c:v>1.5983876027380637</c:v>
                </c:pt>
                <c:pt idx="3">
                  <c:v>1.8048101730822874</c:v>
                </c:pt>
                <c:pt idx="4">
                  <c:v>3.1165321393818495</c:v>
                </c:pt>
                <c:pt idx="5">
                  <c:v>4.9622075622336181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22-9B42-9B38-413C6454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7808"/>
        <c:axId val="538091840"/>
      </c:scatterChart>
      <c:valAx>
        <c:axId val="5380878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38091840"/>
        <c:crosses val="autoZero"/>
        <c:crossBetween val="midCat"/>
      </c:valAx>
      <c:valAx>
        <c:axId val="53809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Surface Energy (</a:t>
                </a:r>
                <a:r>
                  <a:rPr lang="mr-IN"/>
                  <a:t>(J/m</a:t>
                </a:r>
                <a:r>
                  <a:rPr lang="mr-IN" baseline="30000">
                    <a:latin typeface="+mj-lt"/>
                  </a:rPr>
                  <a:t>2</a:t>
                </a:r>
                <a:r>
                  <a:rPr lang="mr-IN"/>
                  <a:t>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380878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472222222222199"/>
          <c:y val="6.1690999562554701E-2"/>
          <c:w val="0.18583333333333299"/>
          <c:h val="0.43604303368329"/>
        </c:manualLayout>
      </c:layout>
      <c:overlay val="1"/>
    </c:legend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U10Mo</c:v>
          </c:tx>
          <c:cat>
            <c:strRef>
              <c:f>'ADP600'!$AK$45:$AK$51</c:f>
              <c:strCache>
                <c:ptCount val="7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100</c:v>
                </c:pt>
                <c:pt idx="5">
                  <c:v>110</c:v>
                </c:pt>
                <c:pt idx="6">
                  <c:v>111</c:v>
                </c:pt>
              </c:strCache>
            </c:strRef>
          </c:cat>
          <c:val>
            <c:numRef>
              <c:f>'ADP600'!$AL$45:$AL$51</c:f>
              <c:numCache>
                <c:formatCode>General</c:formatCode>
                <c:ptCount val="7"/>
                <c:pt idx="0">
                  <c:v>1.4993004371111849</c:v>
                </c:pt>
                <c:pt idx="1">
                  <c:v>1.5471450600185022</c:v>
                </c:pt>
                <c:pt idx="2">
                  <c:v>1.5729436463655997</c:v>
                </c:pt>
                <c:pt idx="3">
                  <c:v>1.5240993960617104</c:v>
                </c:pt>
                <c:pt idx="4">
                  <c:v>1.4824809264786118</c:v>
                </c:pt>
                <c:pt idx="5">
                  <c:v>1.3262243291014431</c:v>
                </c:pt>
                <c:pt idx="6">
                  <c:v>1.5983876027380637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4347-AD3D-3637D3A18332}"/>
            </c:ext>
          </c:extLst>
        </c:ser>
        <c:ser>
          <c:idx val="1"/>
          <c:order val="1"/>
          <c:tx>
            <c:v>bccU</c:v>
          </c:tx>
          <c:cat>
            <c:strRef>
              <c:f>'ADP600'!$AK$45:$AK$51</c:f>
              <c:strCache>
                <c:ptCount val="7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100</c:v>
                </c:pt>
                <c:pt idx="5">
                  <c:v>110</c:v>
                </c:pt>
                <c:pt idx="6">
                  <c:v>111</c:v>
                </c:pt>
              </c:strCache>
            </c:strRef>
          </c:cat>
          <c:val>
            <c:numRef>
              <c:f>'ADP600'!$AM$45:$AM$51</c:f>
              <c:numCache>
                <c:formatCode>General</c:formatCode>
                <c:ptCount val="7"/>
                <c:pt idx="0">
                  <c:v>1.1417847241190653</c:v>
                </c:pt>
                <c:pt idx="1">
                  <c:v>1.1807320121333085</c:v>
                </c:pt>
                <c:pt idx="2">
                  <c:v>1.1877466988904259</c:v>
                </c:pt>
                <c:pt idx="4">
                  <c:v>1.1490538956680909</c:v>
                </c:pt>
                <c:pt idx="5">
                  <c:v>1.0323195233449924</c:v>
                </c:pt>
                <c:pt idx="6">
                  <c:v>1.2081286544086183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2-4347-AD3D-3637D3A18332}"/>
            </c:ext>
          </c:extLst>
        </c:ser>
        <c:ser>
          <c:idx val="2"/>
          <c:order val="2"/>
          <c:tx>
            <c:v>bccMo</c:v>
          </c:tx>
          <c:cat>
            <c:strRef>
              <c:f>'ADP600'!$AK$45:$AK$51</c:f>
              <c:strCache>
                <c:ptCount val="7"/>
                <c:pt idx="0">
                  <c:v>sigma210</c:v>
                </c:pt>
                <c:pt idx="1">
                  <c:v>sigma310</c:v>
                </c:pt>
                <c:pt idx="2">
                  <c:v>sigma510</c:v>
                </c:pt>
                <c:pt idx="3">
                  <c:v>sigma910</c:v>
                </c:pt>
                <c:pt idx="4">
                  <c:v>100</c:v>
                </c:pt>
                <c:pt idx="5">
                  <c:v>110</c:v>
                </c:pt>
                <c:pt idx="6">
                  <c:v>111</c:v>
                </c:pt>
              </c:strCache>
            </c:strRef>
          </c:cat>
          <c:val>
            <c:numRef>
              <c:f>'ADP600'!$AN$45:$AN$51</c:f>
              <c:numCache>
                <c:formatCode>General</c:formatCode>
                <c:ptCount val="7"/>
                <c:pt idx="0">
                  <c:v>4.7582232490558258</c:v>
                </c:pt>
                <c:pt idx="1">
                  <c:v>4.8118605830360286</c:v>
                </c:pt>
                <c:pt idx="2">
                  <c:v>4.8390791770074149</c:v>
                </c:pt>
                <c:pt idx="4">
                  <c:v>4.8396626624633896</c:v>
                </c:pt>
                <c:pt idx="5">
                  <c:v>4.5880188560511765</c:v>
                </c:pt>
                <c:pt idx="6">
                  <c:v>4.9622075622336181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2-4347-AD3D-3637D3A1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21360"/>
        <c:axId val="484824112"/>
      </c:lineChart>
      <c:catAx>
        <c:axId val="4848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24112"/>
        <c:crosses val="autoZero"/>
        <c:auto val="1"/>
        <c:lblAlgn val="ctr"/>
        <c:lblOffset val="100"/>
        <c:noMultiLvlLbl val="0"/>
      </c:catAx>
      <c:valAx>
        <c:axId val="484824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482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This Work</c:v>
          </c:tx>
          <c:spPr>
            <a:effectLst/>
          </c:spPr>
          <c:marker>
            <c:spPr>
              <a:effectLst/>
            </c:spPr>
          </c:marker>
          <c:xVal>
            <c:numRef>
              <c:f>summary!$U$23:$U$41</c:f>
              <c:numCache>
                <c:formatCode>0.00</c:formatCode>
                <c:ptCount val="19"/>
                <c:pt idx="0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summary!$T$23:$T$41</c:f>
              <c:numCache>
                <c:formatCode>0.00</c:formatCode>
                <c:ptCount val="19"/>
                <c:pt idx="0">
                  <c:v>0</c:v>
                </c:pt>
                <c:pt idx="1">
                  <c:v>1.52</c:v>
                </c:pt>
                <c:pt idx="2">
                  <c:v>1.5856781284448818</c:v>
                </c:pt>
                <c:pt idx="3">
                  <c:v>1.62</c:v>
                </c:pt>
                <c:pt idx="4">
                  <c:v>1.821191288416339</c:v>
                </c:pt>
                <c:pt idx="5">
                  <c:v>1.55</c:v>
                </c:pt>
                <c:pt idx="6">
                  <c:v>1.8534916324637218</c:v>
                </c:pt>
                <c:pt idx="7">
                  <c:v>1.61</c:v>
                </c:pt>
                <c:pt idx="8">
                  <c:v>1.9488070381671576</c:v>
                </c:pt>
                <c:pt idx="9">
                  <c:v>1.7709530555514637</c:v>
                </c:pt>
                <c:pt idx="10">
                  <c:v>1.7395736649469691</c:v>
                </c:pt>
                <c:pt idx="1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7-564C-B4DD-BF77A2C1C1A1}"/>
            </c:ext>
          </c:extLst>
        </c:ser>
        <c:ser>
          <c:idx val="1"/>
          <c:order val="1"/>
          <c:tx>
            <c:v>Morita</c:v>
          </c:tx>
          <c:spPr>
            <a:effectLst/>
          </c:spPr>
          <c:marker>
            <c:spPr>
              <a:effectLst/>
            </c:spPr>
          </c:marker>
          <c:xVal>
            <c:numRef>
              <c:f>summary!$V$22:$V$42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7.5391553463772398</c:v>
                </c:pt>
                <c:pt idx="2">
                  <c:v>12.68</c:v>
                </c:pt>
                <c:pt idx="3">
                  <c:v>16.260000000000002</c:v>
                </c:pt>
                <c:pt idx="4">
                  <c:v>18.196099419162898</c:v>
                </c:pt>
                <c:pt idx="5">
                  <c:v>22.62</c:v>
                </c:pt>
                <c:pt idx="6">
                  <c:v>27.6760219742164</c:v>
                </c:pt>
                <c:pt idx="7">
                  <c:v>31.371184813234802</c:v>
                </c:pt>
                <c:pt idx="8">
                  <c:v>36.869999999999997</c:v>
                </c:pt>
                <c:pt idx="9">
                  <c:v>39.712257394260803</c:v>
                </c:pt>
                <c:pt idx="10">
                  <c:v>43.526657117222001</c:v>
                </c:pt>
                <c:pt idx="11">
                  <c:v>46.145146311133402</c:v>
                </c:pt>
                <c:pt idx="12">
                  <c:v>50.489618914196598</c:v>
                </c:pt>
                <c:pt idx="13">
                  <c:v>53.13</c:v>
                </c:pt>
                <c:pt idx="14">
                  <c:v>57.7638558768436</c:v>
                </c:pt>
                <c:pt idx="15">
                  <c:v>61.714807410788701</c:v>
                </c:pt>
                <c:pt idx="16">
                  <c:v>67.724661178359398</c:v>
                </c:pt>
                <c:pt idx="17">
                  <c:v>70.340395724787101</c:v>
                </c:pt>
                <c:pt idx="18">
                  <c:v>73.933636606903903</c:v>
                </c:pt>
                <c:pt idx="19">
                  <c:v>77.740559429551794</c:v>
                </c:pt>
                <c:pt idx="20" formatCode="General">
                  <c:v>90</c:v>
                </c:pt>
              </c:numCache>
            </c:numRef>
          </c:xVal>
          <c:yVal>
            <c:numRef>
              <c:f>summary!$W$22:$W$42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1.5695312377024599</c:v>
                </c:pt>
                <c:pt idx="2">
                  <c:v>1.8719875962159001</c:v>
                </c:pt>
                <c:pt idx="3">
                  <c:v>1.93449054762391</c:v>
                </c:pt>
                <c:pt idx="4">
                  <c:v>1.8884367769050301</c:v>
                </c:pt>
                <c:pt idx="5">
                  <c:v>1.8719757905838199</c:v>
                </c:pt>
                <c:pt idx="6">
                  <c:v>1.9526121928568001</c:v>
                </c:pt>
                <c:pt idx="7">
                  <c:v>1.99755229895008</c:v>
                </c:pt>
                <c:pt idx="8">
                  <c:v>1.6131373073714299</c:v>
                </c:pt>
                <c:pt idx="9">
                  <c:v>2.0233830219269899</c:v>
                </c:pt>
                <c:pt idx="10">
                  <c:v>2.1823930803255198</c:v>
                </c:pt>
                <c:pt idx="11">
                  <c:v>2.2270183695635</c:v>
                </c:pt>
                <c:pt idx="12">
                  <c:v>1.9475869288041601</c:v>
                </c:pt>
                <c:pt idx="13">
                  <c:v>1.67635646712524</c:v>
                </c:pt>
                <c:pt idx="14">
                  <c:v>1.9000062963371001</c:v>
                </c:pt>
                <c:pt idx="15">
                  <c:v>2.0444363991248</c:v>
                </c:pt>
                <c:pt idx="16">
                  <c:v>1.8912229060743899</c:v>
                </c:pt>
                <c:pt idx="17">
                  <c:v>1.9563152261172001</c:v>
                </c:pt>
                <c:pt idx="18">
                  <c:v>1.7585354719891699</c:v>
                </c:pt>
                <c:pt idx="19">
                  <c:v>1.47309889971509</c:v>
                </c:pt>
                <c:pt idx="2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7-564C-B4DD-BF77A2C1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17360"/>
        <c:axId val="538121120"/>
      </c:scatterChart>
      <c:valAx>
        <c:axId val="538117360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Misorientation angle (deg)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38121120"/>
        <c:crosses val="autoZero"/>
        <c:crossBetween val="midCat"/>
        <c:majorUnit val="10"/>
      </c:valAx>
      <c:valAx>
        <c:axId val="53812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381173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4669991251093601"/>
          <c:y val="0.71973452537182803"/>
          <c:w val="0.43719991251093598"/>
          <c:h val="7.5404363517060397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</c:v>
          </c:tx>
          <c:marker>
            <c:spPr>
              <a:effectLst/>
            </c:spPr>
          </c:marker>
          <c:xVal>
            <c:numRef>
              <c:f>summary!$AC$41:$AC$52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summary!$AD$41:$AD$52</c:f>
              <c:numCache>
                <c:formatCode>0.00</c:formatCode>
                <c:ptCount val="12"/>
                <c:pt idx="0">
                  <c:v>0</c:v>
                </c:pt>
                <c:pt idx="1">
                  <c:v>1.52</c:v>
                </c:pt>
                <c:pt idx="2">
                  <c:v>1.5856781284448818</c:v>
                </c:pt>
                <c:pt idx="3">
                  <c:v>1.62</c:v>
                </c:pt>
                <c:pt idx="4">
                  <c:v>1.821191288416339</c:v>
                </c:pt>
                <c:pt idx="5">
                  <c:v>1.55</c:v>
                </c:pt>
                <c:pt idx="6">
                  <c:v>1.8534916324637218</c:v>
                </c:pt>
                <c:pt idx="7">
                  <c:v>1.61</c:v>
                </c:pt>
                <c:pt idx="8">
                  <c:v>1.9488070381671576</c:v>
                </c:pt>
                <c:pt idx="9">
                  <c:v>1.7709530555514637</c:v>
                </c:pt>
                <c:pt idx="10">
                  <c:v>1.7395736649469691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4-3645-AD23-F64B24F7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47488"/>
        <c:axId val="538151248"/>
      </c:scatterChart>
      <c:scatterChart>
        <c:scatterStyle val="smoothMarker"/>
        <c:varyColors val="0"/>
        <c:ser>
          <c:idx val="1"/>
          <c:order val="1"/>
          <c:tx>
            <c:v>U</c:v>
          </c:tx>
          <c:marker>
            <c:spPr>
              <a:effectLst/>
            </c:spPr>
          </c:marker>
          <c:xVal>
            <c:numRef>
              <c:f>summary!$AC$41:$AC$52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summary!$AA$41:$AA$52</c:f>
              <c:numCache>
                <c:formatCode>0.00</c:formatCode>
                <c:ptCount val="12"/>
                <c:pt idx="0">
                  <c:v>0</c:v>
                </c:pt>
                <c:pt idx="1">
                  <c:v>0.42997002822320596</c:v>
                </c:pt>
                <c:pt idx="2">
                  <c:v>0.42948468297198428</c:v>
                </c:pt>
                <c:pt idx="3">
                  <c:v>0.43292370677381642</c:v>
                </c:pt>
                <c:pt idx="4">
                  <c:v>0.45801015663760947</c:v>
                </c:pt>
                <c:pt idx="5">
                  <c:v>0.34954032574035304</c:v>
                </c:pt>
                <c:pt idx="6">
                  <c:v>0.37273424505906971</c:v>
                </c:pt>
                <c:pt idx="7">
                  <c:v>0.34005727712181116</c:v>
                </c:pt>
                <c:pt idx="8">
                  <c:v>0.55726137889538596</c:v>
                </c:pt>
                <c:pt idx="9">
                  <c:v>0.45693548394487671</c:v>
                </c:pt>
                <c:pt idx="10">
                  <c:v>0.46834195329599648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4-3645-AD23-F64B24F7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59280"/>
        <c:axId val="538155520"/>
      </c:scatterChart>
      <c:valAx>
        <c:axId val="53814748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Misorientation angle (deg)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38151248"/>
        <c:crosses val="autoZero"/>
        <c:crossBetween val="midCat"/>
        <c:majorUnit val="10"/>
      </c:valAx>
      <c:valAx>
        <c:axId val="53815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38147488"/>
        <c:crosses val="autoZero"/>
        <c:crossBetween val="midCat"/>
      </c:valAx>
      <c:valAx>
        <c:axId val="538155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 Grain Boundary Energy </a:t>
                </a:r>
                <a:r>
                  <a:rPr lang="mr-IN" sz="1200" b="1" i="0" u="none" strike="noStrike" baseline="0">
                    <a:effectLst/>
                  </a:rPr>
                  <a:t>(J/m</a:t>
                </a:r>
                <a:r>
                  <a:rPr lang="mr-IN" sz="1200" b="1" i="0" u="none" strike="noStrike" baseline="30000">
                    <a:effectLst/>
                  </a:rPr>
                  <a:t>2</a:t>
                </a:r>
                <a:r>
                  <a:rPr lang="mr-IN" sz="1200" b="1" i="0" u="none" strike="noStrike" baseline="0"/>
                  <a:t> </a:t>
                </a:r>
                <a:r>
                  <a:rPr lang="en-US" sz="1200" b="1" i="0" u="none" strike="noStrike" baseline="0"/>
                  <a:t>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8159280"/>
        <c:crosses val="max"/>
        <c:crossBetween val="midCat"/>
      </c:valAx>
      <c:valAx>
        <c:axId val="53815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1555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9999715660542401"/>
          <c:y val="0.70584563648293996"/>
          <c:w val="0.24445013123359599"/>
          <c:h val="7.5404363517060397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U</c:v>
          </c:tx>
          <c:marker>
            <c:spPr>
              <a:effectLst/>
            </c:spPr>
          </c:marker>
          <c:xVal>
            <c:numRef>
              <c:f>summary!$AC$41:$AC$52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summary!$AA$41:$AA$52</c:f>
              <c:numCache>
                <c:formatCode>0.00</c:formatCode>
                <c:ptCount val="12"/>
                <c:pt idx="0">
                  <c:v>0</c:v>
                </c:pt>
                <c:pt idx="1">
                  <c:v>0.42997002822320596</c:v>
                </c:pt>
                <c:pt idx="2">
                  <c:v>0.42948468297198428</c:v>
                </c:pt>
                <c:pt idx="3">
                  <c:v>0.43292370677381642</c:v>
                </c:pt>
                <c:pt idx="4">
                  <c:v>0.45801015663760947</c:v>
                </c:pt>
                <c:pt idx="5">
                  <c:v>0.34954032574035304</c:v>
                </c:pt>
                <c:pt idx="6">
                  <c:v>0.37273424505906971</c:v>
                </c:pt>
                <c:pt idx="7">
                  <c:v>0.34005727712181116</c:v>
                </c:pt>
                <c:pt idx="8">
                  <c:v>0.55726137889538596</c:v>
                </c:pt>
                <c:pt idx="9">
                  <c:v>0.45693548394487671</c:v>
                </c:pt>
                <c:pt idx="10">
                  <c:v>0.46834195329599648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2-1945-A007-BC21BE0F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76928"/>
        <c:axId val="538180688"/>
      </c:scatterChart>
      <c:valAx>
        <c:axId val="53817692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Misorientation angle (deg)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38180688"/>
        <c:crosses val="autoZero"/>
        <c:crossBetween val="midCat"/>
        <c:majorUnit val="10"/>
      </c:valAx>
      <c:valAx>
        <c:axId val="53818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381769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summary!$E$47</c:f>
              <c:strCache>
                <c:ptCount val="1"/>
                <c:pt idx="0">
                  <c:v>{120}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summary!$F$46:$I$46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summary!$F$47:$I$47</c:f>
              <c:numCache>
                <c:formatCode>0.00</c:formatCode>
                <c:ptCount val="4"/>
                <c:pt idx="0">
                  <c:v>1.6110840255766583</c:v>
                </c:pt>
                <c:pt idx="1">
                  <c:v>1.6166045715023087</c:v>
                </c:pt>
                <c:pt idx="2">
                  <c:v>1.6378354198643019</c:v>
                </c:pt>
                <c:pt idx="3">
                  <c:v>1.6422828812404018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C-B143-B791-9046F250A3B7}"/>
            </c:ext>
          </c:extLst>
        </c:ser>
        <c:ser>
          <c:idx val="1"/>
          <c:order val="1"/>
          <c:tx>
            <c:strRef>
              <c:f>summary!$E$48</c:f>
              <c:strCache>
                <c:ptCount val="1"/>
                <c:pt idx="0">
                  <c:v>{130}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summary!$F$46:$I$46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summary!$F$48:$I$48</c:f>
              <c:numCache>
                <c:formatCode>0.00</c:formatCode>
                <c:ptCount val="4"/>
                <c:pt idx="0">
                  <c:v>1.5532530662965855</c:v>
                </c:pt>
                <c:pt idx="1">
                  <c:v>1.551869770910125</c:v>
                </c:pt>
                <c:pt idx="2">
                  <c:v>1.5676658377525972</c:v>
                </c:pt>
                <c:pt idx="3">
                  <c:v>1.5770724526863764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C-B143-B791-9046F250A3B7}"/>
            </c:ext>
          </c:extLst>
        </c:ser>
        <c:ser>
          <c:idx val="2"/>
          <c:order val="2"/>
          <c:tx>
            <c:strRef>
              <c:f>summary!$E$49</c:f>
              <c:strCache>
                <c:ptCount val="1"/>
                <c:pt idx="0">
                  <c:v>{150}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summary!$F$46:$I$46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summary!$F$49:$I$49</c:f>
              <c:numCache>
                <c:formatCode>0.00</c:formatCode>
                <c:ptCount val="4"/>
                <c:pt idx="0">
                  <c:v>1.6162468126163236</c:v>
                </c:pt>
                <c:pt idx="1">
                  <c:v>1.6229690429764296</c:v>
                </c:pt>
                <c:pt idx="2">
                  <c:v>1.633167301293085</c:v>
                </c:pt>
                <c:pt idx="3">
                  <c:v>1.6414871981148256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C-B143-B791-9046F250A3B7}"/>
            </c:ext>
          </c:extLst>
        </c:ser>
        <c:ser>
          <c:idx val="3"/>
          <c:order val="3"/>
          <c:tx>
            <c:strRef>
              <c:f>summary!$E$50</c:f>
              <c:strCache>
                <c:ptCount val="1"/>
                <c:pt idx="0">
                  <c:v>{190}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summary!$F$46:$I$46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summary!$F$50:$I$50</c:f>
              <c:numCache>
                <c:formatCode>0.00</c:formatCode>
                <c:ptCount val="4"/>
                <c:pt idx="0">
                  <c:v>1.5210681670184989</c:v>
                </c:pt>
                <c:pt idx="1">
                  <c:v>1.5124010476954708</c:v>
                </c:pt>
                <c:pt idx="2">
                  <c:v>1.5383473012901794</c:v>
                </c:pt>
                <c:pt idx="3">
                  <c:v>1.5666256018006701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C-B143-B791-9046F250A3B7}"/>
            </c:ext>
          </c:extLst>
        </c:ser>
        <c:ser>
          <c:idx val="4"/>
          <c:order val="4"/>
          <c:tx>
            <c:strRef>
              <c:f>summary!$E$51</c:f>
              <c:strCache>
                <c:ptCount val="1"/>
                <c:pt idx="0">
                  <c:v>{120/100}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summary!$F$46:$I$46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summary!$F$51:$I$51</c:f>
              <c:numCache>
                <c:formatCode>0.00</c:formatCode>
                <c:ptCount val="4"/>
                <c:pt idx="0">
                  <c:v>1.8696392477949075</c:v>
                </c:pt>
                <c:pt idx="1">
                  <c:v>1.8613920264118371</c:v>
                </c:pt>
                <c:pt idx="2">
                  <c:v>1.8905298735355653</c:v>
                </c:pt>
                <c:pt idx="3">
                  <c:v>1.9024893445687696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C-B143-B791-9046F25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14560"/>
        <c:axId val="538218592"/>
      </c:scatterChart>
      <c:valAx>
        <c:axId val="538214560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38218592"/>
        <c:crosses val="autoZero"/>
        <c:crossBetween val="midCat"/>
      </c:valAx>
      <c:valAx>
        <c:axId val="538218592"/>
        <c:scaling>
          <c:orientation val="minMax"/>
          <c:max val="2.1"/>
          <c:min val="1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38214560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5300465896053498"/>
          <c:y val="6.7426040494938097E-2"/>
          <c:w val="0.57315288713910795"/>
          <c:h val="0.16868848425196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summary!$E$5</c:f>
              <c:strCache>
                <c:ptCount val="1"/>
                <c:pt idx="0">
                  <c:v>{120}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summary!$F$10:$I$10</c:f>
                <c:numCache>
                  <c:formatCode>General</c:formatCode>
                  <c:ptCount val="4"/>
                  <c:pt idx="0">
                    <c:v>2.0090192680101544E-2</c:v>
                  </c:pt>
                  <c:pt idx="1">
                    <c:v>9.7629594979178197E-3</c:v>
                  </c:pt>
                  <c:pt idx="2">
                    <c:v>3.78094066404107E-2</c:v>
                  </c:pt>
                  <c:pt idx="3">
                    <c:v>3.4639588700074393E-2</c:v>
                  </c:pt>
                </c:numCache>
              </c:numRef>
            </c:plus>
            <c:minus>
              <c:numRef>
                <c:f>summary!$F$10:$I$10</c:f>
                <c:numCache>
                  <c:formatCode>General</c:formatCode>
                  <c:ptCount val="4"/>
                  <c:pt idx="0">
                    <c:v>2.0090192680101544E-2</c:v>
                  </c:pt>
                  <c:pt idx="1">
                    <c:v>9.7629594979178197E-3</c:v>
                  </c:pt>
                  <c:pt idx="2">
                    <c:v>3.78094066404107E-2</c:v>
                  </c:pt>
                  <c:pt idx="3">
                    <c:v>3.4639588700074393E-2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summary!$F$4:$I$4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summary!$F$5:$I$5</c:f>
              <c:numCache>
                <c:formatCode>0.00</c:formatCode>
                <c:ptCount val="4"/>
                <c:pt idx="0">
                  <c:v>0.42028864761672791</c:v>
                </c:pt>
                <c:pt idx="1">
                  <c:v>0.49852866337781815</c:v>
                </c:pt>
                <c:pt idx="2">
                  <c:v>0.57445493857159113</c:v>
                </c:pt>
                <c:pt idx="3">
                  <c:v>0.69308110900649167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2-0A49-B42B-0AD56EF23042}"/>
            </c:ext>
          </c:extLst>
        </c:ser>
        <c:ser>
          <c:idx val="1"/>
          <c:order val="1"/>
          <c:tx>
            <c:strRef>
              <c:f>summary!$E$6</c:f>
              <c:strCache>
                <c:ptCount val="1"/>
                <c:pt idx="0">
                  <c:v>{130}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summary!$F$11:$I$11</c:f>
                <c:numCache>
                  <c:formatCode>General</c:formatCode>
                  <c:ptCount val="4"/>
                  <c:pt idx="0">
                    <c:v>5.2607803041447951E-2</c:v>
                  </c:pt>
                  <c:pt idx="1">
                    <c:v>2.8105185913893806E-2</c:v>
                  </c:pt>
                  <c:pt idx="2">
                    <c:v>3.2620386867400222E-2</c:v>
                  </c:pt>
                  <c:pt idx="3">
                    <c:v>5.448121536242178E-2</c:v>
                  </c:pt>
                </c:numCache>
              </c:numRef>
            </c:plus>
            <c:minus>
              <c:numRef>
                <c:f>summary!$F$11:$I$11</c:f>
                <c:numCache>
                  <c:formatCode>General</c:formatCode>
                  <c:ptCount val="4"/>
                  <c:pt idx="0">
                    <c:v>5.2607803041447951E-2</c:v>
                  </c:pt>
                  <c:pt idx="1">
                    <c:v>2.8105185913893806E-2</c:v>
                  </c:pt>
                  <c:pt idx="2">
                    <c:v>3.2620386867400222E-2</c:v>
                  </c:pt>
                  <c:pt idx="3">
                    <c:v>5.448121536242178E-2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summary!$F$4:$I$4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summary!$F$6:$I$6</c:f>
              <c:numCache>
                <c:formatCode>0.00</c:formatCode>
                <c:ptCount val="4"/>
                <c:pt idx="0">
                  <c:v>0.40709714188681073</c:v>
                </c:pt>
                <c:pt idx="1">
                  <c:v>0.48026505917896667</c:v>
                </c:pt>
                <c:pt idx="2">
                  <c:v>0.53620589916500738</c:v>
                </c:pt>
                <c:pt idx="3">
                  <c:v>0.63282250818263464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2-0A49-B42B-0AD56EF23042}"/>
            </c:ext>
          </c:extLst>
        </c:ser>
        <c:ser>
          <c:idx val="2"/>
          <c:order val="2"/>
          <c:tx>
            <c:strRef>
              <c:f>summary!$E$7</c:f>
              <c:strCache>
                <c:ptCount val="1"/>
                <c:pt idx="0">
                  <c:v>{150}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summary!$F$12:$I$12</c:f>
                <c:numCache>
                  <c:formatCode>General</c:formatCode>
                  <c:ptCount val="4"/>
                  <c:pt idx="0">
                    <c:v>2.99048976544046E-2</c:v>
                  </c:pt>
                  <c:pt idx="1">
                    <c:v>3.7031621518631132E-2</c:v>
                  </c:pt>
                  <c:pt idx="2">
                    <c:v>3.4712462141539682E-2</c:v>
                  </c:pt>
                  <c:pt idx="3">
                    <c:v>7.4298362728311335E-2</c:v>
                  </c:pt>
                </c:numCache>
              </c:numRef>
            </c:plus>
            <c:minus>
              <c:numRef>
                <c:f>summary!$F$12:$I$12</c:f>
                <c:numCache>
                  <c:formatCode>General</c:formatCode>
                  <c:ptCount val="4"/>
                  <c:pt idx="0">
                    <c:v>2.99048976544046E-2</c:v>
                  </c:pt>
                  <c:pt idx="1">
                    <c:v>3.7031621518631132E-2</c:v>
                  </c:pt>
                  <c:pt idx="2">
                    <c:v>3.4712462141539682E-2</c:v>
                  </c:pt>
                  <c:pt idx="3">
                    <c:v>7.4298362728311335E-2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summary!$F$4:$I$4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summary!$F$7:$I$7</c:f>
              <c:numCache>
                <c:formatCode>0.00</c:formatCode>
                <c:ptCount val="4"/>
                <c:pt idx="0">
                  <c:v>0.44679845600478929</c:v>
                </c:pt>
                <c:pt idx="1">
                  <c:v>0.50353216159751357</c:v>
                </c:pt>
                <c:pt idx="2">
                  <c:v>0.52689102171577618</c:v>
                </c:pt>
                <c:pt idx="3">
                  <c:v>0.63222793456718152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2-0A49-B42B-0AD56EF23042}"/>
            </c:ext>
          </c:extLst>
        </c:ser>
        <c:ser>
          <c:idx val="3"/>
          <c:order val="3"/>
          <c:tx>
            <c:strRef>
              <c:f>summary!$E$8</c:f>
              <c:strCache>
                <c:ptCount val="1"/>
                <c:pt idx="0">
                  <c:v>{190}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summary!$F$13:$I$13</c:f>
                <c:numCache>
                  <c:formatCode>General</c:formatCode>
                  <c:ptCount val="4"/>
                  <c:pt idx="0">
                    <c:v>1.3302842696443936E-2</c:v>
                  </c:pt>
                  <c:pt idx="1">
                    <c:v>1.8447718261649149E-2</c:v>
                  </c:pt>
                  <c:pt idx="2">
                    <c:v>3.4949369057928045E-2</c:v>
                  </c:pt>
                  <c:pt idx="3">
                    <c:v>3.3072690252072476E-2</c:v>
                  </c:pt>
                </c:numCache>
              </c:numRef>
            </c:plus>
            <c:minus>
              <c:numRef>
                <c:f>summary!$F$13:$I$13</c:f>
                <c:numCache>
                  <c:formatCode>General</c:formatCode>
                  <c:ptCount val="4"/>
                  <c:pt idx="0">
                    <c:v>1.3302842696443936E-2</c:v>
                  </c:pt>
                  <c:pt idx="1">
                    <c:v>1.8447718261649149E-2</c:v>
                  </c:pt>
                  <c:pt idx="2">
                    <c:v>3.4949369057928045E-2</c:v>
                  </c:pt>
                  <c:pt idx="3">
                    <c:v>3.3072690252072476E-2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summary!$F$4:$I$4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summary!$F$8:$I$8</c:f>
              <c:numCache>
                <c:formatCode>0.00</c:formatCode>
                <c:ptCount val="4"/>
                <c:pt idx="0">
                  <c:v>0.41757721597053088</c:v>
                </c:pt>
                <c:pt idx="1">
                  <c:v>0.44217721979257896</c:v>
                </c:pt>
                <c:pt idx="2">
                  <c:v>0.49647213784709382</c:v>
                </c:pt>
                <c:pt idx="3">
                  <c:v>0.53984791829694267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82-0A49-B42B-0AD56EF23042}"/>
            </c:ext>
          </c:extLst>
        </c:ser>
        <c:ser>
          <c:idx val="4"/>
          <c:order val="4"/>
          <c:tx>
            <c:strRef>
              <c:f>summary!$E$9</c:f>
              <c:strCache>
                <c:ptCount val="1"/>
                <c:pt idx="0">
                  <c:v>{120/100}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summary!$F$14:$I$14</c:f>
                <c:numCache>
                  <c:formatCode>General</c:formatCode>
                  <c:ptCount val="4"/>
                  <c:pt idx="0">
                    <c:v>2.5795992584672175E-2</c:v>
                  </c:pt>
                  <c:pt idx="1">
                    <c:v>2.1453509237122248E-2</c:v>
                  </c:pt>
                  <c:pt idx="2">
                    <c:v>4.0716628996412797E-2</c:v>
                  </c:pt>
                  <c:pt idx="3">
                    <c:v>4.2926166531292206E-2</c:v>
                  </c:pt>
                </c:numCache>
              </c:numRef>
            </c:plus>
            <c:minus>
              <c:numRef>
                <c:f>summary!$F$14:$I$14</c:f>
                <c:numCache>
                  <c:formatCode>General</c:formatCode>
                  <c:ptCount val="4"/>
                  <c:pt idx="0">
                    <c:v>2.5795992584672175E-2</c:v>
                  </c:pt>
                  <c:pt idx="1">
                    <c:v>2.1453509237122248E-2</c:v>
                  </c:pt>
                  <c:pt idx="2">
                    <c:v>4.0716628996412797E-2</c:v>
                  </c:pt>
                  <c:pt idx="3">
                    <c:v>4.2926166531292206E-2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summary!$F$4:$I$4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summary!$F$9:$I$9</c:f>
              <c:numCache>
                <c:formatCode>0.00</c:formatCode>
                <c:ptCount val="4"/>
                <c:pt idx="0">
                  <c:v>0.48821843838832873</c:v>
                </c:pt>
                <c:pt idx="1">
                  <c:v>0.54993020140221505</c:v>
                </c:pt>
                <c:pt idx="2">
                  <c:v>0.59949279804702582</c:v>
                </c:pt>
                <c:pt idx="3">
                  <c:v>0.7685712202231717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82-0A49-B42B-0AD56EF2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61408"/>
        <c:axId val="538265952"/>
      </c:scatterChart>
      <c:valAx>
        <c:axId val="538261408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38265952"/>
        <c:crosses val="autoZero"/>
        <c:crossBetween val="midCat"/>
      </c:valAx>
      <c:valAx>
        <c:axId val="538265952"/>
        <c:scaling>
          <c:orientation val="minMax"/>
          <c:min val="0.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38261408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475"/>
          <c:y val="4.2425907699037597E-2"/>
          <c:w val="0.22068792081567701"/>
          <c:h val="0.377021817585302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summary!$L$5</c:f>
              <c:strCache>
                <c:ptCount val="1"/>
                <c:pt idx="0">
                  <c:v>{120}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summary!$M$13:$R$13</c:f>
              <c:numCache>
                <c:formatCode>0.00</c:formatCode>
                <c:ptCount val="6"/>
                <c:pt idx="0">
                  <c:v>0.47340373055181895</c:v>
                </c:pt>
                <c:pt idx="1">
                  <c:v>0.49852866337781815</c:v>
                </c:pt>
                <c:pt idx="2">
                  <c:v>0.58278863997256292</c:v>
                </c:pt>
                <c:pt idx="3">
                  <c:v>0.65729557958148088</c:v>
                </c:pt>
                <c:pt idx="4">
                  <c:v>1.1602871273920983</c:v>
                </c:pt>
                <c:pt idx="5">
                  <c:v>1.6166045715023087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E-D741-9EDA-E3439706C090}"/>
            </c:ext>
          </c:extLst>
        </c:ser>
        <c:ser>
          <c:idx val="1"/>
          <c:order val="1"/>
          <c:tx>
            <c:strRef>
              <c:f>summary!$L$6</c:f>
              <c:strCache>
                <c:ptCount val="1"/>
                <c:pt idx="0">
                  <c:v>{130}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summary!$M$14:$R$14</c:f>
              <c:numCache>
                <c:formatCode>0.00</c:formatCode>
                <c:ptCount val="6"/>
                <c:pt idx="0">
                  <c:v>0.41052044705238649</c:v>
                </c:pt>
                <c:pt idx="1">
                  <c:v>0.48026505917896667</c:v>
                </c:pt>
                <c:pt idx="2">
                  <c:v>0.56793755941912116</c:v>
                </c:pt>
                <c:pt idx="3">
                  <c:v>0.67232401454996626</c:v>
                </c:pt>
                <c:pt idx="4">
                  <c:v>1.1722082992079281</c:v>
                </c:pt>
                <c:pt idx="5">
                  <c:v>1.551869770910125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E-D741-9EDA-E3439706C090}"/>
            </c:ext>
          </c:extLst>
        </c:ser>
        <c:ser>
          <c:idx val="2"/>
          <c:order val="2"/>
          <c:tx>
            <c:strRef>
              <c:f>summary!$L$7</c:f>
              <c:strCache>
                <c:ptCount val="1"/>
                <c:pt idx="0">
                  <c:v>{150}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summary!$M$15:$R$15</c:f>
              <c:numCache>
                <c:formatCode>0.00</c:formatCode>
                <c:ptCount val="6"/>
                <c:pt idx="0">
                  <c:v>0.49137460359161345</c:v>
                </c:pt>
                <c:pt idx="1">
                  <c:v>0.50353216159751357</c:v>
                </c:pt>
                <c:pt idx="2">
                  <c:v>0.62778922542236193</c:v>
                </c:pt>
                <c:pt idx="3">
                  <c:v>0.64231566195298329</c:v>
                </c:pt>
                <c:pt idx="4">
                  <c:v>1.0964497572057499</c:v>
                </c:pt>
                <c:pt idx="5">
                  <c:v>1.6229690429764296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E-D741-9EDA-E3439706C090}"/>
            </c:ext>
          </c:extLst>
        </c:ser>
        <c:ser>
          <c:idx val="3"/>
          <c:order val="3"/>
          <c:tx>
            <c:strRef>
              <c:f>summary!$L$8</c:f>
              <c:strCache>
                <c:ptCount val="1"/>
                <c:pt idx="0">
                  <c:v>{190}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summary!$M$16:$R$16</c:f>
              <c:numCache>
                <c:formatCode>0.00</c:formatCode>
                <c:ptCount val="6"/>
                <c:pt idx="0">
                  <c:v>0.47023730631744165</c:v>
                </c:pt>
                <c:pt idx="1">
                  <c:v>0.44217721979257896</c:v>
                </c:pt>
                <c:pt idx="2">
                  <c:v>0.54696438794276481</c:v>
                </c:pt>
                <c:pt idx="3">
                  <c:v>0.55662893120954315</c:v>
                </c:pt>
                <c:pt idx="4">
                  <c:v>0.9172378128189479</c:v>
                </c:pt>
                <c:pt idx="5">
                  <c:v>1.5124010476954708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E-D741-9EDA-E3439706C090}"/>
            </c:ext>
          </c:extLst>
        </c:ser>
        <c:ser>
          <c:idx val="4"/>
          <c:order val="4"/>
          <c:tx>
            <c:strRef>
              <c:f>summary!$L$9</c:f>
              <c:strCache>
                <c:ptCount val="1"/>
                <c:pt idx="0">
                  <c:v>{120/100}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summary!$M$17:$R$17</c:f>
              <c:numCache>
                <c:formatCode>0.00</c:formatCode>
                <c:ptCount val="6"/>
                <c:pt idx="0">
                  <c:v>0.56173107564390401</c:v>
                </c:pt>
                <c:pt idx="1">
                  <c:v>0.54993020140221505</c:v>
                </c:pt>
                <c:pt idx="2">
                  <c:v>0.61198438201877747</c:v>
                </c:pt>
                <c:pt idx="3">
                  <c:v>0.7037745866603442</c:v>
                </c:pt>
                <c:pt idx="4">
                  <c:v>1.2149951107478407</c:v>
                </c:pt>
                <c:pt idx="5">
                  <c:v>1.8613920264118371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EE-D741-9EDA-E3439706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01216"/>
        <c:axId val="538305248"/>
      </c:scatterChart>
      <c:valAx>
        <c:axId val="53830121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38305248"/>
        <c:crosses val="autoZero"/>
        <c:crossBetween val="midCat"/>
      </c:valAx>
      <c:valAx>
        <c:axId val="53830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383012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472222222222202"/>
          <c:y val="0.51117590769903798"/>
          <c:w val="0.226333333333333"/>
          <c:h val="0.272333770778653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summary!$L$5</c:f>
              <c:strCache>
                <c:ptCount val="1"/>
                <c:pt idx="0">
                  <c:v>{120}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summary!$M$21:$R$21</c:f>
              <c:numCache>
                <c:formatCode>0.00</c:formatCode>
                <c:ptCount val="6"/>
                <c:pt idx="0">
                  <c:v>0.55396158966096887</c:v>
                </c:pt>
                <c:pt idx="1">
                  <c:v>0.57445493857159113</c:v>
                </c:pt>
                <c:pt idx="2">
                  <c:v>0.60039486801484576</c:v>
                </c:pt>
                <c:pt idx="3">
                  <c:v>0.68965963126411522</c:v>
                </c:pt>
                <c:pt idx="4">
                  <c:v>1.1811295003146394</c:v>
                </c:pt>
                <c:pt idx="5">
                  <c:v>1.6378354198643019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B-E444-8CB9-3FD48EA55C60}"/>
            </c:ext>
          </c:extLst>
        </c:ser>
        <c:ser>
          <c:idx val="1"/>
          <c:order val="1"/>
          <c:tx>
            <c:strRef>
              <c:f>summary!$L$6</c:f>
              <c:strCache>
                <c:ptCount val="1"/>
                <c:pt idx="0">
                  <c:v>{130}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summary!$M$22:$R$22</c:f>
              <c:numCache>
                <c:formatCode>0.00</c:formatCode>
                <c:ptCount val="6"/>
                <c:pt idx="0">
                  <c:v>0.42078741710482098</c:v>
                </c:pt>
                <c:pt idx="1">
                  <c:v>0.53620589916500738</c:v>
                </c:pt>
                <c:pt idx="2">
                  <c:v>0.6407724683742293</c:v>
                </c:pt>
                <c:pt idx="3">
                  <c:v>0.70435140712966415</c:v>
                </c:pt>
                <c:pt idx="4">
                  <c:v>1.1951579642686965</c:v>
                </c:pt>
                <c:pt idx="5">
                  <c:v>1.5676658377525972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B-E444-8CB9-3FD48EA55C60}"/>
            </c:ext>
          </c:extLst>
        </c:ser>
        <c:ser>
          <c:idx val="2"/>
          <c:order val="2"/>
          <c:tx>
            <c:strRef>
              <c:f>summary!$L$7</c:f>
              <c:strCache>
                <c:ptCount val="1"/>
                <c:pt idx="0">
                  <c:v>{150}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summary!$M$23:$R$23</c:f>
              <c:numCache>
                <c:formatCode>0.00</c:formatCode>
                <c:ptCount val="6"/>
                <c:pt idx="0">
                  <c:v>0.54043955504228935</c:v>
                </c:pt>
                <c:pt idx="1">
                  <c:v>0.52689102171577618</c:v>
                </c:pt>
                <c:pt idx="2">
                  <c:v>0.71298139768847357</c:v>
                </c:pt>
                <c:pt idx="3">
                  <c:v>0.64556180438752198</c:v>
                </c:pt>
                <c:pt idx="4">
                  <c:v>1.24105412500945</c:v>
                </c:pt>
                <c:pt idx="5">
                  <c:v>1.633167301293085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B-E444-8CB9-3FD48EA55C60}"/>
            </c:ext>
          </c:extLst>
        </c:ser>
        <c:ser>
          <c:idx val="3"/>
          <c:order val="3"/>
          <c:tx>
            <c:strRef>
              <c:f>summary!$L$8</c:f>
              <c:strCache>
                <c:ptCount val="1"/>
                <c:pt idx="0">
                  <c:v>{190}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summary!$M$24:$R$24</c:f>
              <c:numCache>
                <c:formatCode>0.00</c:formatCode>
                <c:ptCount val="6"/>
                <c:pt idx="0">
                  <c:v>0.47237106811470675</c:v>
                </c:pt>
                <c:pt idx="1">
                  <c:v>0.49647213784709382</c:v>
                </c:pt>
                <c:pt idx="2">
                  <c:v>0.56255936704926879</c:v>
                </c:pt>
                <c:pt idx="3">
                  <c:v>0.55741857614699852</c:v>
                </c:pt>
                <c:pt idx="4">
                  <c:v>0.94628952844789949</c:v>
                </c:pt>
                <c:pt idx="5">
                  <c:v>1.5383473012901794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5B-E444-8CB9-3FD48EA55C60}"/>
            </c:ext>
          </c:extLst>
        </c:ser>
        <c:ser>
          <c:idx val="4"/>
          <c:order val="4"/>
          <c:tx>
            <c:strRef>
              <c:f>summary!$L$9</c:f>
              <c:strCache>
                <c:ptCount val="1"/>
                <c:pt idx="0">
                  <c:v>{120/100}</c:v>
                </c:pt>
              </c:strCache>
            </c:strRef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summary!$M$25:$R$25</c:f>
              <c:numCache>
                <c:formatCode>0.00</c:formatCode>
                <c:ptCount val="6"/>
                <c:pt idx="0">
                  <c:v>0.64092956228742481</c:v>
                </c:pt>
                <c:pt idx="1">
                  <c:v>0.59949279804702582</c:v>
                </c:pt>
                <c:pt idx="2">
                  <c:v>0.65398618906141481</c:v>
                </c:pt>
                <c:pt idx="3">
                  <c:v>0.74157826739548249</c:v>
                </c:pt>
                <c:pt idx="4">
                  <c:v>1.2486907666252591</c:v>
                </c:pt>
                <c:pt idx="5">
                  <c:v>1.8905298735355653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5B-E444-8CB9-3FD48EA55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89984"/>
        <c:axId val="519394016"/>
      </c:scatterChart>
      <c:valAx>
        <c:axId val="51938998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19394016"/>
        <c:crosses val="autoZero"/>
        <c:crossBetween val="midCat"/>
      </c:valAx>
      <c:valAx>
        <c:axId val="51939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193899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472222222222202"/>
          <c:y val="0.51117590769903798"/>
          <c:w val="0.226333333333333"/>
          <c:h val="0.272333770778653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600 K</c:v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summary!$M$10:$R$10</c:f>
              <c:numCache>
                <c:formatCode>0.00</c:formatCode>
                <c:ptCount val="6"/>
                <c:pt idx="0">
                  <c:v>0.40607829346140145</c:v>
                </c:pt>
                <c:pt idx="1">
                  <c:v>0.43599597997343748</c:v>
                </c:pt>
                <c:pt idx="2">
                  <c:v>0.55816681231918397</c:v>
                </c:pt>
                <c:pt idx="3">
                  <c:v>0.62825394555811465</c:v>
                </c:pt>
                <c:pt idx="4">
                  <c:v>1.1304234683198486</c:v>
                </c:pt>
                <c:pt idx="5">
                  <c:v>1.6342582638605947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A-754E-9B02-E9C034B11046}"/>
            </c:ext>
          </c:extLst>
        </c:ser>
        <c:ser>
          <c:idx val="1"/>
          <c:order val="1"/>
          <c:tx>
            <c:v>800 K</c:v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summary!$M$18:$R$18</c:f>
              <c:numCache>
                <c:formatCode>0.00</c:formatCode>
                <c:ptCount val="6"/>
                <c:pt idx="0">
                  <c:v>0.48145343263143292</c:v>
                </c:pt>
                <c:pt idx="1">
                  <c:v>0.49488666106981849</c:v>
                </c:pt>
                <c:pt idx="2">
                  <c:v>0.58749283895511772</c:v>
                </c:pt>
                <c:pt idx="3">
                  <c:v>0.6464677547908636</c:v>
                </c:pt>
                <c:pt idx="4">
                  <c:v>1.1122356214745128</c:v>
                </c:pt>
                <c:pt idx="5">
                  <c:v>1.6330472918992343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A-754E-9B02-E9C034B11046}"/>
            </c:ext>
          </c:extLst>
        </c:ser>
        <c:ser>
          <c:idx val="2"/>
          <c:order val="2"/>
          <c:tx>
            <c:v>1000 K</c:v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summary!$M$26:$R$26</c:f>
              <c:numCache>
                <c:formatCode>0.00</c:formatCode>
                <c:ptCount val="6"/>
                <c:pt idx="0">
                  <c:v>0.52569783844204221</c:v>
                </c:pt>
                <c:pt idx="1">
                  <c:v>0.5467033590692989</c:v>
                </c:pt>
                <c:pt idx="2">
                  <c:v>0.63413885803764647</c:v>
                </c:pt>
                <c:pt idx="3">
                  <c:v>0.66771393726475647</c:v>
                </c:pt>
                <c:pt idx="4">
                  <c:v>1.162464376933189</c:v>
                </c:pt>
                <c:pt idx="5">
                  <c:v>1.6535091467471457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CA-754E-9B02-E9C034B11046}"/>
            </c:ext>
          </c:extLst>
        </c:ser>
        <c:ser>
          <c:idx val="3"/>
          <c:order val="3"/>
          <c:tx>
            <c:v>1200 K</c:v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summary!$M$39:$R$39</c:f>
              <c:numCache>
                <c:formatCode>0.00</c:formatCode>
                <c:ptCount val="6"/>
                <c:pt idx="0">
                  <c:v>0.70465618893488702</c:v>
                </c:pt>
                <c:pt idx="1">
                  <c:v>0.65331013805528448</c:v>
                </c:pt>
                <c:pt idx="2">
                  <c:v>0.69817505043730599</c:v>
                </c:pt>
                <c:pt idx="3">
                  <c:v>0.68781704402271271</c:v>
                </c:pt>
                <c:pt idx="4">
                  <c:v>1.17394702806994</c:v>
                </c:pt>
                <c:pt idx="5">
                  <c:v>1.6659914956822086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CA-754E-9B02-E9C034B11046}"/>
            </c:ext>
          </c:extLst>
        </c:ser>
        <c:ser>
          <c:idx val="4"/>
          <c:order val="4"/>
          <c:tx>
            <c:v>600k_lowermix</c:v>
          </c:tx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summary!$C$14:$C$19</c:f>
              <c:numCache>
                <c:formatCode>General</c:formatCode>
                <c:ptCount val="6"/>
                <c:pt idx="0">
                  <c:v>0.40607829346140145</c:v>
                </c:pt>
                <c:pt idx="1">
                  <c:v>0.44464796359000047</c:v>
                </c:pt>
                <c:pt idx="2">
                  <c:v>0.48475777008431398</c:v>
                </c:pt>
                <c:pt idx="3">
                  <c:v>0.52650184171433778</c:v>
                </c:pt>
                <c:pt idx="4">
                  <c:v>0.87425531004777446</c:v>
                </c:pt>
                <c:pt idx="5">
                  <c:v>1.6342582638605947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D-564C-80A1-64C16F20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28032"/>
        <c:axId val="519432576"/>
      </c:scatterChart>
      <c:valAx>
        <c:axId val="51942803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19432576"/>
        <c:crosses val="autoZero"/>
        <c:crossBetween val="midCat"/>
      </c:valAx>
      <c:valAx>
        <c:axId val="519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(J/m2)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194280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3600669912639605"/>
          <c:y val="0.50046175478065202"/>
          <c:w val="0.26399321959755029"/>
          <c:h val="0.3104166666666666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summary!$E$40</c:f>
              <c:strCache>
                <c:ptCount val="1"/>
                <c:pt idx="0">
                  <c:v>{120}</c:v>
                </c:pt>
              </c:strCache>
            </c:strRef>
          </c:tx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summary!$F$40:$I$40</c:f>
              <c:numCache>
                <c:formatCode>0.00</c:formatCode>
                <c:ptCount val="4"/>
                <c:pt idx="0">
                  <c:v>0.34005727712181116</c:v>
                </c:pt>
                <c:pt idx="1">
                  <c:v>0.47340373055181895</c:v>
                </c:pt>
                <c:pt idx="2">
                  <c:v>0.55396158966096887</c:v>
                </c:pt>
                <c:pt idx="3">
                  <c:v>0.69679869063521238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0-4C4F-BD25-95662A7F1B7C}"/>
            </c:ext>
          </c:extLst>
        </c:ser>
        <c:ser>
          <c:idx val="1"/>
          <c:order val="1"/>
          <c:tx>
            <c:strRef>
              <c:f>summary!$E$41</c:f>
              <c:strCache>
                <c:ptCount val="1"/>
                <c:pt idx="0">
                  <c:v>{130}</c:v>
                </c:pt>
              </c:strCache>
            </c:strRef>
          </c:tx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summary!$F$41:$I$41</c:f>
              <c:numCache>
                <c:formatCode>0.00</c:formatCode>
                <c:ptCount val="4"/>
                <c:pt idx="0">
                  <c:v>0.34954032574035304</c:v>
                </c:pt>
                <c:pt idx="1">
                  <c:v>0.41052044705238649</c:v>
                </c:pt>
                <c:pt idx="2">
                  <c:v>0.42078741710482098</c:v>
                </c:pt>
                <c:pt idx="3">
                  <c:v>0.62755308502241136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0-4C4F-BD25-95662A7F1B7C}"/>
            </c:ext>
          </c:extLst>
        </c:ser>
        <c:ser>
          <c:idx val="2"/>
          <c:order val="2"/>
          <c:tx>
            <c:strRef>
              <c:f>summary!$E$42</c:f>
              <c:strCache>
                <c:ptCount val="1"/>
                <c:pt idx="0">
                  <c:v>{150}</c:v>
                </c:pt>
              </c:strCache>
            </c:strRef>
          </c:tx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summary!$F$42:$I$42</c:f>
              <c:numCache>
                <c:formatCode>0.00</c:formatCode>
                <c:ptCount val="4"/>
                <c:pt idx="0">
                  <c:v>0.43292370677381642</c:v>
                </c:pt>
                <c:pt idx="1">
                  <c:v>0.49137460359161345</c:v>
                </c:pt>
                <c:pt idx="2">
                  <c:v>0.54043955504228935</c:v>
                </c:pt>
                <c:pt idx="3">
                  <c:v>0.66243638221824941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0-4C4F-BD25-95662A7F1B7C}"/>
            </c:ext>
          </c:extLst>
        </c:ser>
        <c:ser>
          <c:idx val="3"/>
          <c:order val="3"/>
          <c:tx>
            <c:strRef>
              <c:f>summary!$E$43</c:f>
              <c:strCache>
                <c:ptCount val="1"/>
                <c:pt idx="0">
                  <c:v>{190}</c:v>
                </c:pt>
              </c:strCache>
            </c:strRef>
          </c:tx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summary!$F$43:$I$43</c:f>
              <c:numCache>
                <c:formatCode>0.00</c:formatCode>
                <c:ptCount val="4"/>
                <c:pt idx="0">
                  <c:v>0.42997002822320596</c:v>
                </c:pt>
                <c:pt idx="1">
                  <c:v>0.47023730631744165</c:v>
                </c:pt>
                <c:pt idx="2">
                  <c:v>0.47237106811470675</c:v>
                </c:pt>
                <c:pt idx="3">
                  <c:v>0.63674079936032568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0-4C4F-BD25-95662A7F1B7C}"/>
            </c:ext>
          </c:extLst>
        </c:ser>
        <c:ser>
          <c:idx val="4"/>
          <c:order val="4"/>
          <c:tx>
            <c:strRef>
              <c:f>summary!$E$44</c:f>
              <c:strCache>
                <c:ptCount val="1"/>
                <c:pt idx="0">
                  <c:v>{120/100}</c:v>
                </c:pt>
              </c:strCache>
            </c:strRef>
          </c:tx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summary!$F$44:$I$44</c:f>
              <c:numCache>
                <c:formatCode>0.00</c:formatCode>
                <c:ptCount val="4"/>
                <c:pt idx="0">
                  <c:v>0.47790012944782062</c:v>
                </c:pt>
                <c:pt idx="1">
                  <c:v>0.56173107564390401</c:v>
                </c:pt>
                <c:pt idx="2">
                  <c:v>0.64092956228742481</c:v>
                </c:pt>
                <c:pt idx="3">
                  <c:v>0.89975198743823692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A0-4C4F-BD25-95662A7F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67712"/>
        <c:axId val="519471744"/>
      </c:scatterChart>
      <c:valAx>
        <c:axId val="519467712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19471744"/>
        <c:crosses val="autoZero"/>
        <c:crossBetween val="midCat"/>
      </c:valAx>
      <c:valAx>
        <c:axId val="519471744"/>
        <c:scaling>
          <c:orientation val="minMax"/>
          <c:max val="1"/>
          <c:min val="0.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19467712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5305555555555598"/>
          <c:y val="4.2425907699037597E-2"/>
          <c:w val="0.57315288713910795"/>
          <c:h val="0.165216262029746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summary!$L$5</c:f>
              <c:strCache>
                <c:ptCount val="1"/>
                <c:pt idx="0">
                  <c:v>{120}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summary!$M$29:$R$29</c:f>
              <c:numCache>
                <c:formatCode>0.00</c:formatCode>
                <c:ptCount val="6"/>
                <c:pt idx="0">
                  <c:v>0.69679869063521238</c:v>
                </c:pt>
                <c:pt idx="1">
                  <c:v>0.69308110900649167</c:v>
                </c:pt>
                <c:pt idx="2">
                  <c:v>0.72804389975119865</c:v>
                </c:pt>
                <c:pt idx="3">
                  <c:v>0.7294987398861813</c:v>
                </c:pt>
                <c:pt idx="4">
                  <c:v>1.1930626695111877</c:v>
                </c:pt>
                <c:pt idx="5">
                  <c:v>1.6422828812404018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1F4F-963E-3E895BD826AF}"/>
            </c:ext>
          </c:extLst>
        </c:ser>
        <c:ser>
          <c:idx val="1"/>
          <c:order val="1"/>
          <c:tx>
            <c:strRef>
              <c:f>summary!$L$6</c:f>
              <c:strCache>
                <c:ptCount val="1"/>
                <c:pt idx="0">
                  <c:v>{130}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summary!$M$30:$R$30</c:f>
              <c:numCache>
                <c:formatCode>0.00</c:formatCode>
                <c:ptCount val="6"/>
                <c:pt idx="0">
                  <c:v>0.62755308502241136</c:v>
                </c:pt>
                <c:pt idx="1">
                  <c:v>0.63282250818263464</c:v>
                </c:pt>
                <c:pt idx="2">
                  <c:v>0.68405492569493731</c:v>
                </c:pt>
                <c:pt idx="3">
                  <c:v>0.77605693616979332</c:v>
                </c:pt>
                <c:pt idx="4">
                  <c:v>1.2514509050967189</c:v>
                </c:pt>
                <c:pt idx="5">
                  <c:v>1.5770724526863764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4-1F4F-963E-3E895BD826AF}"/>
            </c:ext>
          </c:extLst>
        </c:ser>
        <c:ser>
          <c:idx val="2"/>
          <c:order val="2"/>
          <c:tx>
            <c:strRef>
              <c:f>summary!$L$7</c:f>
              <c:strCache>
                <c:ptCount val="1"/>
                <c:pt idx="0">
                  <c:v>{150}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summary!$M$31:$R$31</c:f>
              <c:numCache>
                <c:formatCode>0.00</c:formatCode>
                <c:ptCount val="6"/>
                <c:pt idx="0">
                  <c:v>0.66243638221824941</c:v>
                </c:pt>
                <c:pt idx="1">
                  <c:v>0.63222793456718152</c:v>
                </c:pt>
                <c:pt idx="2">
                  <c:v>0.70177945419000487</c:v>
                </c:pt>
                <c:pt idx="3">
                  <c:v>0.63387897756503198</c:v>
                </c:pt>
                <c:pt idx="4">
                  <c:v>1.2441824373363599</c:v>
                </c:pt>
                <c:pt idx="5">
                  <c:v>1.6414871981148256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4-1F4F-963E-3E895BD826AF}"/>
            </c:ext>
          </c:extLst>
        </c:ser>
        <c:ser>
          <c:idx val="3"/>
          <c:order val="3"/>
          <c:tx>
            <c:strRef>
              <c:f>summary!$L$8</c:f>
              <c:strCache>
                <c:ptCount val="1"/>
                <c:pt idx="0">
                  <c:v>{190}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summary!$M$32:$R$32</c:f>
              <c:numCache>
                <c:formatCode>0.00</c:formatCode>
                <c:ptCount val="6"/>
                <c:pt idx="0">
                  <c:v>0.63674079936032568</c:v>
                </c:pt>
                <c:pt idx="1">
                  <c:v>0.53984791829694267</c:v>
                </c:pt>
                <c:pt idx="2">
                  <c:v>0.6076218141552383</c:v>
                </c:pt>
                <c:pt idx="3">
                  <c:v>0.53866028970953361</c:v>
                </c:pt>
                <c:pt idx="4">
                  <c:v>0.92525349477684382</c:v>
                </c:pt>
                <c:pt idx="5">
                  <c:v>1.5666256018006701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4-1F4F-963E-3E895BD826AF}"/>
            </c:ext>
          </c:extLst>
        </c:ser>
        <c:ser>
          <c:idx val="4"/>
          <c:order val="4"/>
          <c:tx>
            <c:strRef>
              <c:f>summary!$L$9</c:f>
              <c:strCache>
                <c:ptCount val="1"/>
                <c:pt idx="0">
                  <c:v>{120/100}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summary!$M$33:$R$33</c:f>
              <c:numCache>
                <c:formatCode>0.00</c:formatCode>
                <c:ptCount val="6"/>
                <c:pt idx="0">
                  <c:v>0.89975198743823692</c:v>
                </c:pt>
                <c:pt idx="1">
                  <c:v>0.7685712202231717</c:v>
                </c:pt>
                <c:pt idx="2">
                  <c:v>0.76937515839515103</c:v>
                </c:pt>
                <c:pt idx="3">
                  <c:v>0.76099027678302311</c:v>
                </c:pt>
                <c:pt idx="4">
                  <c:v>1.2557856336285897</c:v>
                </c:pt>
                <c:pt idx="5">
                  <c:v>1.9024893445687696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64-1F4F-963E-3E895BD8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09248"/>
        <c:axId val="519513280"/>
      </c:scatterChart>
      <c:valAx>
        <c:axId val="51950924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519513280"/>
        <c:crosses val="autoZero"/>
        <c:crossBetween val="midCat"/>
      </c:valAx>
      <c:valAx>
        <c:axId val="51951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19509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472222222222202"/>
          <c:y val="0.51117590769903798"/>
          <c:w val="0.226333333333333"/>
          <c:h val="0.272333770778653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4793744531934"/>
                  <c:y val="3.0162583843686201E-2"/>
                </c:manualLayout>
              </c:layout>
              <c:numFmt formatCode="General" sourceLinked="0"/>
            </c:trendlineLbl>
          </c:trendline>
          <c:xVal>
            <c:numRef>
              <c:f>'ADP800'!$I$4:$I$13</c:f>
              <c:numCache>
                <c:formatCode>General</c:formatCode>
                <c:ptCount val="10"/>
                <c:pt idx="0">
                  <c:v>0.221</c:v>
                </c:pt>
                <c:pt idx="1">
                  <c:v>0.2205</c:v>
                </c:pt>
                <c:pt idx="2">
                  <c:v>0.216</c:v>
                </c:pt>
                <c:pt idx="3">
                  <c:v>0.224</c:v>
                </c:pt>
                <c:pt idx="4">
                  <c:v>0.2235</c:v>
                </c:pt>
                <c:pt idx="5">
                  <c:v>0.2225</c:v>
                </c:pt>
                <c:pt idx="6">
                  <c:v>0.24299999999999999</c:v>
                </c:pt>
                <c:pt idx="7">
                  <c:v>0.22750000000000001</c:v>
                </c:pt>
                <c:pt idx="8">
                  <c:v>0.23100000000000001</c:v>
                </c:pt>
                <c:pt idx="9">
                  <c:v>0.21299999999999999</c:v>
                </c:pt>
              </c:numCache>
            </c:numRef>
          </c:xVal>
          <c:yVal>
            <c:numRef>
              <c:f>'ADP800'!$E$4:$E$13</c:f>
              <c:numCache>
                <c:formatCode>General</c:formatCode>
                <c:ptCount val="10"/>
                <c:pt idx="0">
                  <c:v>-4.6534012865000003</c:v>
                </c:pt>
                <c:pt idx="1">
                  <c:v>-4.6511199440000004</c:v>
                </c:pt>
                <c:pt idx="2">
                  <c:v>-4.6383357395000004</c:v>
                </c:pt>
                <c:pt idx="3">
                  <c:v>-4.6598617759999996</c:v>
                </c:pt>
                <c:pt idx="4">
                  <c:v>-4.6573167624999998</c:v>
                </c:pt>
                <c:pt idx="5">
                  <c:v>-4.6565727859999999</c:v>
                </c:pt>
                <c:pt idx="6">
                  <c:v>-4.7094013420000005</c:v>
                </c:pt>
                <c:pt idx="7">
                  <c:v>-4.6675537690000004</c:v>
                </c:pt>
                <c:pt idx="8">
                  <c:v>-4.6760650894999998</c:v>
                </c:pt>
                <c:pt idx="9">
                  <c:v>-4.6319165585000004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084F-B937-47656DCC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36400"/>
        <c:axId val="433538720"/>
      </c:scatterChart>
      <c:valAx>
        <c:axId val="43353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538720"/>
        <c:crosses val="autoZero"/>
        <c:crossBetween val="midCat"/>
      </c:valAx>
      <c:valAx>
        <c:axId val="43353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353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summary!$E$92</c:f>
              <c:strCache>
                <c:ptCount val="1"/>
                <c:pt idx="0">
                  <c:v>{120}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summary!$F$91:$I$91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summary!$F$92:$I$92</c:f>
              <c:numCache>
                <c:formatCode>0.00</c:formatCode>
                <c:ptCount val="4"/>
                <c:pt idx="0">
                  <c:v>4.7582232490558258</c:v>
                </c:pt>
                <c:pt idx="1">
                  <c:v>4.7538273401141842</c:v>
                </c:pt>
                <c:pt idx="2">
                  <c:v>4.7809255882189472</c:v>
                </c:pt>
                <c:pt idx="3">
                  <c:v>4.8393300006629412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4-9848-A26D-A6717BA282B8}"/>
            </c:ext>
          </c:extLst>
        </c:ser>
        <c:ser>
          <c:idx val="1"/>
          <c:order val="1"/>
          <c:tx>
            <c:strRef>
              <c:f>summary!$E$93</c:f>
              <c:strCache>
                <c:ptCount val="1"/>
                <c:pt idx="0">
                  <c:v>{130}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summary!$F$91:$I$91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summary!$F$93:$I$93</c:f>
              <c:numCache>
                <c:formatCode>0.00</c:formatCode>
                <c:ptCount val="4"/>
                <c:pt idx="0">
                  <c:v>4.8118605830360286</c:v>
                </c:pt>
                <c:pt idx="1">
                  <c:v>4.8121998602234983</c:v>
                </c:pt>
                <c:pt idx="2">
                  <c:v>4.8438640596663927</c:v>
                </c:pt>
                <c:pt idx="3">
                  <c:v>4.9045824192571121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4-9848-A26D-A6717BA282B8}"/>
            </c:ext>
          </c:extLst>
        </c:ser>
        <c:ser>
          <c:idx val="2"/>
          <c:order val="2"/>
          <c:tx>
            <c:strRef>
              <c:f>summary!$E$94</c:f>
              <c:strCache>
                <c:ptCount val="1"/>
                <c:pt idx="0">
                  <c:v>{150}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summary!$F$91:$I$91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summary!$F$94:$I$94</c:f>
              <c:numCache>
                <c:formatCode>0.00</c:formatCode>
                <c:ptCount val="4"/>
                <c:pt idx="0">
                  <c:v>4.8390791770074149</c:v>
                </c:pt>
                <c:pt idx="1">
                  <c:v>4.8467911389346003</c:v>
                </c:pt>
                <c:pt idx="2">
                  <c:v>4.8884868144795872</c:v>
                </c:pt>
                <c:pt idx="3">
                  <c:v>4.9678962319767086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4-9848-A26D-A6717BA282B8}"/>
            </c:ext>
          </c:extLst>
        </c:ser>
        <c:ser>
          <c:idx val="3"/>
          <c:order val="3"/>
          <c:tx>
            <c:strRef>
              <c:f>summary!$E$95</c:f>
              <c:strCache>
                <c:ptCount val="1"/>
                <c:pt idx="0">
                  <c:v>{190}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summary!$F$91:$I$91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summary!$F$95:$I$95</c:f>
              <c:numCache>
                <c:formatCode>0.00</c:formatCode>
                <c:ptCount val="4"/>
                <c:pt idx="0">
                  <c:v>4.8566989292160461</c:v>
                </c:pt>
                <c:pt idx="1">
                  <c:v>4.8620866949765151</c:v>
                </c:pt>
                <c:pt idx="2">
                  <c:v>4.8956341368403882</c:v>
                </c:pt>
                <c:pt idx="3">
                  <c:v>4.9998964385095537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D4-9848-A26D-A6717BA282B8}"/>
            </c:ext>
          </c:extLst>
        </c:ser>
        <c:ser>
          <c:idx val="4"/>
          <c:order val="4"/>
          <c:tx>
            <c:strRef>
              <c:f>summary!$E$96</c:f>
              <c:strCache>
                <c:ptCount val="1"/>
                <c:pt idx="0">
                  <c:v>{100}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summary!$F$91:$I$91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summary!$F$96:$I$96</c:f>
              <c:numCache>
                <c:formatCode>0.00</c:formatCode>
                <c:ptCount val="4"/>
                <c:pt idx="0">
                  <c:v>4.8396626624633896</c:v>
                </c:pt>
                <c:pt idx="1">
                  <c:v>4.8444544838373629</c:v>
                </c:pt>
                <c:pt idx="2">
                  <c:v>4.8846242298380975</c:v>
                </c:pt>
                <c:pt idx="3">
                  <c:v>5.0280277923367809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4-9848-A26D-A6717BA282B8}"/>
            </c:ext>
          </c:extLst>
        </c:ser>
        <c:ser>
          <c:idx val="5"/>
          <c:order val="5"/>
          <c:tx>
            <c:strRef>
              <c:f>summary!$E$97</c:f>
              <c:strCache>
                <c:ptCount val="1"/>
                <c:pt idx="0">
                  <c:v>{110}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summary!$F$91:$I$91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summary!$F$97:$I$97</c:f>
              <c:numCache>
                <c:formatCode>0.00</c:formatCode>
                <c:ptCount val="4"/>
                <c:pt idx="0">
                  <c:v>4.5880188560511765</c:v>
                </c:pt>
                <c:pt idx="1">
                  <c:v>4.5804504923295521</c:v>
                </c:pt>
                <c:pt idx="2">
                  <c:v>4.5866562912623916</c:v>
                </c:pt>
                <c:pt idx="3">
                  <c:v>4.6067631578378423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4-9848-A26D-A6717BA282B8}"/>
            </c:ext>
          </c:extLst>
        </c:ser>
        <c:ser>
          <c:idx val="6"/>
          <c:order val="6"/>
          <c:tx>
            <c:strRef>
              <c:f>summary!$E$98</c:f>
              <c:strCache>
                <c:ptCount val="1"/>
                <c:pt idx="0">
                  <c:v>{111}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summary!$F$91:$I$91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summary!$F$98:$I$98</c:f>
              <c:numCache>
                <c:formatCode>0.00</c:formatCode>
                <c:ptCount val="4"/>
                <c:pt idx="0">
                  <c:v>4.9622075622336181</c:v>
                </c:pt>
                <c:pt idx="1">
                  <c:v>4.9499576332028132</c:v>
                </c:pt>
                <c:pt idx="2">
                  <c:v>4.9717847481598731</c:v>
                </c:pt>
                <c:pt idx="3">
                  <c:v>5.0108852605579326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D4-9848-A26D-A6717BA2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56048"/>
        <c:axId val="519560080"/>
      </c:scatterChart>
      <c:valAx>
        <c:axId val="519556048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19560080"/>
        <c:crosses val="autoZero"/>
        <c:crossBetween val="midCat"/>
      </c:valAx>
      <c:valAx>
        <c:axId val="519560080"/>
        <c:scaling>
          <c:orientation val="minMax"/>
          <c:max val="5.4"/>
          <c:min val="4.400000000000000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19556048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2454208993107"/>
          <c:y val="5.31403262092238E-2"/>
          <c:w val="0.71832099713631503"/>
          <c:h val="0.1964828458942629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summary!$E$83</c:f>
              <c:strCache>
                <c:ptCount val="1"/>
                <c:pt idx="0">
                  <c:v>{120}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summary!$F$82:$I$82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summary!$F$83:$I$83</c:f>
              <c:numCache>
                <c:formatCode>0.00</c:formatCode>
                <c:ptCount val="4"/>
                <c:pt idx="0">
                  <c:v>1.1417847241190653</c:v>
                </c:pt>
                <c:pt idx="1">
                  <c:v>1.2121254441008973</c:v>
                </c:pt>
                <c:pt idx="2">
                  <c:v>1.2383491451758224</c:v>
                </c:pt>
                <c:pt idx="3">
                  <c:v>1.3123225079497538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1-4247-A3B2-4ED44020D079}"/>
            </c:ext>
          </c:extLst>
        </c:ser>
        <c:ser>
          <c:idx val="1"/>
          <c:order val="1"/>
          <c:tx>
            <c:strRef>
              <c:f>summary!$E$84</c:f>
              <c:strCache>
                <c:ptCount val="1"/>
                <c:pt idx="0">
                  <c:v>{130}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summary!$F$82:$I$82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summary!$F$84:$I$84</c:f>
              <c:numCache>
                <c:formatCode>0.00</c:formatCode>
                <c:ptCount val="4"/>
                <c:pt idx="0">
                  <c:v>1.1807320121333085</c:v>
                </c:pt>
                <c:pt idx="1">
                  <c:v>1.2207595440044074</c:v>
                </c:pt>
                <c:pt idx="2">
                  <c:v>1.2661057820168231</c:v>
                </c:pt>
                <c:pt idx="3">
                  <c:v>1.4054753903948574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1-4247-A3B2-4ED44020D079}"/>
            </c:ext>
          </c:extLst>
        </c:ser>
        <c:ser>
          <c:idx val="2"/>
          <c:order val="2"/>
          <c:tx>
            <c:strRef>
              <c:f>summary!$E$85</c:f>
              <c:strCache>
                <c:ptCount val="1"/>
                <c:pt idx="0">
                  <c:v>{150}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summary!$F$82:$I$82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summary!$F$85:$I$85</c:f>
              <c:numCache>
                <c:formatCode>0.00</c:formatCode>
                <c:ptCount val="4"/>
                <c:pt idx="0">
                  <c:v>1.1877466988904259</c:v>
                </c:pt>
                <c:pt idx="1">
                  <c:v>1.2532842134072641</c:v>
                </c:pt>
                <c:pt idx="2">
                  <c:v>1.2851510516876756</c:v>
                </c:pt>
                <c:pt idx="3">
                  <c:v>1.3718581682805524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21-4247-A3B2-4ED44020D079}"/>
            </c:ext>
          </c:extLst>
        </c:ser>
        <c:ser>
          <c:idx val="3"/>
          <c:order val="3"/>
          <c:tx>
            <c:strRef>
              <c:f>summary!$E$86</c:f>
              <c:strCache>
                <c:ptCount val="1"/>
                <c:pt idx="0">
                  <c:v>{190}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summary!$F$82:$I$82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summary!$F$86:$I$86</c:f>
              <c:numCache>
                <c:formatCode>0.00</c:formatCode>
                <c:ptCount val="4"/>
                <c:pt idx="0">
                  <c:v>1.1699099610578692</c:v>
                </c:pt>
                <c:pt idx="1">
                  <c:v>1.2426699928597111</c:v>
                </c:pt>
                <c:pt idx="2">
                  <c:v>1.3174876301289875</c:v>
                </c:pt>
                <c:pt idx="3">
                  <c:v>1.4910252233166632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1-4247-A3B2-4ED44020D079}"/>
            </c:ext>
          </c:extLst>
        </c:ser>
        <c:ser>
          <c:idx val="4"/>
          <c:order val="4"/>
          <c:tx>
            <c:strRef>
              <c:f>summary!$E$87</c:f>
              <c:strCache>
                <c:ptCount val="1"/>
                <c:pt idx="0">
                  <c:v>{100}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summary!$F$82:$I$82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summary!$F$87:$I$87</c:f>
              <c:numCache>
                <c:formatCode>0.00</c:formatCode>
                <c:ptCount val="4"/>
                <c:pt idx="0">
                  <c:v>1.1490538956680909</c:v>
                </c:pt>
                <c:pt idx="1">
                  <c:v>1.2325829072111127</c:v>
                </c:pt>
                <c:pt idx="2">
                  <c:v>1.308266323894304</c:v>
                </c:pt>
                <c:pt idx="3">
                  <c:v>1.4710324200061364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21-4247-A3B2-4ED44020D079}"/>
            </c:ext>
          </c:extLst>
        </c:ser>
        <c:ser>
          <c:idx val="5"/>
          <c:order val="5"/>
          <c:tx>
            <c:strRef>
              <c:f>summary!$E$88</c:f>
              <c:strCache>
                <c:ptCount val="1"/>
                <c:pt idx="0">
                  <c:v>{110}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summary!$F$82:$I$82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summary!$F$88:$I$88</c:f>
              <c:numCache>
                <c:formatCode>0.00</c:formatCode>
                <c:ptCount val="4"/>
                <c:pt idx="0">
                  <c:v>1.0323195233449924</c:v>
                </c:pt>
                <c:pt idx="1">
                  <c:v>1.0584171184492379</c:v>
                </c:pt>
                <c:pt idx="2">
                  <c:v>1.0736883313771581</c:v>
                </c:pt>
                <c:pt idx="3">
                  <c:v>1.1585881257158659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21-4247-A3B2-4ED44020D079}"/>
            </c:ext>
          </c:extLst>
        </c:ser>
        <c:ser>
          <c:idx val="6"/>
          <c:order val="6"/>
          <c:tx>
            <c:strRef>
              <c:f>summary!$E$89</c:f>
              <c:strCache>
                <c:ptCount val="1"/>
                <c:pt idx="0">
                  <c:v>{111}</c:v>
                </c:pt>
              </c:strCache>
            </c:strRef>
          </c:tx>
          <c:spPr>
            <a:effectLst/>
          </c:spPr>
          <c:marker>
            <c:spPr>
              <a:effectLst/>
            </c:spPr>
          </c:marker>
          <c:xVal>
            <c:numRef>
              <c:f>summary!$F$82:$I$82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summary!$F$89:$I$89</c:f>
              <c:numCache>
                <c:formatCode>0.00</c:formatCode>
                <c:ptCount val="4"/>
                <c:pt idx="0">
                  <c:v>1.2081286544086183</c:v>
                </c:pt>
                <c:pt idx="1">
                  <c:v>1.2445777221215129</c:v>
                </c:pt>
                <c:pt idx="2">
                  <c:v>1.2806942855155452</c:v>
                </c:pt>
                <c:pt idx="3">
                  <c:v>1.4301299924612976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21-4247-A3B2-4ED44020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02688"/>
        <c:axId val="519606720"/>
      </c:scatterChart>
      <c:valAx>
        <c:axId val="519602688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19606720"/>
        <c:crosses val="autoZero"/>
        <c:crossBetween val="midCat"/>
      </c:valAx>
      <c:valAx>
        <c:axId val="519606720"/>
        <c:scaling>
          <c:orientation val="minMax"/>
          <c:max val="1.8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19602688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2454208993107"/>
          <c:y val="6.3854611923509497E-2"/>
          <c:w val="0.71832099713631503"/>
          <c:h val="0.18576856017997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600 K</c:v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summary!$M$49:$R$49</c:f>
              <c:numCache>
                <c:formatCode>0.00</c:formatCode>
                <c:ptCount val="6"/>
                <c:pt idx="0">
                  <c:v>1.1528107813746244</c:v>
                </c:pt>
                <c:pt idx="1">
                  <c:v>1.2987434972734193</c:v>
                </c:pt>
                <c:pt idx="2">
                  <c:v>1.5072259139821595</c:v>
                </c:pt>
                <c:pt idx="3">
                  <c:v>1.6830060822508217</c:v>
                </c:pt>
                <c:pt idx="4">
                  <c:v>3.0124734991452864</c:v>
                </c:pt>
                <c:pt idx="5">
                  <c:v>4.8079644312947849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7-D14F-A9CB-E99A59E7A05D}"/>
            </c:ext>
          </c:extLst>
        </c:ser>
        <c:ser>
          <c:idx val="1"/>
          <c:order val="1"/>
          <c:tx>
            <c:v>800 K</c:v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summary!$M$59:$R$59</c:f>
              <c:numCache>
                <c:formatCode>0.00</c:formatCode>
                <c:ptCount val="6"/>
                <c:pt idx="0">
                  <c:v>1.2092024203077347</c:v>
                </c:pt>
                <c:pt idx="1">
                  <c:v>1.3574309147636299</c:v>
                </c:pt>
                <c:pt idx="2">
                  <c:v>1.5586408155190981</c:v>
                </c:pt>
                <c:pt idx="3">
                  <c:v>1.7214312287668705</c:v>
                </c:pt>
                <c:pt idx="4">
                  <c:v>3.0170408549359631</c:v>
                </c:pt>
                <c:pt idx="5">
                  <c:v>4.8071096633740753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7-D14F-A9CB-E99A59E7A05D}"/>
            </c:ext>
          </c:extLst>
        </c:ser>
        <c:ser>
          <c:idx val="2"/>
          <c:order val="2"/>
          <c:tx>
            <c:v>1000 K</c:v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summary!$M$69:$R$69</c:f>
              <c:numCache>
                <c:formatCode>0.00</c:formatCode>
                <c:ptCount val="6"/>
                <c:pt idx="0">
                  <c:v>1.2528203642566165</c:v>
                </c:pt>
                <c:pt idx="1">
                  <c:v>1.3997739268560196</c:v>
                </c:pt>
                <c:pt idx="2">
                  <c:v>1.5945169523706102</c:v>
                </c:pt>
                <c:pt idx="3">
                  <c:v>1.7464923815417908</c:v>
                </c:pt>
                <c:pt idx="4">
                  <c:v>3.0547564724225604</c:v>
                </c:pt>
                <c:pt idx="5">
                  <c:v>4.8359965526379556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07-D14F-A9CB-E99A59E7A05D}"/>
            </c:ext>
          </c:extLst>
        </c:ser>
        <c:ser>
          <c:idx val="3"/>
          <c:order val="3"/>
          <c:tx>
            <c:v>1200 K</c:v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summary!$M$79:$R$79</c:f>
              <c:numCache>
                <c:formatCode>0.00</c:formatCode>
                <c:ptCount val="6"/>
                <c:pt idx="0">
                  <c:v>1.3772045468750183</c:v>
                </c:pt>
                <c:pt idx="1">
                  <c:v>1.4837505504235455</c:v>
                </c:pt>
                <c:pt idx="2">
                  <c:v>1.6644635513588262</c:v>
                </c:pt>
                <c:pt idx="3">
                  <c:v>1.7917256117178741</c:v>
                </c:pt>
                <c:pt idx="4">
                  <c:v>3.0902952202421501</c:v>
                </c:pt>
                <c:pt idx="5">
                  <c:v>4.9081973287341247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07-D14F-A9CB-E99A59E7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38400"/>
        <c:axId val="519642944"/>
      </c:scatterChart>
      <c:valAx>
        <c:axId val="5196384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19642944"/>
        <c:crosses val="autoZero"/>
        <c:crossBetween val="midCat"/>
      </c:valAx>
      <c:valAx>
        <c:axId val="519642944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Surface Energy (</a:t>
                </a:r>
                <a:r>
                  <a:rPr lang="mr-IN"/>
                  <a:t>(J/m</a:t>
                </a:r>
                <a:r>
                  <a:rPr lang="mr-IN" baseline="30000">
                    <a:latin typeface="+mj-lt"/>
                  </a:rPr>
                  <a:t>2</a:t>
                </a:r>
                <a:r>
                  <a:rPr lang="mr-IN"/>
                  <a:t>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19638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472222222222199"/>
          <c:y val="6.1690999562554701E-2"/>
          <c:w val="0.186519282430815"/>
          <c:h val="0.3102350956130480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summary!$L$42</c:f>
              <c:strCache>
                <c:ptCount val="1"/>
                <c:pt idx="0">
                  <c:v>{120}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summary!$M$72:$R$72</c:f>
              <c:numCache>
                <c:formatCode>0.00</c:formatCode>
                <c:ptCount val="6"/>
                <c:pt idx="0">
                  <c:v>1.3123225079497538</c:v>
                </c:pt>
                <c:pt idx="1">
                  <c:v>1.4904017300742587</c:v>
                </c:pt>
                <c:pt idx="2">
                  <c:v>1.6581960805676403</c:v>
                </c:pt>
                <c:pt idx="3">
                  <c:v>1.796570468585879</c:v>
                </c:pt>
                <c:pt idx="4">
                  <c:v>3.1174646438443969</c:v>
                </c:pt>
                <c:pt idx="5">
                  <c:v>4.8393300006629412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A-AF47-BC15-9DF9AFE2CF1E}"/>
            </c:ext>
          </c:extLst>
        </c:ser>
        <c:ser>
          <c:idx val="1"/>
          <c:order val="1"/>
          <c:tx>
            <c:strRef>
              <c:f>summary!$L$43</c:f>
              <c:strCache>
                <c:ptCount val="1"/>
                <c:pt idx="0">
                  <c:v>{130}</c:v>
                </c:pt>
              </c:strCache>
            </c:strRef>
          </c:tx>
          <c:spPr>
            <a:ln w="25400">
              <a:prstDash val="sysDot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summary!$M$73:$R$73</c:f>
              <c:numCache>
                <c:formatCode>0.00</c:formatCode>
                <c:ptCount val="6"/>
                <c:pt idx="0">
                  <c:v>1.4054753903948574</c:v>
                </c:pt>
                <c:pt idx="1">
                  <c:v>1.5414063194245986</c:v>
                </c:pt>
                <c:pt idx="2">
                  <c:v>1.7108313110528901</c:v>
                </c:pt>
                <c:pt idx="3">
                  <c:v>1.8443734529226461</c:v>
                </c:pt>
                <c:pt idx="4">
                  <c:v>3.1312545974361492</c:v>
                </c:pt>
                <c:pt idx="5">
                  <c:v>4.9045824192571121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A-AF47-BC15-9DF9AFE2CF1E}"/>
            </c:ext>
          </c:extLst>
        </c:ser>
        <c:ser>
          <c:idx val="2"/>
          <c:order val="2"/>
          <c:tx>
            <c:strRef>
              <c:f>summary!$L$44</c:f>
              <c:strCache>
                <c:ptCount val="1"/>
                <c:pt idx="0">
                  <c:v>{150}</c:v>
                </c:pt>
              </c:strCache>
            </c:strRef>
          </c:tx>
          <c:spPr>
            <a:ln w="25400">
              <a:prstDash val="sysDash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summary!$M$74:$R$74</c:f>
              <c:numCache>
                <c:formatCode>0.00</c:formatCode>
                <c:ptCount val="6"/>
                <c:pt idx="0">
                  <c:v>1.3718581682805524</c:v>
                </c:pt>
                <c:pt idx="1">
                  <c:v>1.4949747194061678</c:v>
                </c:pt>
                <c:pt idx="2">
                  <c:v>1.6867636361711278</c:v>
                </c:pt>
                <c:pt idx="3">
                  <c:v>1.853831327876001</c:v>
                </c:pt>
                <c:pt idx="4">
                  <c:v>3.1966951874019349</c:v>
                </c:pt>
                <c:pt idx="5">
                  <c:v>4.9678962319767086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A-AF47-BC15-9DF9AFE2CF1E}"/>
            </c:ext>
          </c:extLst>
        </c:ser>
        <c:ser>
          <c:idx val="3"/>
          <c:order val="3"/>
          <c:tx>
            <c:strRef>
              <c:f>summary!$L$45</c:f>
              <c:strCache>
                <c:ptCount val="1"/>
                <c:pt idx="0">
                  <c:v>{190}</c:v>
                </c:pt>
              </c:strCache>
            </c:strRef>
          </c:tx>
          <c:spPr>
            <a:ln w="25400">
              <a:prstDash val="dash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summary!$M$75:$R$75</c:f>
              <c:numCache>
                <c:formatCode>0.00</c:formatCode>
                <c:ptCount val="6"/>
                <c:pt idx="0">
                  <c:v>1.4910252233166632</c:v>
                </c:pt>
                <c:pt idx="1">
                  <c:v>1.547438841003334</c:v>
                </c:pt>
                <c:pt idx="2">
                  <c:v>1.7298639174083323</c:v>
                </c:pt>
                <c:pt idx="3">
                  <c:v>1.7760461216332115</c:v>
                </c:pt>
                <c:pt idx="4">
                  <c:v>3.1284087130017122</c:v>
                </c:pt>
                <c:pt idx="5">
                  <c:v>4.9998964385095537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A-AF47-BC15-9DF9AFE2CF1E}"/>
            </c:ext>
          </c:extLst>
        </c:ser>
        <c:ser>
          <c:idx val="4"/>
          <c:order val="4"/>
          <c:tx>
            <c:strRef>
              <c:f>summary!$L$46</c:f>
              <c:strCache>
                <c:ptCount val="1"/>
                <c:pt idx="0">
                  <c:v>{100}</c:v>
                </c:pt>
              </c:strCache>
            </c:strRef>
          </c:tx>
          <c:spPr>
            <a:ln w="25400">
              <a:prstDash val="dashDot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summary!$M$76:$R$76</c:f>
              <c:numCache>
                <c:formatCode>0.00</c:formatCode>
                <c:ptCount val="6"/>
                <c:pt idx="0">
                  <c:v>1.4710324200061364</c:v>
                </c:pt>
                <c:pt idx="1">
                  <c:v>1.4856511459398227</c:v>
                </c:pt>
                <c:pt idx="2">
                  <c:v>1.6911314887609048</c:v>
                </c:pt>
                <c:pt idx="3">
                  <c:v>1.808506078989484</c:v>
                </c:pt>
                <c:pt idx="4">
                  <c:v>3.1282529798349499</c:v>
                </c:pt>
                <c:pt idx="5">
                  <c:v>5.0280277923367809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DA-AF47-BC15-9DF9AFE2CF1E}"/>
            </c:ext>
          </c:extLst>
        </c:ser>
        <c:ser>
          <c:idx val="5"/>
          <c:order val="5"/>
          <c:tx>
            <c:strRef>
              <c:f>summary!$L$47</c:f>
              <c:strCache>
                <c:ptCount val="1"/>
                <c:pt idx="0">
                  <c:v>{110}</c:v>
                </c:pt>
              </c:strCache>
            </c:strRef>
          </c:tx>
          <c:spPr>
            <a:ln w="25400">
              <a:prstDash val="lgDash"/>
            </a:ln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summary!$M$77:$R$77</c:f>
              <c:numCache>
                <c:formatCode>0.00</c:formatCode>
                <c:ptCount val="6"/>
                <c:pt idx="0">
                  <c:v>1.1585881257158659</c:v>
                </c:pt>
                <c:pt idx="1">
                  <c:v>1.2764058514230894</c:v>
                </c:pt>
                <c:pt idx="2">
                  <c:v>1.4371460178335993</c:v>
                </c:pt>
                <c:pt idx="3">
                  <c:v>1.5867656309211764</c:v>
                </c:pt>
                <c:pt idx="4">
                  <c:v>2.8326968752859978</c:v>
                </c:pt>
                <c:pt idx="5">
                  <c:v>4.6067631578378423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DA-AF47-BC15-9DF9AFE2CF1E}"/>
            </c:ext>
          </c:extLst>
        </c:ser>
        <c:ser>
          <c:idx val="6"/>
          <c:order val="6"/>
          <c:tx>
            <c:strRef>
              <c:f>summary!$L$48</c:f>
              <c:strCache>
                <c:ptCount val="1"/>
                <c:pt idx="0">
                  <c:v>{111}</c:v>
                </c:pt>
              </c:strCache>
            </c:strRef>
          </c:tx>
          <c:spPr>
            <a:ln w="25400"/>
            <a:effectLst/>
          </c:spPr>
          <c:marker>
            <c:spPr>
              <a:effectLst/>
            </c:spPr>
          </c:marker>
          <c:xVal>
            <c:numRef>
              <c:f>summary!$C$4:$C$9</c:f>
              <c:numCache>
                <c:formatCode>0.00</c:formatCode>
                <c:ptCount val="6"/>
                <c:pt idx="0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summary!$M$78:$R$78</c:f>
              <c:numCache>
                <c:formatCode>0.00</c:formatCode>
                <c:ptCount val="6"/>
                <c:pt idx="0">
                  <c:v>1.4301299924612976</c:v>
                </c:pt>
                <c:pt idx="1">
                  <c:v>1.5499752456935476</c:v>
                </c:pt>
                <c:pt idx="2">
                  <c:v>1.7373124077172879</c:v>
                </c:pt>
                <c:pt idx="3">
                  <c:v>1.8759862010967201</c:v>
                </c:pt>
                <c:pt idx="4">
                  <c:v>3.0972935448899084</c:v>
                </c:pt>
                <c:pt idx="5">
                  <c:v>5.0108852605579326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DA-AF47-BC15-9DF9AFE2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84720"/>
        <c:axId val="519688752"/>
      </c:scatterChart>
      <c:valAx>
        <c:axId val="5196847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 Concentration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19688752"/>
        <c:crosses val="autoZero"/>
        <c:crossBetween val="midCat"/>
      </c:valAx>
      <c:valAx>
        <c:axId val="51968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Surface Energy (</a:t>
                </a:r>
                <a:r>
                  <a:rPr lang="mr-IN"/>
                  <a:t>(J/m</a:t>
                </a:r>
                <a:r>
                  <a:rPr lang="mr-IN" baseline="30000">
                    <a:latin typeface="+mj-lt"/>
                  </a:rPr>
                  <a:t>2</a:t>
                </a:r>
                <a:r>
                  <a:rPr lang="mr-IN"/>
                  <a:t>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196847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472222222222199"/>
          <c:y val="6.1690999562554701E-2"/>
          <c:w val="0.18583333333333299"/>
          <c:h val="0.4360430336832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43121172353456E-2"/>
                  <c:y val="-0.35338764946048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5534339457567801E-2"/>
                  <c:y val="-0.3436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summary!$AN$54:$AS$54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summary!$S$127:$X$127</c:f>
              <c:numCache>
                <c:formatCode>General</c:formatCode>
                <c:ptCount val="6"/>
                <c:pt idx="0">
                  <c:v>1</c:v>
                </c:pt>
                <c:pt idx="1">
                  <c:v>0.824475014880935</c:v>
                </c:pt>
                <c:pt idx="2">
                  <c:v>0.70072195199376286</c:v>
                </c:pt>
                <c:pt idx="3">
                  <c:v>0.48450334270477596</c:v>
                </c:pt>
                <c:pt idx="4">
                  <c:v>0.34680874900121555</c:v>
                </c:pt>
                <c:pt idx="5">
                  <c:v>0.44668307613548169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37-9945-B3EB-5CC2BAED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304"/>
        <c:axId val="519720784"/>
      </c:scatterChart>
      <c:valAx>
        <c:axId val="5197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0784"/>
        <c:crosses val="autoZero"/>
        <c:crossBetween val="midCat"/>
      </c:valAx>
      <c:valAx>
        <c:axId val="51972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summary!$AN$85:$AS$85</c:f>
              <c:numCache>
                <c:formatCode>General</c:formatCode>
                <c:ptCount val="6"/>
                <c:pt idx="0">
                  <c:v>0.39439999999999997</c:v>
                </c:pt>
                <c:pt idx="1">
                  <c:v>0.46575552169835016</c:v>
                </c:pt>
                <c:pt idx="2">
                  <c:v>0.54315864275809367</c:v>
                </c:pt>
                <c:pt idx="3">
                  <c:v>0.6229109640831757</c:v>
                </c:pt>
                <c:pt idx="4">
                  <c:v>1.1335940012191186</c:v>
                </c:pt>
                <c:pt idx="5">
                  <c:v>1.6335000000000002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5-F442-BA95-1C284E081F2C}"/>
            </c:ext>
          </c:extLst>
        </c:ser>
        <c:ser>
          <c:idx val="1"/>
          <c:order val="1"/>
          <c:tx>
            <c:v>800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summary!$AN$86:$AS$86</c:f>
              <c:numCache>
                <c:formatCode>General</c:formatCode>
                <c:ptCount val="6"/>
                <c:pt idx="0">
                  <c:v>0.49439999999999995</c:v>
                </c:pt>
                <c:pt idx="1">
                  <c:v>0.52877743550595668</c:v>
                </c:pt>
                <c:pt idx="2">
                  <c:v>0.58531082003001744</c:v>
                </c:pt>
                <c:pt idx="3">
                  <c:v>0.65251109788466155</c:v>
                </c:pt>
                <c:pt idx="4">
                  <c:v>1.1393767016999434</c:v>
                </c:pt>
                <c:pt idx="5">
                  <c:v>1.6353315638888737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5-F442-BA95-1C284E081F2C}"/>
            </c:ext>
          </c:extLst>
        </c:ser>
        <c:ser>
          <c:idx val="2"/>
          <c:order val="2"/>
          <c:tx>
            <c:v>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summary!$AN$87:$AS$87</c:f>
              <c:numCache>
                <c:formatCode>General</c:formatCode>
                <c:ptCount val="6"/>
                <c:pt idx="0">
                  <c:v>0.59440000000000004</c:v>
                </c:pt>
                <c:pt idx="1">
                  <c:v>0.59179934931356315</c:v>
                </c:pt>
                <c:pt idx="2">
                  <c:v>0.62746299730194122</c:v>
                </c:pt>
                <c:pt idx="3">
                  <c:v>0.6821112316861474</c:v>
                </c:pt>
                <c:pt idx="4">
                  <c:v>1.1451594021807683</c:v>
                </c:pt>
                <c:pt idx="5">
                  <c:v>1.637163127777747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45-F442-BA95-1C284E081F2C}"/>
            </c:ext>
          </c:extLst>
        </c:ser>
        <c:ser>
          <c:idx val="3"/>
          <c:order val="3"/>
          <c:tx>
            <c:v>1200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summary!$AN$88:$AS$88</c:f>
              <c:numCache>
                <c:formatCode>General</c:formatCode>
                <c:ptCount val="6"/>
                <c:pt idx="0">
                  <c:v>0.69439999999999991</c:v>
                </c:pt>
                <c:pt idx="1">
                  <c:v>0.65482126312116973</c:v>
                </c:pt>
                <c:pt idx="2">
                  <c:v>0.66961517457386499</c:v>
                </c:pt>
                <c:pt idx="3">
                  <c:v>0.71171136548763325</c:v>
                </c:pt>
                <c:pt idx="4">
                  <c:v>1.1509421026615931</c:v>
                </c:pt>
                <c:pt idx="5">
                  <c:v>1.6389946916666205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45-F442-BA95-1C284E081F2C}"/>
            </c:ext>
          </c:extLst>
        </c:ser>
        <c:ser>
          <c:idx val="4"/>
          <c:order val="4"/>
          <c:tx>
            <c:v>400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summary!$AN$84:$AS$84</c:f>
              <c:numCache>
                <c:formatCode>General</c:formatCode>
                <c:ptCount val="6"/>
                <c:pt idx="0">
                  <c:v>0.2944</c:v>
                </c:pt>
                <c:pt idx="1">
                  <c:v>0.40273360789074364</c:v>
                </c:pt>
                <c:pt idx="2">
                  <c:v>0.50100646548616989</c:v>
                </c:pt>
                <c:pt idx="3">
                  <c:v>0.59331083028168985</c:v>
                </c:pt>
                <c:pt idx="4">
                  <c:v>1.1278113007382937</c:v>
                </c:pt>
                <c:pt idx="5">
                  <c:v>1.6316684361111267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45-F442-BA95-1C284E08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6032"/>
        <c:axId val="519759792"/>
      </c:scatterChart>
      <c:valAx>
        <c:axId val="51975603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Mo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519759792"/>
        <c:crosses val="autoZero"/>
        <c:crossBetween val="midCat"/>
      </c:valAx>
      <c:valAx>
        <c:axId val="51975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Grain Boundary Energy (J/m2 )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519756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635585279669395"/>
          <c:y val="0.59622010790317903"/>
          <c:w val="0.163194444444444"/>
          <c:h val="0.205707932341790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summary!$E$40</c:f>
              <c:strCache>
                <c:ptCount val="1"/>
                <c:pt idx="0">
                  <c:v>{120}</c:v>
                </c:pt>
              </c:strCache>
            </c:strRef>
          </c:tx>
          <c:marker>
            <c:spPr>
              <a:effectLst/>
            </c:spPr>
          </c:marker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summary!$F$40:$I$40</c:f>
              <c:numCache>
                <c:formatCode>0.00</c:formatCode>
                <c:ptCount val="4"/>
                <c:pt idx="0">
                  <c:v>0.34005727712181116</c:v>
                </c:pt>
                <c:pt idx="1">
                  <c:v>0.47340373055181895</c:v>
                </c:pt>
                <c:pt idx="2">
                  <c:v>0.55396158966096887</c:v>
                </c:pt>
                <c:pt idx="3">
                  <c:v>0.69679869063521238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5-6040-B84D-3837A3A6B7C5}"/>
            </c:ext>
          </c:extLst>
        </c:ser>
        <c:ser>
          <c:idx val="1"/>
          <c:order val="1"/>
          <c:tx>
            <c:strRef>
              <c:f>summary!$E$41</c:f>
              <c:strCache>
                <c:ptCount val="1"/>
                <c:pt idx="0">
                  <c:v>{130}</c:v>
                </c:pt>
              </c:strCache>
            </c:strRef>
          </c:tx>
          <c:marker>
            <c:spPr>
              <a:effectLst/>
            </c:spPr>
          </c:marker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summary!$F$41:$I$41</c:f>
              <c:numCache>
                <c:formatCode>0.00</c:formatCode>
                <c:ptCount val="4"/>
                <c:pt idx="0">
                  <c:v>0.34954032574035304</c:v>
                </c:pt>
                <c:pt idx="1">
                  <c:v>0.41052044705238649</c:v>
                </c:pt>
                <c:pt idx="2">
                  <c:v>0.42078741710482098</c:v>
                </c:pt>
                <c:pt idx="3">
                  <c:v>0.62755308502241136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5-6040-B84D-3837A3A6B7C5}"/>
            </c:ext>
          </c:extLst>
        </c:ser>
        <c:ser>
          <c:idx val="2"/>
          <c:order val="2"/>
          <c:tx>
            <c:strRef>
              <c:f>summary!$E$42</c:f>
              <c:strCache>
                <c:ptCount val="1"/>
                <c:pt idx="0">
                  <c:v>{150}</c:v>
                </c:pt>
              </c:strCache>
            </c:strRef>
          </c:tx>
          <c:marker>
            <c:spPr>
              <a:effectLst/>
            </c:spPr>
          </c:marker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summary!$F$42:$I$42</c:f>
              <c:numCache>
                <c:formatCode>0.00</c:formatCode>
                <c:ptCount val="4"/>
                <c:pt idx="0">
                  <c:v>0.43292370677381642</c:v>
                </c:pt>
                <c:pt idx="1">
                  <c:v>0.49137460359161345</c:v>
                </c:pt>
                <c:pt idx="2">
                  <c:v>0.54043955504228935</c:v>
                </c:pt>
                <c:pt idx="3">
                  <c:v>0.66243638221824941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5-6040-B84D-3837A3A6B7C5}"/>
            </c:ext>
          </c:extLst>
        </c:ser>
        <c:ser>
          <c:idx val="3"/>
          <c:order val="3"/>
          <c:tx>
            <c:strRef>
              <c:f>summary!$E$43</c:f>
              <c:strCache>
                <c:ptCount val="1"/>
                <c:pt idx="0">
                  <c:v>{190}</c:v>
                </c:pt>
              </c:strCache>
            </c:strRef>
          </c:tx>
          <c:marker>
            <c:spPr>
              <a:effectLst/>
            </c:spPr>
          </c:marker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summary!$F$43:$I$43</c:f>
              <c:numCache>
                <c:formatCode>0.00</c:formatCode>
                <c:ptCount val="4"/>
                <c:pt idx="0">
                  <c:v>0.42997002822320596</c:v>
                </c:pt>
                <c:pt idx="1">
                  <c:v>0.47023730631744165</c:v>
                </c:pt>
                <c:pt idx="2">
                  <c:v>0.47237106811470675</c:v>
                </c:pt>
                <c:pt idx="3">
                  <c:v>0.63674079936032568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85-6040-B84D-3837A3A6B7C5}"/>
            </c:ext>
          </c:extLst>
        </c:ser>
        <c:ser>
          <c:idx val="4"/>
          <c:order val="4"/>
          <c:tx>
            <c:strRef>
              <c:f>summary!$E$44</c:f>
              <c:strCache>
                <c:ptCount val="1"/>
                <c:pt idx="0">
                  <c:v>{120/100}</c:v>
                </c:pt>
              </c:strCache>
            </c:strRef>
          </c:tx>
          <c:marker>
            <c:spPr>
              <a:effectLst/>
            </c:spPr>
          </c:marker>
          <c:xVal>
            <c:numRef>
              <c:f>summary!$F$39:$I$39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summary!$F$44:$I$44</c:f>
              <c:numCache>
                <c:formatCode>0.00</c:formatCode>
                <c:ptCount val="4"/>
                <c:pt idx="0">
                  <c:v>0.47790012944782062</c:v>
                </c:pt>
                <c:pt idx="1">
                  <c:v>0.56173107564390401</c:v>
                </c:pt>
                <c:pt idx="2">
                  <c:v>0.64092956228742481</c:v>
                </c:pt>
                <c:pt idx="3">
                  <c:v>0.89975198743823692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85-6040-B84D-3837A3A6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1440"/>
        <c:axId val="519821808"/>
      </c:scatterChart>
      <c:valAx>
        <c:axId val="519801440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19821808"/>
        <c:crosses val="autoZero"/>
        <c:crossBetween val="midCat"/>
      </c:valAx>
      <c:valAx>
        <c:axId val="519821808"/>
        <c:scaling>
          <c:orientation val="minMax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19801440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5300465896053498"/>
          <c:y val="6.7426040494938097E-2"/>
          <c:w val="0.57315288713910795"/>
          <c:h val="0.168688484251968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pPr>
              <a:effectLst/>
            </c:spPr>
          </c:marker>
          <c:xVal>
            <c:numRef>
              <c:f>summary!$AC$71:$AC$82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summary!$AA$71:$AA$82</c:f>
              <c:numCache>
                <c:formatCode>0.00</c:formatCode>
                <c:ptCount val="12"/>
                <c:pt idx="0">
                  <c:v>0</c:v>
                </c:pt>
                <c:pt idx="1">
                  <c:v>0.63674079936032568</c:v>
                </c:pt>
                <c:pt idx="2">
                  <c:v>0.63590245384727329</c:v>
                </c:pt>
                <c:pt idx="3">
                  <c:v>0.66243638221824941</c:v>
                </c:pt>
                <c:pt idx="4">
                  <c:v>0.72025611606285256</c:v>
                </c:pt>
                <c:pt idx="5">
                  <c:v>0.62755308502241136</c:v>
                </c:pt>
                <c:pt idx="6">
                  <c:v>0.7252357512069928</c:v>
                </c:pt>
                <c:pt idx="7">
                  <c:v>0.69679869063521238</c:v>
                </c:pt>
                <c:pt idx="8">
                  <c:v>0.87732693689562891</c:v>
                </c:pt>
                <c:pt idx="9">
                  <c:v>0.79655671034304909</c:v>
                </c:pt>
                <c:pt idx="10">
                  <c:v>0.73003258223170586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D-2347-9A30-23565BCE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76928"/>
        <c:axId val="538180688"/>
      </c:scatterChart>
      <c:valAx>
        <c:axId val="53817692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Misorientation angle (deg)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38180688"/>
        <c:crosses val="autoZero"/>
        <c:crossBetween val="midCat"/>
        <c:majorUnit val="10"/>
      </c:valAx>
      <c:valAx>
        <c:axId val="53818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Grain Boundary Energy (J/m</a:t>
                </a:r>
                <a:r>
                  <a:rPr lang="en-US" baseline="30000">
                    <a:latin typeface="+mj-lt"/>
                  </a:rPr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381769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summary!$AV$85:$BA$85</c:f>
              <c:numCache>
                <c:formatCode>General</c:formatCode>
                <c:ptCount val="6"/>
                <c:pt idx="0">
                  <c:v>0.39439999999999997</c:v>
                </c:pt>
                <c:pt idx="1">
                  <c:v>0.46575552169835016</c:v>
                </c:pt>
                <c:pt idx="2">
                  <c:v>0.54315864275809367</c:v>
                </c:pt>
                <c:pt idx="3">
                  <c:v>0.6229109640831757</c:v>
                </c:pt>
                <c:pt idx="4">
                  <c:v>1.1335940012191186</c:v>
                </c:pt>
                <c:pt idx="5">
                  <c:v>1.6335000000000002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8-9E4E-B2B3-F3D0F6322A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summary!$AV$86:$BA$86</c:f>
              <c:numCache>
                <c:formatCode>General</c:formatCode>
                <c:ptCount val="6"/>
                <c:pt idx="0">
                  <c:v>0.42759999999999998</c:v>
                </c:pt>
                <c:pt idx="1">
                  <c:v>0.48667879708247552</c:v>
                </c:pt>
                <c:pt idx="2">
                  <c:v>0.55715316561237238</c:v>
                </c:pt>
                <c:pt idx="3">
                  <c:v>0.63273820850526896</c:v>
                </c:pt>
                <c:pt idx="4">
                  <c:v>1.1355138577787525</c:v>
                </c:pt>
                <c:pt idx="5">
                  <c:v>1.6341080792111062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8-9E4E-B2B3-F3D0F6322A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summary!$AV$87:$BA$87</c:f>
              <c:numCache>
                <c:formatCode>General</c:formatCode>
                <c:ptCount val="6"/>
                <c:pt idx="0">
                  <c:v>0.5272</c:v>
                </c:pt>
                <c:pt idx="1">
                  <c:v>0.54944862323485166</c:v>
                </c:pt>
                <c:pt idx="2">
                  <c:v>0.59913673417520852</c:v>
                </c:pt>
                <c:pt idx="3">
                  <c:v>0.66221994177154886</c:v>
                </c:pt>
                <c:pt idx="4">
                  <c:v>1.1412734274576539</c:v>
                </c:pt>
                <c:pt idx="5">
                  <c:v>1.635932316844424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8-9E4E-B2B3-F3D0F6322A4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summary!$AV$88:$BA$88</c:f>
              <c:numCache>
                <c:formatCode>General</c:formatCode>
                <c:ptCount val="6"/>
                <c:pt idx="0">
                  <c:v>0.69320000000000004</c:v>
                </c:pt>
                <c:pt idx="1">
                  <c:v>0.65406500015547842</c:v>
                </c:pt>
                <c:pt idx="2">
                  <c:v>0.66910934844660197</c:v>
                </c:pt>
                <c:pt idx="3">
                  <c:v>0.71135616388201539</c:v>
                </c:pt>
                <c:pt idx="4">
                  <c:v>1.1508727102558234</c:v>
                </c:pt>
                <c:pt idx="5">
                  <c:v>1.6389727128999541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28-9E4E-B2B3-F3D0F6322A4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summary!$AN$83:$AS$83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summary!$AV$84:$BA$84</c:f>
              <c:numCache>
                <c:formatCode>General</c:formatCode>
                <c:ptCount val="6"/>
                <c:pt idx="0">
                  <c:v>0.42759999999999998</c:v>
                </c:pt>
                <c:pt idx="1">
                  <c:v>0.48667879708247552</c:v>
                </c:pt>
                <c:pt idx="2">
                  <c:v>0.55715316561237238</c:v>
                </c:pt>
                <c:pt idx="3">
                  <c:v>0.63273820850526896</c:v>
                </c:pt>
                <c:pt idx="4">
                  <c:v>1.1355138577787525</c:v>
                </c:pt>
                <c:pt idx="5">
                  <c:v>1.6341080792111062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28-9E4E-B2B3-F3D0F632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6032"/>
        <c:axId val="519759792"/>
      </c:scatterChart>
      <c:valAx>
        <c:axId val="51975603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Mo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519759792"/>
        <c:crosses val="autoZero"/>
        <c:crossBetween val="midCat"/>
      </c:valAx>
      <c:valAx>
        <c:axId val="51975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Grain Boundary Energy (J/m2 )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519756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635585279669395"/>
          <c:y val="0.59622010790317903"/>
          <c:w val="0.163194444444444"/>
          <c:h val="0.205707932341790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summary!$S$112:$X$112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summary!$S$113:$X$113</c:f>
              <c:numCache>
                <c:formatCode>General</c:formatCode>
                <c:ptCount val="6"/>
                <c:pt idx="0">
                  <c:v>1.0679000000000001</c:v>
                </c:pt>
                <c:pt idx="1">
                  <c:v>1.2572676356746233</c:v>
                </c:pt>
                <c:pt idx="2">
                  <c:v>1.4378174248319626</c:v>
                </c:pt>
                <c:pt idx="3">
                  <c:v>1.6190214313611877</c:v>
                </c:pt>
                <c:pt idx="4">
                  <c:v>2.979989944781591</c:v>
                </c:pt>
                <c:pt idx="5">
                  <c:v>4.7792826178003764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E-F34E-BA28-F8A29E59F6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summary!$S$112:$X$112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summary!$S$114:$X$114</c:f>
              <c:numCache>
                <c:formatCode>General</c:formatCode>
                <c:ptCount val="6"/>
                <c:pt idx="0">
                  <c:v>1.1427</c:v>
                </c:pt>
                <c:pt idx="1">
                  <c:v>1.3239136979683268</c:v>
                </c:pt>
                <c:pt idx="2">
                  <c:v>1.4980881755355293</c:v>
                </c:pt>
                <c:pt idx="3">
                  <c:v>1.6741942302950603</c:v>
                </c:pt>
                <c:pt idx="4">
                  <c:v>3.0166703624698679</c:v>
                </c:pt>
                <c:pt idx="5">
                  <c:v>4.8068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E-F34E-BA28-F8A29E59F6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summary!$S$112:$X$112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summary!$S$115:$X$115</c:f>
              <c:numCache>
                <c:formatCode>General</c:formatCode>
                <c:ptCount val="6"/>
                <c:pt idx="0">
                  <c:v>1.2175</c:v>
                </c:pt>
                <c:pt idx="1">
                  <c:v>1.3905597602620303</c:v>
                </c:pt>
                <c:pt idx="2">
                  <c:v>1.558358926239096</c:v>
                </c:pt>
                <c:pt idx="3">
                  <c:v>1.7293670292289329</c:v>
                </c:pt>
                <c:pt idx="4">
                  <c:v>3.0533507801581448</c:v>
                </c:pt>
                <c:pt idx="5">
                  <c:v>4.8343173821996235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E-F34E-BA28-F8A29E59F6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summary!$S$112:$X$112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summary!$S$116:$X$116</c:f>
              <c:numCache>
                <c:formatCode>General</c:formatCode>
                <c:ptCount val="6"/>
                <c:pt idx="0">
                  <c:v>1.2923</c:v>
                </c:pt>
                <c:pt idx="1">
                  <c:v>1.4572058225557336</c:v>
                </c:pt>
                <c:pt idx="2">
                  <c:v>1.6186296769426629</c:v>
                </c:pt>
                <c:pt idx="3">
                  <c:v>1.7845398281628055</c:v>
                </c:pt>
                <c:pt idx="4">
                  <c:v>3.0900311978464217</c:v>
                </c:pt>
                <c:pt idx="5">
                  <c:v>4.8618347643992479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E-F34E-BA28-F8A29E59F6A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summary!$S$112:$X$112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0.11542192046556742</c:v>
                </c:pt>
                <c:pt idx="2">
                  <c:v>0.2159709618874773</c:v>
                </c:pt>
                <c:pt idx="3">
                  <c:v>0.30434782608695649</c:v>
                </c:pt>
                <c:pt idx="4">
                  <c:v>0.71257485029940115</c:v>
                </c:pt>
                <c:pt idx="5">
                  <c:v>1</c:v>
                </c:pt>
              </c:numCache>
            </c:numRef>
          </c:xVal>
          <c:yVal>
            <c:numRef>
              <c:f>summary!$S$117:$X$117</c:f>
              <c:numCache>
                <c:formatCode>General</c:formatCode>
                <c:ptCount val="6"/>
                <c:pt idx="0">
                  <c:v>1.3671</c:v>
                </c:pt>
                <c:pt idx="1">
                  <c:v>1.5238518848494369</c:v>
                </c:pt>
                <c:pt idx="2">
                  <c:v>1.6789004276462296</c:v>
                </c:pt>
                <c:pt idx="3">
                  <c:v>1.8397126270966782</c:v>
                </c:pt>
                <c:pt idx="4">
                  <c:v>3.1267116155346986</c:v>
                </c:pt>
                <c:pt idx="5">
                  <c:v>4.8893521465988714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E-F34E-BA28-F8A29E59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7407"/>
        <c:axId val="580074063"/>
      </c:scatterChart>
      <c:valAx>
        <c:axId val="579947407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74063"/>
        <c:crosses val="autoZero"/>
        <c:crossBetween val="midCat"/>
      </c:valAx>
      <c:valAx>
        <c:axId val="580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13" Type="http://schemas.openxmlformats.org/officeDocument/2006/relationships/chart" Target="../charts/chart90.xml"/><Relationship Id="rId18" Type="http://schemas.openxmlformats.org/officeDocument/2006/relationships/chart" Target="../charts/chart95.xml"/><Relationship Id="rId3" Type="http://schemas.openxmlformats.org/officeDocument/2006/relationships/chart" Target="../charts/chart80.xml"/><Relationship Id="rId21" Type="http://schemas.openxmlformats.org/officeDocument/2006/relationships/chart" Target="../charts/chart98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17" Type="http://schemas.openxmlformats.org/officeDocument/2006/relationships/chart" Target="../charts/chart94.xml"/><Relationship Id="rId2" Type="http://schemas.openxmlformats.org/officeDocument/2006/relationships/chart" Target="../charts/chart79.xml"/><Relationship Id="rId16" Type="http://schemas.openxmlformats.org/officeDocument/2006/relationships/chart" Target="../charts/chart93.xml"/><Relationship Id="rId20" Type="http://schemas.openxmlformats.org/officeDocument/2006/relationships/chart" Target="../charts/chart97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5" Type="http://schemas.openxmlformats.org/officeDocument/2006/relationships/chart" Target="../charts/chart92.xml"/><Relationship Id="rId10" Type="http://schemas.openxmlformats.org/officeDocument/2006/relationships/chart" Target="../charts/chart87.xml"/><Relationship Id="rId19" Type="http://schemas.openxmlformats.org/officeDocument/2006/relationships/chart" Target="../charts/chart96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Relationship Id="rId14" Type="http://schemas.openxmlformats.org/officeDocument/2006/relationships/chart" Target="../charts/chart91.xml"/><Relationship Id="rId22" Type="http://schemas.openxmlformats.org/officeDocument/2006/relationships/chart" Target="../charts/chart9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21" Type="http://schemas.openxmlformats.org/officeDocument/2006/relationships/chart" Target="../charts/chart38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20" Type="http://schemas.openxmlformats.org/officeDocument/2006/relationships/chart" Target="../charts/chart37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Relationship Id="rId22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4</xdr:row>
      <xdr:rowOff>12700</xdr:rowOff>
    </xdr:from>
    <xdr:to>
      <xdr:col>19</xdr:col>
      <xdr:colOff>215900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755650</xdr:colOff>
      <xdr:row>46</xdr:row>
      <xdr:rowOff>88900</xdr:rowOff>
    </xdr:from>
    <xdr:to>
      <xdr:col>28</xdr:col>
      <xdr:colOff>374650</xdr:colOff>
      <xdr:row>60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685800</xdr:colOff>
      <xdr:row>4</xdr:row>
      <xdr:rowOff>12700</xdr:rowOff>
    </xdr:from>
    <xdr:to>
      <xdr:col>25</xdr:col>
      <xdr:colOff>304800</xdr:colOff>
      <xdr:row>18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50</xdr:row>
      <xdr:rowOff>0</xdr:rowOff>
    </xdr:from>
    <xdr:to>
      <xdr:col>36</xdr:col>
      <xdr:colOff>444500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215900</xdr:colOff>
      <xdr:row>0</xdr:row>
      <xdr:rowOff>38100</xdr:rowOff>
    </xdr:from>
    <xdr:to>
      <xdr:col>22</xdr:col>
      <xdr:colOff>139700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406400</xdr:colOff>
      <xdr:row>0</xdr:row>
      <xdr:rowOff>38100</xdr:rowOff>
    </xdr:from>
    <xdr:to>
      <xdr:col>27</xdr:col>
      <xdr:colOff>330200</xdr:colOff>
      <xdr:row>11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685800</xdr:colOff>
      <xdr:row>54</xdr:row>
      <xdr:rowOff>12700</xdr:rowOff>
    </xdr:from>
    <xdr:to>
      <xdr:col>27</xdr:col>
      <xdr:colOff>304800</xdr:colOff>
      <xdr:row>68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60</xdr:row>
      <xdr:rowOff>152400</xdr:rowOff>
    </xdr:from>
    <xdr:to>
      <xdr:col>6</xdr:col>
      <xdr:colOff>215900</xdr:colOff>
      <xdr:row>75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61</xdr:row>
      <xdr:rowOff>12700</xdr:rowOff>
    </xdr:from>
    <xdr:to>
      <xdr:col>12</xdr:col>
      <xdr:colOff>381000</xdr:colOff>
      <xdr:row>75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19</xdr:row>
      <xdr:rowOff>165100</xdr:rowOff>
    </xdr:from>
    <xdr:to>
      <xdr:col>11</xdr:col>
      <xdr:colOff>635000</xdr:colOff>
      <xdr:row>34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19</xdr:row>
      <xdr:rowOff>12700</xdr:rowOff>
    </xdr:from>
    <xdr:to>
      <xdr:col>5</xdr:col>
      <xdr:colOff>787400</xdr:colOff>
      <xdr:row>33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812800</xdr:colOff>
      <xdr:row>61</xdr:row>
      <xdr:rowOff>101600</xdr:rowOff>
    </xdr:from>
    <xdr:to>
      <xdr:col>18</xdr:col>
      <xdr:colOff>431800</xdr:colOff>
      <xdr:row>75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101600</xdr:colOff>
      <xdr:row>19</xdr:row>
      <xdr:rowOff>76200</xdr:rowOff>
    </xdr:from>
    <xdr:to>
      <xdr:col>17</xdr:col>
      <xdr:colOff>546100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660400</xdr:colOff>
      <xdr:row>61</xdr:row>
      <xdr:rowOff>152400</xdr:rowOff>
    </xdr:from>
    <xdr:to>
      <xdr:col>24</xdr:col>
      <xdr:colOff>279400</xdr:colOff>
      <xdr:row>76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698500</xdr:colOff>
      <xdr:row>19</xdr:row>
      <xdr:rowOff>63500</xdr:rowOff>
    </xdr:from>
    <xdr:to>
      <xdr:col>23</xdr:col>
      <xdr:colOff>317500</xdr:colOff>
      <xdr:row>33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774700</xdr:colOff>
      <xdr:row>19</xdr:row>
      <xdr:rowOff>101600</xdr:rowOff>
    </xdr:from>
    <xdr:to>
      <xdr:col>29</xdr:col>
      <xdr:colOff>393700</xdr:colOff>
      <xdr:row>33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622300</xdr:colOff>
      <xdr:row>62</xdr:row>
      <xdr:rowOff>0</xdr:rowOff>
    </xdr:from>
    <xdr:to>
      <xdr:col>30</xdr:col>
      <xdr:colOff>241300</xdr:colOff>
      <xdr:row>76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800100</xdr:colOff>
      <xdr:row>35</xdr:row>
      <xdr:rowOff>12700</xdr:rowOff>
    </xdr:from>
    <xdr:to>
      <xdr:col>29</xdr:col>
      <xdr:colOff>419100</xdr:colOff>
      <xdr:row>49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228600</xdr:colOff>
      <xdr:row>12</xdr:row>
      <xdr:rowOff>139700</xdr:rowOff>
    </xdr:from>
    <xdr:to>
      <xdr:col>35</xdr:col>
      <xdr:colOff>673100</xdr:colOff>
      <xdr:row>27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215900</xdr:colOff>
      <xdr:row>13</xdr:row>
      <xdr:rowOff>12700</xdr:rowOff>
    </xdr:from>
    <xdr:to>
      <xdr:col>41</xdr:col>
      <xdr:colOff>660400</xdr:colOff>
      <xdr:row>27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306212</xdr:colOff>
      <xdr:row>0</xdr:row>
      <xdr:rowOff>64911</xdr:rowOff>
    </xdr:from>
    <xdr:to>
      <xdr:col>23</xdr:col>
      <xdr:colOff>715434</xdr:colOff>
      <xdr:row>18</xdr:row>
      <xdr:rowOff>166511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115711</xdr:colOff>
      <xdr:row>43</xdr:row>
      <xdr:rowOff>0</xdr:rowOff>
    </xdr:from>
    <xdr:to>
      <xdr:col>24</xdr:col>
      <xdr:colOff>524934</xdr:colOff>
      <xdr:row>61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736600</xdr:colOff>
      <xdr:row>19</xdr:row>
      <xdr:rowOff>114300</xdr:rowOff>
    </xdr:from>
    <xdr:to>
      <xdr:col>30</xdr:col>
      <xdr:colOff>355600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406400</xdr:colOff>
      <xdr:row>37</xdr:row>
      <xdr:rowOff>165100</xdr:rowOff>
    </xdr:from>
    <xdr:to>
      <xdr:col>36</xdr:col>
      <xdr:colOff>25400</xdr:colOff>
      <xdr:row>55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381000</xdr:colOff>
      <xdr:row>57</xdr:row>
      <xdr:rowOff>39511</xdr:rowOff>
    </xdr:from>
    <xdr:to>
      <xdr:col>35</xdr:col>
      <xdr:colOff>825500</xdr:colOff>
      <xdr:row>75</xdr:row>
      <xdr:rowOff>39511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805744</xdr:colOff>
      <xdr:row>35</xdr:row>
      <xdr:rowOff>62089</xdr:rowOff>
    </xdr:from>
    <xdr:to>
      <xdr:col>10</xdr:col>
      <xdr:colOff>382410</xdr:colOff>
      <xdr:row>53</xdr:row>
      <xdr:rowOff>163689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606779</xdr:colOff>
      <xdr:row>14</xdr:row>
      <xdr:rowOff>141112</xdr:rowOff>
    </xdr:from>
    <xdr:to>
      <xdr:col>17</xdr:col>
      <xdr:colOff>218723</xdr:colOff>
      <xdr:row>32</xdr:row>
      <xdr:rowOff>141112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0</xdr:row>
      <xdr:rowOff>127001</xdr:rowOff>
    </xdr:from>
    <xdr:to>
      <xdr:col>29</xdr:col>
      <xdr:colOff>409222</xdr:colOff>
      <xdr:row>19</xdr:row>
      <xdr:rowOff>31045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550333</xdr:colOff>
      <xdr:row>0</xdr:row>
      <xdr:rowOff>126999</xdr:rowOff>
    </xdr:from>
    <xdr:to>
      <xdr:col>35</xdr:col>
      <xdr:colOff>127000</xdr:colOff>
      <xdr:row>19</xdr:row>
      <xdr:rowOff>31043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338666</xdr:colOff>
      <xdr:row>19</xdr:row>
      <xdr:rowOff>183442</xdr:rowOff>
    </xdr:from>
    <xdr:to>
      <xdr:col>42</xdr:col>
      <xdr:colOff>747889</xdr:colOff>
      <xdr:row>38</xdr:row>
      <xdr:rowOff>87487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457200</xdr:colOff>
      <xdr:row>19</xdr:row>
      <xdr:rowOff>101600</xdr:rowOff>
    </xdr:from>
    <xdr:to>
      <xdr:col>37</xdr:col>
      <xdr:colOff>76200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253999</xdr:colOff>
      <xdr:row>0</xdr:row>
      <xdr:rowOff>84667</xdr:rowOff>
    </xdr:from>
    <xdr:to>
      <xdr:col>42</xdr:col>
      <xdr:colOff>663222</xdr:colOff>
      <xdr:row>18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211667</xdr:colOff>
      <xdr:row>81</xdr:row>
      <xdr:rowOff>98778</xdr:rowOff>
    </xdr:from>
    <xdr:to>
      <xdr:col>15</xdr:col>
      <xdr:colOff>663224</xdr:colOff>
      <xdr:row>99</xdr:row>
      <xdr:rowOff>98778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101</xdr:row>
      <xdr:rowOff>0</xdr:rowOff>
    </xdr:from>
    <xdr:to>
      <xdr:col>15</xdr:col>
      <xdr:colOff>451557</xdr:colOff>
      <xdr:row>119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620889</xdr:colOff>
      <xdr:row>84</xdr:row>
      <xdr:rowOff>155221</xdr:rowOff>
    </xdr:from>
    <xdr:to>
      <xdr:col>24</xdr:col>
      <xdr:colOff>197556</xdr:colOff>
      <xdr:row>103</xdr:row>
      <xdr:rowOff>59266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155222</xdr:colOff>
      <xdr:row>62</xdr:row>
      <xdr:rowOff>155222</xdr:rowOff>
    </xdr:from>
    <xdr:to>
      <xdr:col>24</xdr:col>
      <xdr:colOff>564445</xdr:colOff>
      <xdr:row>81</xdr:row>
      <xdr:rowOff>59266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352777</xdr:colOff>
      <xdr:row>66</xdr:row>
      <xdr:rowOff>117122</xdr:rowOff>
    </xdr:from>
    <xdr:to>
      <xdr:col>44</xdr:col>
      <xdr:colOff>762000</xdr:colOff>
      <xdr:row>80</xdr:row>
      <xdr:rowOff>94545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508000</xdr:colOff>
      <xdr:row>19</xdr:row>
      <xdr:rowOff>155222</xdr:rowOff>
    </xdr:from>
    <xdr:to>
      <xdr:col>55</xdr:col>
      <xdr:colOff>160867</xdr:colOff>
      <xdr:row>47</xdr:row>
      <xdr:rowOff>110067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225777</xdr:colOff>
      <xdr:row>14</xdr:row>
      <xdr:rowOff>155222</xdr:rowOff>
    </xdr:from>
    <xdr:to>
      <xdr:col>9</xdr:col>
      <xdr:colOff>634999</xdr:colOff>
      <xdr:row>33</xdr:row>
      <xdr:rowOff>59267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0</xdr:colOff>
      <xdr:row>77</xdr:row>
      <xdr:rowOff>0</xdr:rowOff>
    </xdr:from>
    <xdr:to>
      <xdr:col>35</xdr:col>
      <xdr:colOff>444500</xdr:colOff>
      <xdr:row>95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33FE54-2063-C04A-A0BB-50CB6AEFD7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61</xdr:col>
      <xdr:colOff>824089</xdr:colOff>
      <xdr:row>81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17C832-E9A3-AD4F-90E4-7F862D6EA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529166</xdr:colOff>
      <xdr:row>96</xdr:row>
      <xdr:rowOff>183445</xdr:rowOff>
    </xdr:from>
    <xdr:to>
      <xdr:col>35</xdr:col>
      <xdr:colOff>42333</xdr:colOff>
      <xdr:row>122</xdr:row>
      <xdr:rowOff>66323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CB09094-452B-9B40-8D99-67B651AB9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704850</xdr:colOff>
      <xdr:row>14</xdr:row>
      <xdr:rowOff>133350</xdr:rowOff>
    </xdr:from>
    <xdr:to>
      <xdr:col>22</xdr:col>
      <xdr:colOff>323850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99401-349E-184F-AED0-12AA2D778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76200</xdr:rowOff>
    </xdr:from>
    <xdr:to>
      <xdr:col>28</xdr:col>
      <xdr:colOff>292100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56EC6-0C61-8E42-87D5-F67D3BE1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4</xdr:row>
      <xdr:rowOff>12700</xdr:rowOff>
    </xdr:from>
    <xdr:to>
      <xdr:col>19</xdr:col>
      <xdr:colOff>215900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628650</xdr:colOff>
      <xdr:row>51</xdr:row>
      <xdr:rowOff>152400</xdr:rowOff>
    </xdr:from>
    <xdr:to>
      <xdr:col>34</xdr:col>
      <xdr:colOff>533400</xdr:colOff>
      <xdr:row>67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685800</xdr:colOff>
      <xdr:row>4</xdr:row>
      <xdr:rowOff>12700</xdr:rowOff>
    </xdr:from>
    <xdr:to>
      <xdr:col>25</xdr:col>
      <xdr:colOff>304800</xdr:colOff>
      <xdr:row>18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584200</xdr:colOff>
      <xdr:row>53</xdr:row>
      <xdr:rowOff>50800</xdr:rowOff>
    </xdr:from>
    <xdr:to>
      <xdr:col>41</xdr:col>
      <xdr:colOff>203200</xdr:colOff>
      <xdr:row>67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88900</xdr:rowOff>
    </xdr:from>
    <xdr:to>
      <xdr:col>15</xdr:col>
      <xdr:colOff>76200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21</xdr:col>
      <xdr:colOff>444500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57150</xdr:colOff>
      <xdr:row>39</xdr:row>
      <xdr:rowOff>0</xdr:rowOff>
    </xdr:from>
    <xdr:to>
      <xdr:col>31</xdr:col>
      <xdr:colOff>374650</xdr:colOff>
      <xdr:row>58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806450</xdr:colOff>
      <xdr:row>57</xdr:row>
      <xdr:rowOff>114300</xdr:rowOff>
    </xdr:from>
    <xdr:to>
      <xdr:col>36</xdr:col>
      <xdr:colOff>298450</xdr:colOff>
      <xdr:row>89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35</xdr:col>
      <xdr:colOff>444500</xdr:colOff>
      <xdr:row>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16</xdr:row>
      <xdr:rowOff>0</xdr:rowOff>
    </xdr:from>
    <xdr:to>
      <xdr:col>21</xdr:col>
      <xdr:colOff>19050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69850</xdr:colOff>
      <xdr:row>55</xdr:row>
      <xdr:rowOff>88900</xdr:rowOff>
    </xdr:from>
    <xdr:to>
      <xdr:col>30</xdr:col>
      <xdr:colOff>615950</xdr:colOff>
      <xdr:row>69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69850</xdr:colOff>
      <xdr:row>71</xdr:row>
      <xdr:rowOff>25400</xdr:rowOff>
    </xdr:from>
    <xdr:to>
      <xdr:col>30</xdr:col>
      <xdr:colOff>615950</xdr:colOff>
      <xdr:row>85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14</xdr:row>
      <xdr:rowOff>139700</xdr:rowOff>
    </xdr:from>
    <xdr:to>
      <xdr:col>27</xdr:col>
      <xdr:colOff>101600</xdr:colOff>
      <xdr:row>29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88900</xdr:rowOff>
    </xdr:from>
    <xdr:to>
      <xdr:col>15</xdr:col>
      <xdr:colOff>76200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21</xdr:col>
      <xdr:colOff>444500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692150</xdr:colOff>
      <xdr:row>100</xdr:row>
      <xdr:rowOff>0</xdr:rowOff>
    </xdr:from>
    <xdr:to>
      <xdr:col>33</xdr:col>
      <xdr:colOff>184150</xdr:colOff>
      <xdr:row>119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100</xdr:row>
      <xdr:rowOff>0</xdr:rowOff>
    </xdr:from>
    <xdr:to>
      <xdr:col>41</xdr:col>
      <xdr:colOff>317500</xdr:colOff>
      <xdr:row>119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120</xdr:row>
      <xdr:rowOff>127000</xdr:rowOff>
    </xdr:from>
    <xdr:to>
      <xdr:col>36</xdr:col>
      <xdr:colOff>317500</xdr:colOff>
      <xdr:row>139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50800</xdr:colOff>
      <xdr:row>39</xdr:row>
      <xdr:rowOff>25400</xdr:rowOff>
    </xdr:from>
    <xdr:to>
      <xdr:col>37</xdr:col>
      <xdr:colOff>165100</xdr:colOff>
      <xdr:row>55</xdr:row>
      <xdr:rowOff>17780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36</xdr:col>
      <xdr:colOff>444500</xdr:colOff>
      <xdr:row>70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723900</xdr:colOff>
      <xdr:row>4</xdr:row>
      <xdr:rowOff>177800</xdr:rowOff>
    </xdr:from>
    <xdr:to>
      <xdr:col>44</xdr:col>
      <xdr:colOff>165100</xdr:colOff>
      <xdr:row>19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635000</xdr:colOff>
      <xdr:row>48</xdr:row>
      <xdr:rowOff>0</xdr:rowOff>
    </xdr:from>
    <xdr:to>
      <xdr:col>50</xdr:col>
      <xdr:colOff>42333</xdr:colOff>
      <xdr:row>61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596900</xdr:colOff>
      <xdr:row>62</xdr:row>
      <xdr:rowOff>127000</xdr:rowOff>
    </xdr:from>
    <xdr:to>
      <xdr:col>50</xdr:col>
      <xdr:colOff>12700</xdr:colOff>
      <xdr:row>76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698500</xdr:colOff>
      <xdr:row>77</xdr:row>
      <xdr:rowOff>63500</xdr:rowOff>
    </xdr:from>
    <xdr:to>
      <xdr:col>50</xdr:col>
      <xdr:colOff>63500</xdr:colOff>
      <xdr:row>90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0</xdr:colOff>
      <xdr:row>5</xdr:row>
      <xdr:rowOff>0</xdr:rowOff>
    </xdr:from>
    <xdr:to>
      <xdr:col>48</xdr:col>
      <xdr:colOff>266700</xdr:colOff>
      <xdr:row>19</xdr:row>
      <xdr:rowOff>63500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0</xdr:colOff>
      <xdr:row>5</xdr:row>
      <xdr:rowOff>0</xdr:rowOff>
    </xdr:from>
    <xdr:to>
      <xdr:col>52</xdr:col>
      <xdr:colOff>266700</xdr:colOff>
      <xdr:row>19</xdr:row>
      <xdr:rowOff>63500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723900</xdr:colOff>
      <xdr:row>20</xdr:row>
      <xdr:rowOff>165100</xdr:rowOff>
    </xdr:from>
    <xdr:to>
      <xdr:col>44</xdr:col>
      <xdr:colOff>165100</xdr:colOff>
      <xdr:row>34</xdr:row>
      <xdr:rowOff>139700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381000</xdr:colOff>
      <xdr:row>21</xdr:row>
      <xdr:rowOff>12700</xdr:rowOff>
    </xdr:from>
    <xdr:to>
      <xdr:col>47</xdr:col>
      <xdr:colOff>647700</xdr:colOff>
      <xdr:row>35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38100</xdr:colOff>
      <xdr:row>22</xdr:row>
      <xdr:rowOff>25400</xdr:rowOff>
    </xdr:from>
    <xdr:to>
      <xdr:col>52</xdr:col>
      <xdr:colOff>50800</xdr:colOff>
      <xdr:row>35</xdr:row>
      <xdr:rowOff>165100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279400</xdr:colOff>
      <xdr:row>42</xdr:row>
      <xdr:rowOff>63500</xdr:rowOff>
    </xdr:from>
    <xdr:to>
      <xdr:col>31</xdr:col>
      <xdr:colOff>393700</xdr:colOff>
      <xdr:row>58</xdr:row>
      <xdr:rowOff>55880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812800</xdr:colOff>
      <xdr:row>60</xdr:row>
      <xdr:rowOff>12700</xdr:rowOff>
    </xdr:from>
    <xdr:to>
      <xdr:col>42</xdr:col>
      <xdr:colOff>342900</xdr:colOff>
      <xdr:row>74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787400</xdr:colOff>
      <xdr:row>45</xdr:row>
      <xdr:rowOff>50800</xdr:rowOff>
    </xdr:from>
    <xdr:to>
      <xdr:col>42</xdr:col>
      <xdr:colOff>317500</xdr:colOff>
      <xdr:row>59</xdr:row>
      <xdr:rowOff>127000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406400</xdr:colOff>
      <xdr:row>91</xdr:row>
      <xdr:rowOff>50800</xdr:rowOff>
    </xdr:from>
    <xdr:to>
      <xdr:col>54</xdr:col>
      <xdr:colOff>25400</xdr:colOff>
      <xdr:row>105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431800</xdr:colOff>
      <xdr:row>106</xdr:row>
      <xdr:rowOff>38100</xdr:rowOff>
    </xdr:from>
    <xdr:to>
      <xdr:col>54</xdr:col>
      <xdr:colOff>50800</xdr:colOff>
      <xdr:row>120</xdr:row>
      <xdr:rowOff>101600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48</xdr:col>
      <xdr:colOff>381000</xdr:colOff>
      <xdr:row>122</xdr:row>
      <xdr:rowOff>25400</xdr:rowOff>
    </xdr:from>
    <xdr:to>
      <xdr:col>54</xdr:col>
      <xdr:colOff>0</xdr:colOff>
      <xdr:row>136</xdr:row>
      <xdr:rowOff>88900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6</xdr:row>
      <xdr:rowOff>50800</xdr:rowOff>
    </xdr:from>
    <xdr:to>
      <xdr:col>15</xdr:col>
      <xdr:colOff>76200</xdr:colOff>
      <xdr:row>20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6</xdr:row>
      <xdr:rowOff>63500</xdr:rowOff>
    </xdr:from>
    <xdr:to>
      <xdr:col>21</xdr:col>
      <xdr:colOff>101600</xdr:colOff>
      <xdr:row>20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685800</xdr:colOff>
      <xdr:row>6</xdr:row>
      <xdr:rowOff>0</xdr:rowOff>
    </xdr:from>
    <xdr:to>
      <xdr:col>27</xdr:col>
      <xdr:colOff>304800</xdr:colOff>
      <xdr:row>20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368300</xdr:colOff>
      <xdr:row>34</xdr:row>
      <xdr:rowOff>12700</xdr:rowOff>
    </xdr:from>
    <xdr:to>
      <xdr:col>33</xdr:col>
      <xdr:colOff>812800</xdr:colOff>
      <xdr:row>48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723900</xdr:colOff>
      <xdr:row>235</xdr:row>
      <xdr:rowOff>101600</xdr:rowOff>
    </xdr:from>
    <xdr:to>
      <xdr:col>32</xdr:col>
      <xdr:colOff>342900</xdr:colOff>
      <xdr:row>249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546100</xdr:colOff>
      <xdr:row>86</xdr:row>
      <xdr:rowOff>127000</xdr:rowOff>
    </xdr:from>
    <xdr:to>
      <xdr:col>6</xdr:col>
      <xdr:colOff>635000</xdr:colOff>
      <xdr:row>105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304800</xdr:colOff>
      <xdr:row>225</xdr:row>
      <xdr:rowOff>38100</xdr:rowOff>
    </xdr:from>
    <xdr:to>
      <xdr:col>38</xdr:col>
      <xdr:colOff>749300</xdr:colOff>
      <xdr:row>239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95250</xdr:colOff>
      <xdr:row>448</xdr:row>
      <xdr:rowOff>38100</xdr:rowOff>
    </xdr:from>
    <xdr:to>
      <xdr:col>5</xdr:col>
      <xdr:colOff>355600</xdr:colOff>
      <xdr:row>461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D0205-78B2-174C-BDA7-58921027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0</xdr:row>
      <xdr:rowOff>25400</xdr:rowOff>
    </xdr:from>
    <xdr:to>
      <xdr:col>12</xdr:col>
      <xdr:colOff>304800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3F52C-6071-D443-9AC4-CAC8CC91B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11</xdr:row>
      <xdr:rowOff>114300</xdr:rowOff>
    </xdr:from>
    <xdr:to>
      <xdr:col>12</xdr:col>
      <xdr:colOff>342900</xdr:colOff>
      <xdr:row>22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1E7C4A-A6FE-7742-A4FB-F9F8CBB7F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25400</xdr:colOff>
      <xdr:row>11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46FF04-D563-AB43-97A9-9D59310D3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17</xdr:col>
      <xdr:colOff>25400</xdr:colOff>
      <xdr:row>23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6F999C-9010-6540-81A8-BA3BB0EB9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241300</xdr:colOff>
      <xdr:row>0</xdr:row>
      <xdr:rowOff>25400</xdr:rowOff>
    </xdr:from>
    <xdr:to>
      <xdr:col>21</xdr:col>
      <xdr:colOff>266700</xdr:colOff>
      <xdr:row>11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CA11AE-F433-6E45-8E7A-FDD856D47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6</xdr:row>
      <xdr:rowOff>12700</xdr:rowOff>
    </xdr:from>
    <xdr:to>
      <xdr:col>14</xdr:col>
      <xdr:colOff>508000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6</xdr:row>
      <xdr:rowOff>0</xdr:rowOff>
    </xdr:from>
    <xdr:to>
      <xdr:col>20</xdr:col>
      <xdr:colOff>444500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</xdr:row>
      <xdr:rowOff>0</xdr:rowOff>
    </xdr:from>
    <xdr:to>
      <xdr:col>26</xdr:col>
      <xdr:colOff>444500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</xdr:row>
      <xdr:rowOff>0</xdr:rowOff>
    </xdr:from>
    <xdr:to>
      <xdr:col>32</xdr:col>
      <xdr:colOff>444500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61DBE-6CA1-5C48-9BF8-5EB904452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25400</xdr:rowOff>
    </xdr:from>
    <xdr:to>
      <xdr:col>13</xdr:col>
      <xdr:colOff>304800</xdr:colOff>
      <xdr:row>11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11</xdr:row>
      <xdr:rowOff>76200</xdr:rowOff>
    </xdr:from>
    <xdr:to>
      <xdr:col>13</xdr:col>
      <xdr:colOff>279400</xdr:colOff>
      <xdr:row>22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18</xdr:col>
      <xdr:colOff>25400</xdr:colOff>
      <xdr:row>11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11</xdr:row>
      <xdr:rowOff>76200</xdr:rowOff>
    </xdr:from>
    <xdr:to>
      <xdr:col>18</xdr:col>
      <xdr:colOff>38100</xdr:colOff>
      <xdr:row>22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381000</xdr:colOff>
      <xdr:row>0</xdr:row>
      <xdr:rowOff>25400</xdr:rowOff>
    </xdr:from>
    <xdr:to>
      <xdr:col>22</xdr:col>
      <xdr:colOff>406400</xdr:colOff>
      <xdr:row>11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5F8138-7361-264E-B8DF-F33A47667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J199"/>
  <sheetViews>
    <sheetView topLeftCell="J31" workbookViewId="0">
      <selection activeCell="X65" sqref="X65"/>
    </sheetView>
  </sheetViews>
  <sheetFormatPr baseColWidth="10" defaultRowHeight="16" x14ac:dyDescent="0.2"/>
  <sheetData>
    <row r="1" spans="1:9" x14ac:dyDescent="0.2">
      <c r="A1" t="s">
        <v>0</v>
      </c>
      <c r="C1" t="s">
        <v>1</v>
      </c>
      <c r="D1" t="s">
        <v>2</v>
      </c>
    </row>
    <row r="3" spans="1:9" x14ac:dyDescent="0.2">
      <c r="F3" t="s">
        <v>29</v>
      </c>
      <c r="G3" t="s">
        <v>30</v>
      </c>
    </row>
    <row r="4" spans="1:9" x14ac:dyDescent="0.2">
      <c r="E4">
        <v>500</v>
      </c>
      <c r="F4">
        <f>E31</f>
        <v>-4.1331986110500001</v>
      </c>
      <c r="G4">
        <f>E45</f>
        <v>-6.8267956550292963</v>
      </c>
    </row>
    <row r="6" spans="1:9" x14ac:dyDescent="0.2">
      <c r="C6" t="s">
        <v>11</v>
      </c>
    </row>
    <row r="7" spans="1:9" x14ac:dyDescent="0.2">
      <c r="C7" t="s">
        <v>5</v>
      </c>
      <c r="D7" t="s">
        <v>7</v>
      </c>
      <c r="E7" t="s">
        <v>6</v>
      </c>
      <c r="F7" t="s">
        <v>8</v>
      </c>
      <c r="G7" t="s">
        <v>12</v>
      </c>
      <c r="H7" t="s">
        <v>14</v>
      </c>
      <c r="I7" t="s">
        <v>13</v>
      </c>
    </row>
    <row r="8" spans="1:9" x14ac:dyDescent="0.2">
      <c r="B8">
        <v>500</v>
      </c>
      <c r="C8">
        <v>-9375.3787790000006</v>
      </c>
      <c r="D8">
        <v>39481.232184</v>
      </c>
      <c r="E8">
        <f t="shared" ref="E8:E17" si="0">C8/2000</f>
        <v>-4.6876893895</v>
      </c>
      <c r="F8">
        <f t="shared" ref="F8:F17" si="1">D8/2000</f>
        <v>19.740616092</v>
      </c>
      <c r="G8">
        <f>C8-2000*(I8*$G$4+(1-I8)*F$4)</f>
        <v>70.813948362931114</v>
      </c>
      <c r="H8">
        <f>G8/2000</f>
        <v>3.5406974181465559E-2</v>
      </c>
      <c r="I8">
        <f>438/2000</f>
        <v>0.219</v>
      </c>
    </row>
    <row r="9" spans="1:9" x14ac:dyDescent="0.2">
      <c r="C9">
        <v>-9374.2138329999998</v>
      </c>
      <c r="D9">
        <v>39480.619545000001</v>
      </c>
      <c r="E9">
        <f t="shared" si="0"/>
        <v>-4.6871069165000003</v>
      </c>
      <c r="F9">
        <f t="shared" si="1"/>
        <v>19.740309772500002</v>
      </c>
      <c r="G9">
        <f t="shared" ref="G9:G17" si="2">C9-2000*(I9*$G$4+(1-I9)*F$4)</f>
        <v>69.285297318952871</v>
      </c>
      <c r="H9">
        <f t="shared" ref="H9:H17" si="3">G9/2000</f>
        <v>3.4642648659476437E-2</v>
      </c>
      <c r="I9">
        <f>437/2000</f>
        <v>0.2185</v>
      </c>
    </row>
    <row r="10" spans="1:9" x14ac:dyDescent="0.2">
      <c r="C10">
        <v>-9381.8827170000004</v>
      </c>
      <c r="D10">
        <v>39470.343794</v>
      </c>
      <c r="E10">
        <f t="shared" si="0"/>
        <v>-4.6909413584999999</v>
      </c>
      <c r="F10">
        <f t="shared" si="1"/>
        <v>19.735171897000001</v>
      </c>
      <c r="G10">
        <f t="shared" si="2"/>
        <v>69.697204450891149</v>
      </c>
      <c r="H10">
        <f t="shared" si="3"/>
        <v>3.4848602225445571E-2</v>
      </c>
      <c r="I10">
        <f>440/2000</f>
        <v>0.22</v>
      </c>
    </row>
    <row r="11" spans="1:9" x14ac:dyDescent="0.2">
      <c r="C11">
        <v>-9449.1505190000007</v>
      </c>
      <c r="D11">
        <v>39300.233228999998</v>
      </c>
      <c r="E11">
        <f t="shared" si="0"/>
        <v>-4.7245752595000008</v>
      </c>
      <c r="F11">
        <f t="shared" si="1"/>
        <v>19.6501166145</v>
      </c>
      <c r="G11">
        <f t="shared" si="2"/>
        <v>77.850119682309014</v>
      </c>
      <c r="H11">
        <f t="shared" si="3"/>
        <v>3.8925059841154505E-2</v>
      </c>
      <c r="I11">
        <f>468/2000</f>
        <v>0.23400000000000001</v>
      </c>
    </row>
    <row r="12" spans="1:9" x14ac:dyDescent="0.2">
      <c r="C12">
        <v>-9384.23315</v>
      </c>
      <c r="D12">
        <v>39475.717444000002</v>
      </c>
      <c r="E12">
        <f t="shared" si="0"/>
        <v>-4.692116575</v>
      </c>
      <c r="F12">
        <f t="shared" si="1"/>
        <v>19.737858722000002</v>
      </c>
      <c r="G12">
        <f t="shared" si="2"/>
        <v>72.733965538847769</v>
      </c>
      <c r="H12">
        <f t="shared" si="3"/>
        <v>3.6366982769423885E-2</v>
      </c>
      <c r="I12">
        <f>442/2000</f>
        <v>0.221</v>
      </c>
    </row>
    <row r="13" spans="1:9" x14ac:dyDescent="0.2">
      <c r="C13">
        <v>-9391.4171509999996</v>
      </c>
      <c r="D13">
        <v>39450.868886999997</v>
      </c>
      <c r="E13">
        <f t="shared" si="0"/>
        <v>-4.6957085754999994</v>
      </c>
      <c r="F13">
        <f t="shared" si="1"/>
        <v>19.725434443499999</v>
      </c>
      <c r="G13">
        <f t="shared" si="2"/>
        <v>73.630755670787039</v>
      </c>
      <c r="H13">
        <f t="shared" si="3"/>
        <v>3.6815377835393522E-2</v>
      </c>
      <c r="I13">
        <f>445/2000</f>
        <v>0.2225</v>
      </c>
    </row>
    <row r="14" spans="1:9" x14ac:dyDescent="0.2">
      <c r="C14">
        <v>-9498.4828249999991</v>
      </c>
      <c r="D14">
        <v>39176.205232</v>
      </c>
      <c r="E14">
        <f t="shared" si="0"/>
        <v>-4.7492414125</v>
      </c>
      <c r="F14">
        <f t="shared" si="1"/>
        <v>19.588102616</v>
      </c>
      <c r="G14">
        <f t="shared" si="2"/>
        <v>77.002560473940321</v>
      </c>
      <c r="H14">
        <f t="shared" si="3"/>
        <v>3.8501280236970158E-2</v>
      </c>
      <c r="I14">
        <f>486/2000</f>
        <v>0.24299999999999999</v>
      </c>
    </row>
    <row r="15" spans="1:9" x14ac:dyDescent="0.2">
      <c r="C15">
        <v>-9365.982043</v>
      </c>
      <c r="D15">
        <v>39519.729882</v>
      </c>
      <c r="E15">
        <f t="shared" si="0"/>
        <v>-4.6829910215000004</v>
      </c>
      <c r="F15">
        <f t="shared" si="1"/>
        <v>19.759864941</v>
      </c>
      <c r="G15">
        <f t="shared" si="2"/>
        <v>74.823490274973665</v>
      </c>
      <c r="H15">
        <f t="shared" si="3"/>
        <v>3.7411745137486831E-2</v>
      </c>
      <c r="I15">
        <f>436/2000</f>
        <v>0.218</v>
      </c>
    </row>
    <row r="16" spans="1:9" x14ac:dyDescent="0.2">
      <c r="C16">
        <v>-9437.812527</v>
      </c>
      <c r="D16">
        <v>39331.918530000003</v>
      </c>
      <c r="E16">
        <f t="shared" si="0"/>
        <v>-4.7189062635000001</v>
      </c>
      <c r="F16">
        <f t="shared" si="1"/>
        <v>19.665959265000001</v>
      </c>
      <c r="G16">
        <f t="shared" si="2"/>
        <v>75.720126462414555</v>
      </c>
      <c r="H16">
        <f t="shared" si="3"/>
        <v>3.7860063231207275E-2</v>
      </c>
      <c r="I16">
        <f>463/2000</f>
        <v>0.23150000000000001</v>
      </c>
    </row>
    <row r="17" spans="2:25" x14ac:dyDescent="0.2">
      <c r="C17">
        <v>-9372.8641989999996</v>
      </c>
      <c r="D17">
        <v>39490.916559999998</v>
      </c>
      <c r="E17">
        <f t="shared" si="0"/>
        <v>-4.6864320995000002</v>
      </c>
      <c r="F17">
        <f t="shared" si="1"/>
        <v>19.745458279999998</v>
      </c>
      <c r="G17">
        <f t="shared" si="2"/>
        <v>70.634931318953022</v>
      </c>
      <c r="H17">
        <f t="shared" si="3"/>
        <v>3.5317465659476514E-2</v>
      </c>
      <c r="I17">
        <f>437/2000</f>
        <v>0.2185</v>
      </c>
    </row>
    <row r="19" spans="2:25" x14ac:dyDescent="0.2">
      <c r="C19" t="s">
        <v>29</v>
      </c>
    </row>
    <row r="20" spans="2:25" x14ac:dyDescent="0.2">
      <c r="C20" t="s">
        <v>5</v>
      </c>
      <c r="D20" t="s">
        <v>7</v>
      </c>
      <c r="E20" t="s">
        <v>6</v>
      </c>
      <c r="F20" t="s">
        <v>8</v>
      </c>
    </row>
    <row r="21" spans="2:25" x14ac:dyDescent="0.2">
      <c r="B21">
        <v>500</v>
      </c>
      <c r="C21">
        <v>-8265.587066</v>
      </c>
      <c r="D21">
        <v>43502.482592</v>
      </c>
      <c r="E21">
        <f t="shared" ref="E21:F27" si="4">C21/2000</f>
        <v>-4.1327935330000001</v>
      </c>
      <c r="F21">
        <f t="shared" si="4"/>
        <v>21.751241296</v>
      </c>
    </row>
    <row r="22" spans="2:25" x14ac:dyDescent="0.2">
      <c r="C22">
        <v>-8267.7801639999998</v>
      </c>
      <c r="D22">
        <v>43491.529169000001</v>
      </c>
      <c r="E22">
        <f t="shared" si="4"/>
        <v>-4.1338900819999997</v>
      </c>
      <c r="F22">
        <f t="shared" si="4"/>
        <v>21.745764584500002</v>
      </c>
    </row>
    <row r="23" spans="2:25" x14ac:dyDescent="0.2">
      <c r="C23">
        <v>-8265.9192039999998</v>
      </c>
      <c r="D23">
        <v>43504.990854999996</v>
      </c>
      <c r="E23">
        <f t="shared" si="4"/>
        <v>-4.1329596019999997</v>
      </c>
      <c r="F23">
        <f t="shared" si="4"/>
        <v>21.752495427499998</v>
      </c>
    </row>
    <row r="24" spans="2:25" x14ac:dyDescent="0.2">
      <c r="C24">
        <v>-8266.3706870000005</v>
      </c>
      <c r="D24">
        <v>43520.494173999999</v>
      </c>
      <c r="E24">
        <f t="shared" si="4"/>
        <v>-4.1331853435000001</v>
      </c>
      <c r="F24">
        <f t="shared" si="4"/>
        <v>21.760247087</v>
      </c>
    </row>
    <row r="25" spans="2:25" x14ac:dyDescent="0.2">
      <c r="C25">
        <v>-8266.9211730000006</v>
      </c>
      <c r="D25">
        <v>43515.275032999998</v>
      </c>
      <c r="E25">
        <f t="shared" si="4"/>
        <v>-4.1334605865</v>
      </c>
      <c r="F25">
        <f t="shared" si="4"/>
        <v>21.757637516499997</v>
      </c>
      <c r="L25" t="s">
        <v>16</v>
      </c>
      <c r="X25" t="s">
        <v>25</v>
      </c>
      <c r="Y25" t="s">
        <v>24</v>
      </c>
    </row>
    <row r="26" spans="2:25" x14ac:dyDescent="0.2">
      <c r="C26">
        <v>-8266.1603709999999</v>
      </c>
      <c r="D26">
        <v>43524.947151</v>
      </c>
      <c r="E26">
        <f t="shared" si="4"/>
        <v>-4.1330801854999999</v>
      </c>
      <c r="F26">
        <f t="shared" si="4"/>
        <v>21.7624735755</v>
      </c>
      <c r="L26" t="s">
        <v>18</v>
      </c>
      <c r="M26" t="s">
        <v>5</v>
      </c>
      <c r="N26" t="s">
        <v>7</v>
      </c>
      <c r="O26" t="s">
        <v>19</v>
      </c>
      <c r="P26" t="s">
        <v>20</v>
      </c>
      <c r="Q26" t="s">
        <v>21</v>
      </c>
      <c r="R26" t="s">
        <v>22</v>
      </c>
      <c r="S26" t="s">
        <v>4</v>
      </c>
      <c r="T26" t="s">
        <v>10</v>
      </c>
      <c r="U26" t="s">
        <v>13</v>
      </c>
      <c r="V26" t="s">
        <v>26</v>
      </c>
      <c r="W26" t="s">
        <v>12</v>
      </c>
      <c r="X26" t="s">
        <v>23</v>
      </c>
      <c r="Y26" t="s">
        <v>23</v>
      </c>
    </row>
    <row r="27" spans="2:25" x14ac:dyDescent="0.2">
      <c r="C27">
        <v>-8265.9450290000004</v>
      </c>
      <c r="D27">
        <v>43535.351344000002</v>
      </c>
      <c r="E27">
        <f t="shared" si="4"/>
        <v>-4.1329725145000005</v>
      </c>
      <c r="F27">
        <f t="shared" si="4"/>
        <v>21.767675672000003</v>
      </c>
      <c r="K27" t="s">
        <v>17</v>
      </c>
      <c r="L27">
        <v>433.90031900000002</v>
      </c>
      <c r="M27">
        <v>-17697.749649000001</v>
      </c>
      <c r="N27">
        <v>74633.355376000007</v>
      </c>
      <c r="O27">
        <v>-0.46346900000000002</v>
      </c>
      <c r="P27">
        <v>30.492438</v>
      </c>
      <c r="Q27">
        <v>90.129493999999994</v>
      </c>
      <c r="R27">
        <v>27.156545999999999</v>
      </c>
      <c r="S27">
        <v>2929</v>
      </c>
      <c r="T27">
        <v>847</v>
      </c>
      <c r="U27">
        <f>T27/(T27+S27)</f>
        <v>0.2243114406779661</v>
      </c>
      <c r="V27">
        <f>-4.1288-2.5501*U27</f>
        <v>-4.7008166048728812</v>
      </c>
      <c r="W27">
        <f>M27-(SUM(S27:T27)*V27)</f>
        <v>52.533850999996503</v>
      </c>
      <c r="X27">
        <f>W27/(2*P27*R27)</f>
        <v>3.1720685276322366E-2</v>
      </c>
      <c r="Y27">
        <f>X27*16.02</f>
        <v>0.50816537812668428</v>
      </c>
    </row>
    <row r="28" spans="2:25" x14ac:dyDescent="0.2">
      <c r="C28">
        <v>-8266.9694099999997</v>
      </c>
      <c r="D28">
        <v>43500.366501999997</v>
      </c>
      <c r="E28">
        <f t="shared" ref="E28:F30" si="5">C28/2000</f>
        <v>-4.1334847049999999</v>
      </c>
      <c r="F28">
        <f t="shared" si="5"/>
        <v>21.750183250999999</v>
      </c>
      <c r="L28">
        <v>433.74056000000002</v>
      </c>
      <c r="M28">
        <v>-17735.673383000001</v>
      </c>
      <c r="N28">
        <v>74541.781386000002</v>
      </c>
      <c r="O28">
        <v>-0.394702</v>
      </c>
      <c r="P28">
        <v>30.454664999999999</v>
      </c>
      <c r="Q28">
        <v>90.195335999999998</v>
      </c>
      <c r="R28">
        <v>27.137039999999999</v>
      </c>
      <c r="S28">
        <v>2914</v>
      </c>
      <c r="T28">
        <v>862</v>
      </c>
      <c r="U28">
        <f>T28/(T28+S28)</f>
        <v>0.22828389830508475</v>
      </c>
      <c r="V28">
        <f t="shared" ref="V28:V43" si="6">-4.1288-2.5501*U28</f>
        <v>-4.7109467690677969</v>
      </c>
      <c r="W28">
        <f>M28-(SUM(S28:T28)*V28)</f>
        <v>52.86161699999866</v>
      </c>
      <c r="X28">
        <f>W28/(2*P28*R28)</f>
        <v>3.1981155177609188E-2</v>
      </c>
      <c r="Y28">
        <f>X28*16.02</f>
        <v>0.51233810594529916</v>
      </c>
    </row>
    <row r="29" spans="2:25" x14ac:dyDescent="0.2">
      <c r="C29">
        <v>-8266.2075550000009</v>
      </c>
      <c r="D29">
        <v>43507.286817</v>
      </c>
      <c r="E29">
        <f t="shared" si="5"/>
        <v>-4.1331037775000006</v>
      </c>
      <c r="F29">
        <f t="shared" si="5"/>
        <v>21.7536434085</v>
      </c>
      <c r="L29">
        <v>433.777897</v>
      </c>
      <c r="M29">
        <v>-17615.547859999999</v>
      </c>
      <c r="N29">
        <v>74861.826801999996</v>
      </c>
      <c r="O29">
        <v>-0.406302</v>
      </c>
      <c r="P29">
        <v>30.520398</v>
      </c>
      <c r="Q29">
        <v>90.273270999999994</v>
      </c>
      <c r="R29">
        <v>27.171371000000001</v>
      </c>
      <c r="S29">
        <v>2960</v>
      </c>
      <c r="T29">
        <v>816</v>
      </c>
      <c r="U29">
        <f>T29/(T29+S29)</f>
        <v>0.21610169491525424</v>
      </c>
      <c r="V29">
        <f t="shared" si="6"/>
        <v>-4.6798809322033899</v>
      </c>
      <c r="W29">
        <f>M29-(SUM(S29:T29)*V29)</f>
        <v>55.682540000001609</v>
      </c>
      <c r="X29">
        <f>W29/(2*P29*R29)</f>
        <v>3.3572779410276719E-2</v>
      </c>
      <c r="Y29">
        <f>X29*16.02</f>
        <v>0.53783592615263298</v>
      </c>
    </row>
    <row r="30" spans="2:25" x14ac:dyDescent="0.2">
      <c r="C30">
        <v>-8266.111562</v>
      </c>
      <c r="D30">
        <v>43503.278760000001</v>
      </c>
      <c r="E30">
        <f t="shared" si="5"/>
        <v>-4.1330557810000004</v>
      </c>
      <c r="F30">
        <f t="shared" si="5"/>
        <v>21.75163938</v>
      </c>
      <c r="L30">
        <v>433.80841099999998</v>
      </c>
      <c r="M30">
        <v>-17639.847296</v>
      </c>
      <c r="N30">
        <v>74794.724394000004</v>
      </c>
      <c r="O30">
        <v>-0.40268300000000001</v>
      </c>
      <c r="P30">
        <v>30.481722999999999</v>
      </c>
      <c r="Q30">
        <v>90.350622999999999</v>
      </c>
      <c r="R30">
        <v>27.158200999999998</v>
      </c>
      <c r="S30">
        <v>2950</v>
      </c>
      <c r="T30">
        <v>826</v>
      </c>
      <c r="U30">
        <f>T30/(T30+S30)</f>
        <v>0.21875</v>
      </c>
      <c r="V30">
        <f t="shared" si="6"/>
        <v>-4.6866343749999997</v>
      </c>
      <c r="W30">
        <f>M30-(SUM(S30:T30)*V30)</f>
        <v>56.884104000000661</v>
      </c>
      <c r="X30">
        <f>W30/(2*P30*R30)</f>
        <v>3.4357409856028427E-2</v>
      </c>
      <c r="Y30">
        <f>X30*16.02</f>
        <v>0.5504057058935754</v>
      </c>
    </row>
    <row r="31" spans="2:25" x14ac:dyDescent="0.2">
      <c r="E31">
        <f>AVERAGE(E21:E30)</f>
        <v>-4.1331986110500001</v>
      </c>
      <c r="L31">
        <v>433.84869700000002</v>
      </c>
      <c r="M31">
        <v>-17619.690225999999</v>
      </c>
      <c r="N31">
        <v>74856.113532000003</v>
      </c>
      <c r="O31">
        <v>-0.36744700000000002</v>
      </c>
      <c r="P31">
        <v>30.529893999999999</v>
      </c>
      <c r="Q31">
        <v>90.355796999999995</v>
      </c>
      <c r="R31">
        <v>27.136061000000002</v>
      </c>
      <c r="S31">
        <v>2957</v>
      </c>
      <c r="T31">
        <v>819</v>
      </c>
      <c r="U31">
        <f>T31/(T31+S31)</f>
        <v>0.21689618644067796</v>
      </c>
      <c r="V31">
        <f t="shared" si="6"/>
        <v>-4.6819069650423728</v>
      </c>
      <c r="W31">
        <f>M31-(SUM(S31:T31)*V31)</f>
        <v>59.190474000002723</v>
      </c>
      <c r="X31">
        <f>W31/(2*P31*R31)</f>
        <v>3.572314767451551E-2</v>
      </c>
      <c r="Y31">
        <f>X31*16.02</f>
        <v>0.57228482574573847</v>
      </c>
    </row>
    <row r="32" spans="2:25" x14ac:dyDescent="0.2">
      <c r="Y32" s="1">
        <f>AVERAGE(Y27:Y31)</f>
        <v>0.5362059883727861</v>
      </c>
    </row>
    <row r="33" spans="2:36" x14ac:dyDescent="0.2">
      <c r="C33" t="s">
        <v>30</v>
      </c>
      <c r="K33" t="s">
        <v>27</v>
      </c>
      <c r="L33">
        <v>464.68123000000003</v>
      </c>
      <c r="M33">
        <v>-13514.25822</v>
      </c>
      <c r="N33">
        <v>56892.648461999997</v>
      </c>
      <c r="O33">
        <v>-0.65476199999999996</v>
      </c>
      <c r="P33">
        <v>32.294364000000002</v>
      </c>
      <c r="Q33">
        <v>129.852588</v>
      </c>
      <c r="R33">
        <v>13.566867</v>
      </c>
      <c r="S33">
        <v>2232</v>
      </c>
      <c r="T33">
        <v>648</v>
      </c>
      <c r="U33">
        <f>T33/(T33+S33)</f>
        <v>0.22500000000000001</v>
      </c>
      <c r="V33">
        <f t="shared" si="6"/>
        <v>-4.7025725000000005</v>
      </c>
      <c r="W33">
        <f>M33-(SUM(S33:T33)*V33)</f>
        <v>29.150580000001355</v>
      </c>
      <c r="X33">
        <f>W33/(2*P33*R33)</f>
        <v>3.3266790331067012E-2</v>
      </c>
      <c r="Y33">
        <f>X33*16.02</f>
        <v>0.5329339811036935</v>
      </c>
    </row>
    <row r="34" spans="2:36" x14ac:dyDescent="0.2">
      <c r="C34" t="s">
        <v>5</v>
      </c>
      <c r="D34" t="s">
        <v>7</v>
      </c>
      <c r="E34" t="s">
        <v>6</v>
      </c>
      <c r="F34" t="s">
        <v>8</v>
      </c>
      <c r="L34">
        <v>464.85960599999999</v>
      </c>
      <c r="M34">
        <v>-13410.370053000001</v>
      </c>
      <c r="N34">
        <v>57204.909958999997</v>
      </c>
      <c r="O34">
        <v>-0.747722</v>
      </c>
      <c r="P34">
        <v>32.405765000000002</v>
      </c>
      <c r="Q34">
        <v>130.20738800000001</v>
      </c>
      <c r="R34">
        <v>13.557392</v>
      </c>
      <c r="S34">
        <v>2272</v>
      </c>
      <c r="T34">
        <v>608</v>
      </c>
      <c r="U34">
        <f>T34/(T34+S34)</f>
        <v>0.21111111111111111</v>
      </c>
      <c r="V34">
        <f t="shared" si="6"/>
        <v>-4.6671544444444448</v>
      </c>
      <c r="W34">
        <f>M34-(SUM(S34:T34)*V34)</f>
        <v>31.034746999999697</v>
      </c>
      <c r="X34">
        <f>W34/(2*P34*R34)</f>
        <v>3.5319925747991247E-2</v>
      </c>
      <c r="Y34">
        <f>X34*16.02</f>
        <v>0.56582521048281975</v>
      </c>
    </row>
    <row r="35" spans="2:36" x14ac:dyDescent="0.2">
      <c r="B35">
        <v>500</v>
      </c>
      <c r="C35">
        <v>-55925.112754000002</v>
      </c>
      <c r="D35">
        <v>129095.307178</v>
      </c>
      <c r="E35">
        <f>C35/8192</f>
        <v>-6.8267959904785158</v>
      </c>
      <c r="F35">
        <f>D35/8192</f>
        <v>15.758704489501953</v>
      </c>
      <c r="L35">
        <v>464.70441799999998</v>
      </c>
      <c r="M35">
        <v>-13476.9583</v>
      </c>
      <c r="N35">
        <v>57036.277794000001</v>
      </c>
      <c r="O35">
        <v>-0.84753999999999996</v>
      </c>
      <c r="P35">
        <v>32.324300999999998</v>
      </c>
      <c r="Q35">
        <v>130.090193</v>
      </c>
      <c r="R35">
        <v>13.563715999999999</v>
      </c>
      <c r="S35">
        <v>2246</v>
      </c>
      <c r="T35">
        <v>634</v>
      </c>
      <c r="U35">
        <f>T35/(T35+S35)</f>
        <v>0.22013888888888888</v>
      </c>
      <c r="V35">
        <f t="shared" si="6"/>
        <v>-4.6901761805555555</v>
      </c>
      <c r="W35">
        <f>M35-(SUM(S35:T35)*V35)</f>
        <v>30.749099999999089</v>
      </c>
      <c r="X35">
        <f>W35/(2*P35*R35)</f>
        <v>3.5066674583187386E-2</v>
      </c>
      <c r="Y35">
        <f>X35*16.02</f>
        <v>0.56176812682266186</v>
      </c>
    </row>
    <row r="36" spans="2:36" x14ac:dyDescent="0.2">
      <c r="C36">
        <v>-55924.777224999998</v>
      </c>
      <c r="D36">
        <v>129096.776711</v>
      </c>
      <c r="E36">
        <f t="shared" ref="E36:E44" si="7">C36/8192</f>
        <v>-6.8267550323486326</v>
      </c>
      <c r="F36">
        <f t="shared" ref="F36:F44" si="8">D36/8192</f>
        <v>15.758883875854492</v>
      </c>
      <c r="L36">
        <v>464.88588099999998</v>
      </c>
      <c r="M36">
        <v>-13397.059886999999</v>
      </c>
      <c r="N36">
        <v>57204.075621999997</v>
      </c>
      <c r="O36">
        <v>-0.72041200000000005</v>
      </c>
      <c r="P36">
        <v>32.441904000000001</v>
      </c>
      <c r="Q36">
        <v>130.00792899999999</v>
      </c>
      <c r="R36">
        <v>13.562881000000001</v>
      </c>
      <c r="S36">
        <v>2278</v>
      </c>
      <c r="T36">
        <v>602</v>
      </c>
      <c r="U36">
        <f>T36/(T36+S36)</f>
        <v>0.20902777777777778</v>
      </c>
      <c r="V36">
        <f t="shared" si="6"/>
        <v>-4.6618417361111115</v>
      </c>
      <c r="W36">
        <f>M36-(SUM(S36:T36)*V36)</f>
        <v>29.044313000002148</v>
      </c>
      <c r="X36">
        <f>W36/(2*P36*R36)</f>
        <v>3.3004474826159112E-2</v>
      </c>
      <c r="Y36">
        <f>X36*16.02</f>
        <v>0.52873168671506898</v>
      </c>
    </row>
    <row r="37" spans="2:36" x14ac:dyDescent="0.2">
      <c r="C37">
        <v>-55924.873944999999</v>
      </c>
      <c r="D37">
        <v>129096.128471</v>
      </c>
      <c r="E37">
        <f t="shared" si="7"/>
        <v>-6.8267668389892577</v>
      </c>
      <c r="F37">
        <f t="shared" si="8"/>
        <v>15.758804744995118</v>
      </c>
      <c r="L37">
        <v>464.74495000000002</v>
      </c>
      <c r="M37">
        <v>-13409.718346</v>
      </c>
      <c r="N37">
        <v>57153.307511999999</v>
      </c>
      <c r="O37">
        <v>-0.70179199999999997</v>
      </c>
      <c r="P37">
        <v>32.395797000000002</v>
      </c>
      <c r="Q37">
        <v>130.07449299999999</v>
      </c>
      <c r="R37">
        <v>13.563179999999999</v>
      </c>
      <c r="S37">
        <v>2273</v>
      </c>
      <c r="T37">
        <v>607</v>
      </c>
      <c r="U37">
        <f>T37/(T37+S37)</f>
        <v>0.21076388888888889</v>
      </c>
      <c r="V37">
        <f t="shared" si="6"/>
        <v>-4.6662689930555556</v>
      </c>
      <c r="W37">
        <f>M37-(SUM(S37:T37)*V37)</f>
        <v>29.13635400000021</v>
      </c>
      <c r="X37">
        <f>W37/(2*P37*R37)</f>
        <v>3.3155456745643117E-2</v>
      </c>
      <c r="Y37">
        <f>X37*16.02</f>
        <v>0.53115041706520272</v>
      </c>
    </row>
    <row r="38" spans="2:36" x14ac:dyDescent="0.2">
      <c r="C38">
        <v>-55925.394698999997</v>
      </c>
      <c r="D38">
        <v>129094.378423</v>
      </c>
      <c r="E38">
        <f t="shared" si="7"/>
        <v>-6.826830407592773</v>
      </c>
      <c r="F38">
        <f t="shared" si="8"/>
        <v>15.758591116088867</v>
      </c>
      <c r="Y38" s="1">
        <f>AVERAGE(Y33:Y37)</f>
        <v>0.5440818844378893</v>
      </c>
    </row>
    <row r="39" spans="2:36" x14ac:dyDescent="0.2">
      <c r="C39">
        <v>-55925.080807999999</v>
      </c>
      <c r="D39">
        <v>129095.732657</v>
      </c>
      <c r="E39">
        <f t="shared" si="7"/>
        <v>-6.8267920908203124</v>
      </c>
      <c r="F39">
        <f t="shared" si="8"/>
        <v>15.758756427856445</v>
      </c>
      <c r="K39" t="s">
        <v>28</v>
      </c>
      <c r="L39">
        <v>464.87730599999998</v>
      </c>
      <c r="M39">
        <v>-11604.279656000001</v>
      </c>
      <c r="N39">
        <v>48813.929017000002</v>
      </c>
      <c r="O39">
        <v>-0.71409999999999996</v>
      </c>
      <c r="P39">
        <v>34.706015999999998</v>
      </c>
      <c r="Q39">
        <v>137.96596099999999</v>
      </c>
      <c r="R39">
        <v>10.194565000000001</v>
      </c>
      <c r="S39">
        <v>1914</v>
      </c>
      <c r="T39">
        <v>558</v>
      </c>
      <c r="U39">
        <f>T39/(T39+S39)</f>
        <v>0.22572815533980584</v>
      </c>
      <c r="V39">
        <f t="shared" si="6"/>
        <v>-4.7044293689320389</v>
      </c>
      <c r="W39">
        <f>M39-(SUM(S39:T39)*V39)</f>
        <v>25.069744000000355</v>
      </c>
      <c r="X39">
        <f>W39/(2*P39*R39)</f>
        <v>3.5427984141001852E-2</v>
      </c>
      <c r="Y39">
        <f>X39*16.02</f>
        <v>0.56755630593884965</v>
      </c>
    </row>
    <row r="40" spans="2:36" x14ac:dyDescent="0.2">
      <c r="C40">
        <v>-55925.334063000002</v>
      </c>
      <c r="D40">
        <v>129094.976495</v>
      </c>
      <c r="E40">
        <f t="shared" si="7"/>
        <v>-6.8268230057373049</v>
      </c>
      <c r="F40">
        <f t="shared" si="8"/>
        <v>15.758664122924804</v>
      </c>
      <c r="L40">
        <v>464.91167899999999</v>
      </c>
      <c r="M40">
        <v>-11553.907173</v>
      </c>
      <c r="N40">
        <v>48975.271010999997</v>
      </c>
      <c r="O40">
        <v>-0.61398799999999998</v>
      </c>
      <c r="P40">
        <v>34.860815000000002</v>
      </c>
      <c r="Q40">
        <v>138.36452</v>
      </c>
      <c r="R40">
        <v>10.153498000000001</v>
      </c>
      <c r="S40">
        <v>1934</v>
      </c>
      <c r="T40">
        <v>538</v>
      </c>
      <c r="U40">
        <f>T40/(T40+S40)</f>
        <v>0.21763754045307443</v>
      </c>
      <c r="V40">
        <f t="shared" si="6"/>
        <v>-4.6837974919093854</v>
      </c>
      <c r="W40">
        <f>M40-(SUM(S40:T40)*V40)</f>
        <v>24.440227000000959</v>
      </c>
      <c r="X40">
        <f>W40/(2*P40*R40)</f>
        <v>3.4524072178347708E-2</v>
      </c>
      <c r="Y40">
        <f>X40*16.02</f>
        <v>0.5530756362971303</v>
      </c>
    </row>
    <row r="41" spans="2:36" x14ac:dyDescent="0.2">
      <c r="C41">
        <v>-55924.824644</v>
      </c>
      <c r="D41">
        <v>129095.43196099999</v>
      </c>
      <c r="E41">
        <f t="shared" si="7"/>
        <v>-6.8267608208007813</v>
      </c>
      <c r="F41">
        <f t="shared" si="8"/>
        <v>15.758719721801757</v>
      </c>
      <c r="L41">
        <v>464.90926999999999</v>
      </c>
      <c r="M41">
        <v>-11601.027081</v>
      </c>
      <c r="N41">
        <v>48816.192727000001</v>
      </c>
      <c r="O41">
        <v>-0.75733899999999998</v>
      </c>
      <c r="P41">
        <v>34.744065999999997</v>
      </c>
      <c r="Q41">
        <v>137.99740199999999</v>
      </c>
      <c r="R41">
        <v>10.181552999999999</v>
      </c>
      <c r="S41">
        <v>1916</v>
      </c>
      <c r="T41">
        <v>556</v>
      </c>
      <c r="U41">
        <f>T41/(T41+S41)</f>
        <v>0.22491909385113268</v>
      </c>
      <c r="V41">
        <f t="shared" si="6"/>
        <v>-4.7023661812297739</v>
      </c>
      <c r="W41">
        <f>M41-(SUM(S41:T41)*V41)</f>
        <v>23.222119000000021</v>
      </c>
      <c r="X41">
        <f>W41/(2*P41*R41)</f>
        <v>3.2822917632363148E-2</v>
      </c>
      <c r="Y41">
        <f>X41*16.02</f>
        <v>0.52582314047045764</v>
      </c>
      <c r="AB41" t="s">
        <v>32</v>
      </c>
      <c r="AC41" t="s">
        <v>29</v>
      </c>
      <c r="AD41" t="s">
        <v>30</v>
      </c>
      <c r="AE41" t="s">
        <v>61</v>
      </c>
      <c r="AH41" t="s">
        <v>32</v>
      </c>
      <c r="AI41" t="s">
        <v>29</v>
      </c>
      <c r="AJ41" t="s">
        <v>30</v>
      </c>
    </row>
    <row r="42" spans="2:36" x14ac:dyDescent="0.2">
      <c r="C42">
        <v>-55925.311612999998</v>
      </c>
      <c r="D42">
        <v>129094.587122</v>
      </c>
      <c r="E42">
        <f t="shared" si="7"/>
        <v>-6.8268202652587888</v>
      </c>
      <c r="F42">
        <f t="shared" si="8"/>
        <v>15.758616592041015</v>
      </c>
      <c r="L42">
        <v>464.89529199999998</v>
      </c>
      <c r="M42">
        <v>-11534.634687</v>
      </c>
      <c r="N42">
        <v>48984.277979999999</v>
      </c>
      <c r="O42">
        <v>-0.76151800000000003</v>
      </c>
      <c r="P42">
        <v>34.731409999999997</v>
      </c>
      <c r="Q42">
        <v>138.45278500000001</v>
      </c>
      <c r="R42">
        <v>10.186711000000001</v>
      </c>
      <c r="S42">
        <v>1941</v>
      </c>
      <c r="T42">
        <v>531</v>
      </c>
      <c r="U42">
        <f>T42/(T42+S42)</f>
        <v>0.21480582524271843</v>
      </c>
      <c r="V42">
        <f t="shared" si="6"/>
        <v>-4.6765763349514566</v>
      </c>
      <c r="W42">
        <f>M42-(SUM(S42:T42)*V42)</f>
        <v>25.862013000001753</v>
      </c>
      <c r="X42">
        <f>W42/(2*P42*R42)</f>
        <v>3.6549036270175625E-2</v>
      </c>
      <c r="Y42">
        <f>X42*16.02</f>
        <v>0.58551556104821345</v>
      </c>
      <c r="AA42" t="s">
        <v>17</v>
      </c>
      <c r="AB42" s="1">
        <v>0.5362059883727861</v>
      </c>
      <c r="AC42" s="1">
        <v>0.14492303780769569</v>
      </c>
      <c r="AD42" s="1">
        <v>1.6150578038657639</v>
      </c>
      <c r="AE42">
        <f>AC42-AD42</f>
        <v>-1.4701347660580681</v>
      </c>
      <c r="AG42" t="s">
        <v>17</v>
      </c>
      <c r="AH42" s="1">
        <v>1.4891655902649279</v>
      </c>
      <c r="AI42" s="1">
        <v>1.0668706217265669</v>
      </c>
      <c r="AJ42" s="1">
        <v>4.7616345139510194</v>
      </c>
    </row>
    <row r="43" spans="2:36" x14ac:dyDescent="0.2">
      <c r="C43">
        <v>-55925.301141999997</v>
      </c>
      <c r="D43">
        <v>129095.170333</v>
      </c>
      <c r="E43">
        <f t="shared" si="7"/>
        <v>-6.8268189870605465</v>
      </c>
      <c r="F43">
        <f t="shared" si="8"/>
        <v>15.758687784790039</v>
      </c>
      <c r="L43">
        <v>464.72149899999999</v>
      </c>
      <c r="M43">
        <v>-11533.335575999999</v>
      </c>
      <c r="N43">
        <v>49000.823893000001</v>
      </c>
      <c r="O43">
        <v>-0.82394800000000001</v>
      </c>
      <c r="P43">
        <v>34.784202000000001</v>
      </c>
      <c r="Q43">
        <v>138.35753800000001</v>
      </c>
      <c r="R43">
        <v>10.181685999999999</v>
      </c>
      <c r="S43">
        <v>1942</v>
      </c>
      <c r="T43">
        <v>530</v>
      </c>
      <c r="U43">
        <f>T43/(T43+S43)</f>
        <v>0.21440129449838188</v>
      </c>
      <c r="V43">
        <f t="shared" si="6"/>
        <v>-4.6755447411003237</v>
      </c>
      <c r="W43">
        <f>M43-(SUM(S43:T43)*V43)</f>
        <v>24.611023999999816</v>
      </c>
      <c r="X43">
        <f>W43/(2*P43*R43)</f>
        <v>3.4745450292418642E-2</v>
      </c>
      <c r="Y43">
        <f>X43*16.02</f>
        <v>0.55662211368454662</v>
      </c>
      <c r="AA43" t="s">
        <v>27</v>
      </c>
      <c r="AB43" s="1">
        <v>0.5440818844378893</v>
      </c>
      <c r="AC43" s="1">
        <v>0.32713488663809331</v>
      </c>
      <c r="AD43" s="1">
        <v>1.558032344723876</v>
      </c>
      <c r="AE43">
        <f>AC43-AD43</f>
        <v>-1.2308974580857828</v>
      </c>
      <c r="AG43" t="s">
        <v>27</v>
      </c>
      <c r="AH43" s="1">
        <v>1.5245619914802848</v>
      </c>
      <c r="AI43" s="1">
        <v>1.1455503149188069</v>
      </c>
      <c r="AJ43" s="1">
        <v>4.8121465670553381</v>
      </c>
    </row>
    <row r="44" spans="2:36" x14ac:dyDescent="0.2">
      <c r="C44">
        <v>-55925.089166999998</v>
      </c>
      <c r="D44">
        <v>129094.78817699999</v>
      </c>
      <c r="E44">
        <f t="shared" si="7"/>
        <v>-6.8267931112060545</v>
      </c>
      <c r="F44">
        <f t="shared" si="8"/>
        <v>15.758641134887695</v>
      </c>
      <c r="Y44" s="1">
        <f>AVERAGE(Y39:Y43)</f>
        <v>0.55771855148783955</v>
      </c>
      <c r="AA44" t="s">
        <v>28</v>
      </c>
      <c r="AB44" s="1">
        <v>0.55771855148783955</v>
      </c>
      <c r="AC44" s="1">
        <v>0.37869321186849236</v>
      </c>
      <c r="AD44" s="1">
        <v>1.596229230962249</v>
      </c>
      <c r="AE44">
        <f>AC44-AD44</f>
        <v>-1.2175360190937567</v>
      </c>
      <c r="AG44" t="s">
        <v>28</v>
      </c>
      <c r="AH44" s="1">
        <v>1.5551744218122761</v>
      </c>
      <c r="AI44" s="1">
        <v>1.1262821515018433</v>
      </c>
      <c r="AJ44" s="1">
        <v>4.8415910315349109</v>
      </c>
    </row>
    <row r="45" spans="2:36" x14ac:dyDescent="0.2">
      <c r="E45">
        <f>AVERAGE(E35:E44)</f>
        <v>-6.8267956550292963</v>
      </c>
      <c r="K45" t="s">
        <v>29</v>
      </c>
      <c r="AG45">
        <v>100</v>
      </c>
      <c r="AH45" s="1">
        <v>1.4749953008223016</v>
      </c>
      <c r="AI45" s="1"/>
      <c r="AJ45" s="1">
        <v>4.8426155432711706</v>
      </c>
    </row>
    <row r="46" spans="2:36" x14ac:dyDescent="0.2">
      <c r="L46" t="s">
        <v>18</v>
      </c>
      <c r="M46" t="s">
        <v>5</v>
      </c>
      <c r="N46" t="s">
        <v>7</v>
      </c>
      <c r="O46" t="s">
        <v>19</v>
      </c>
      <c r="P46" t="s">
        <v>20</v>
      </c>
      <c r="Q46" t="s">
        <v>21</v>
      </c>
      <c r="R46" t="s">
        <v>22</v>
      </c>
      <c r="S46" t="s">
        <v>26</v>
      </c>
      <c r="T46" t="s">
        <v>12</v>
      </c>
      <c r="U46" t="s">
        <v>23</v>
      </c>
      <c r="V46" t="s">
        <v>23</v>
      </c>
      <c r="AG46">
        <v>110</v>
      </c>
      <c r="AH46" s="1">
        <v>1.530252219114931</v>
      </c>
      <c r="AI46" s="1"/>
      <c r="AJ46" s="1">
        <v>4.8448430645972014</v>
      </c>
    </row>
    <row r="47" spans="2:36" x14ac:dyDescent="0.2">
      <c r="K47" t="s">
        <v>17</v>
      </c>
      <c r="L47">
        <v>464.916586</v>
      </c>
      <c r="M47">
        <v>-31464.593454000002</v>
      </c>
      <c r="N47">
        <v>165401.37097399999</v>
      </c>
      <c r="O47">
        <v>-0.30014999999999997</v>
      </c>
      <c r="P47">
        <v>31.458390000000001</v>
      </c>
      <c r="Q47">
        <v>185.936397</v>
      </c>
      <c r="R47">
        <v>28.277349000000001</v>
      </c>
      <c r="S47">
        <f>$F$4</f>
        <v>-4.1331986110500001</v>
      </c>
      <c r="T47">
        <f>M47-7616*S47</f>
        <v>13.847167756797717</v>
      </c>
      <c r="U47">
        <f>T47/(2*P47*R47)</f>
        <v>7.7831566918438733E-3</v>
      </c>
      <c r="V47">
        <f>U47*16.02</f>
        <v>0.12468617020333884</v>
      </c>
      <c r="AG47">
        <v>111</v>
      </c>
      <c r="AH47" s="1">
        <v>1.5931138135406762</v>
      </c>
      <c r="AI47" s="1">
        <v>1.2032963063395159</v>
      </c>
      <c r="AJ47" s="1">
        <v>4.9725269095211058</v>
      </c>
    </row>
    <row r="48" spans="2:36" x14ac:dyDescent="0.2">
      <c r="L48">
        <v>464.73456700000003</v>
      </c>
      <c r="M48">
        <v>-31456.488431999998</v>
      </c>
      <c r="N48">
        <v>165444.96119999999</v>
      </c>
      <c r="O48">
        <v>-0.11165</v>
      </c>
      <c r="P48">
        <v>31.465955999999998</v>
      </c>
      <c r="Q48">
        <v>186.136202</v>
      </c>
      <c r="R48">
        <v>28.247658000000001</v>
      </c>
      <c r="S48">
        <f t="shared" ref="S48:S63" si="9">$F$4</f>
        <v>-4.1331986110500001</v>
      </c>
      <c r="T48">
        <f>M48-7616*S48</f>
        <v>21.95218975680109</v>
      </c>
      <c r="U48">
        <f>T48/(2*P48*R48)</f>
        <v>1.2348791982578509E-2</v>
      </c>
      <c r="V48">
        <f>U48*16.02</f>
        <v>0.1978276475609077</v>
      </c>
    </row>
    <row r="49" spans="11:22" x14ac:dyDescent="0.2">
      <c r="L49">
        <v>464.76356800000002</v>
      </c>
      <c r="M49">
        <v>-31461.521204000001</v>
      </c>
      <c r="N49">
        <v>165445.19848399999</v>
      </c>
      <c r="O49">
        <v>-0.337615</v>
      </c>
      <c r="P49">
        <v>31.461282000000001</v>
      </c>
      <c r="Q49">
        <v>186.01397600000001</v>
      </c>
      <c r="R49">
        <v>28.270468999999999</v>
      </c>
      <c r="S49">
        <f t="shared" si="9"/>
        <v>-4.1331986110500001</v>
      </c>
      <c r="T49">
        <f>M49-7616*S49</f>
        <v>16.919417756798794</v>
      </c>
      <c r="U49">
        <f>T49/(2*P49*R49)</f>
        <v>9.5114337915726301E-3</v>
      </c>
      <c r="V49">
        <f>U49*16.02</f>
        <v>0.15237316934099354</v>
      </c>
    </row>
    <row r="50" spans="11:22" x14ac:dyDescent="0.2">
      <c r="L50">
        <v>464.88640900000001</v>
      </c>
      <c r="M50">
        <v>-31464.148608</v>
      </c>
      <c r="N50">
        <v>165398.430245</v>
      </c>
      <c r="O50">
        <v>-0.233149</v>
      </c>
      <c r="P50">
        <v>31.474143999999999</v>
      </c>
      <c r="Q50">
        <v>185.88357400000001</v>
      </c>
      <c r="R50">
        <v>28.270772999999998</v>
      </c>
      <c r="S50">
        <f t="shared" si="9"/>
        <v>-4.1331986110500001</v>
      </c>
      <c r="T50">
        <f>M50-7616*S50</f>
        <v>14.292013756799861</v>
      </c>
      <c r="U50">
        <f>T50/(2*P50*R50)</f>
        <v>8.0310405546492741E-3</v>
      </c>
      <c r="V50">
        <f>U50*16.02</f>
        <v>0.12865726968548136</v>
      </c>
    </row>
    <row r="51" spans="11:22" x14ac:dyDescent="0.2">
      <c r="L51">
        <v>464.936982</v>
      </c>
      <c r="M51">
        <v>-31464.988101999999</v>
      </c>
      <c r="N51">
        <v>165365.474472</v>
      </c>
      <c r="O51">
        <v>-0.24110799999999999</v>
      </c>
      <c r="P51">
        <v>31.462541000000002</v>
      </c>
      <c r="Q51">
        <v>185.80175</v>
      </c>
      <c r="R51">
        <v>28.288015000000001</v>
      </c>
      <c r="S51">
        <f t="shared" si="9"/>
        <v>-4.1331986110500001</v>
      </c>
      <c r="T51">
        <f>M51-7616*S51</f>
        <v>13.452519756800029</v>
      </c>
      <c r="U51">
        <f>T51/(2*P51*R51)</f>
        <v>7.557486407475467E-3</v>
      </c>
      <c r="V51">
        <f>U51*16.02</f>
        <v>0.12107093224775697</v>
      </c>
    </row>
    <row r="52" spans="11:22" x14ac:dyDescent="0.2">
      <c r="V52" s="1">
        <f>AVERAGE(V47:V51)</f>
        <v>0.14492303780769569</v>
      </c>
    </row>
    <row r="53" spans="11:22" x14ac:dyDescent="0.2">
      <c r="K53" t="s">
        <v>27</v>
      </c>
      <c r="L53">
        <v>464.85497199999998</v>
      </c>
      <c r="M53">
        <v>-11884.467850000001</v>
      </c>
      <c r="N53">
        <v>62637.035754999997</v>
      </c>
      <c r="O53">
        <v>-0.74572099999999997</v>
      </c>
      <c r="P53">
        <v>33.427830999999998</v>
      </c>
      <c r="Q53">
        <v>133.00019900000001</v>
      </c>
      <c r="R53">
        <v>14.088711999999999</v>
      </c>
      <c r="S53">
        <f t="shared" si="9"/>
        <v>-4.1331986110500001</v>
      </c>
      <c r="T53">
        <f>M53-2880*S53</f>
        <v>19.144149824000124</v>
      </c>
      <c r="U53">
        <f>T53/(2*P53*R53)</f>
        <v>2.0324814918464457E-2</v>
      </c>
      <c r="V53">
        <f>U53*16.02</f>
        <v>0.32560353499380063</v>
      </c>
    </row>
    <row r="54" spans="11:22" x14ac:dyDescent="0.2">
      <c r="L54">
        <v>464.81020899999999</v>
      </c>
      <c r="M54">
        <v>-11883.715937000001</v>
      </c>
      <c r="N54">
        <v>62636.326987</v>
      </c>
      <c r="O54">
        <v>-0.60151699999999997</v>
      </c>
      <c r="P54">
        <v>33.414979000000002</v>
      </c>
      <c r="Q54">
        <v>133.06911700000001</v>
      </c>
      <c r="R54">
        <v>14.086677999999999</v>
      </c>
      <c r="S54">
        <f t="shared" si="9"/>
        <v>-4.1331986110500001</v>
      </c>
      <c r="T54">
        <f>M54-2880*S54</f>
        <v>19.896062824000182</v>
      </c>
      <c r="U54">
        <f>T54/(2*P54*R54)</f>
        <v>2.1134275672716647E-2</v>
      </c>
      <c r="V54">
        <f>U54*16.02</f>
        <v>0.33857109627692067</v>
      </c>
    </row>
    <row r="55" spans="11:22" x14ac:dyDescent="0.2">
      <c r="L55">
        <v>464.71092499999997</v>
      </c>
      <c r="M55">
        <v>-11884.775748</v>
      </c>
      <c r="N55">
        <v>62636.170113</v>
      </c>
      <c r="O55">
        <v>-0.64513100000000001</v>
      </c>
      <c r="P55">
        <v>33.429029999999997</v>
      </c>
      <c r="Q55">
        <v>132.99564599999999</v>
      </c>
      <c r="R55">
        <v>14.088507999999999</v>
      </c>
      <c r="S55">
        <f t="shared" si="9"/>
        <v>-4.1331986110500001</v>
      </c>
      <c r="T55">
        <f>M55-2880*S55</f>
        <v>18.83625182400101</v>
      </c>
      <c r="U55">
        <f>T55/(2*P55*R55)</f>
        <v>1.9997500410109264E-2</v>
      </c>
      <c r="V55">
        <f>U55*16.02</f>
        <v>0.32035995656995042</v>
      </c>
    </row>
    <row r="56" spans="11:22" x14ac:dyDescent="0.2">
      <c r="L56">
        <v>464.805072</v>
      </c>
      <c r="M56">
        <v>-11884.334333999999</v>
      </c>
      <c r="N56">
        <v>62628.997877000002</v>
      </c>
      <c r="O56">
        <v>-0.719476</v>
      </c>
      <c r="P56">
        <v>33.436509000000001</v>
      </c>
      <c r="Q56">
        <v>133.03663900000001</v>
      </c>
      <c r="R56">
        <v>14.079394000000001</v>
      </c>
      <c r="S56">
        <f t="shared" si="9"/>
        <v>-4.1331986110500001</v>
      </c>
      <c r="T56">
        <f>M56-2880*S56</f>
        <v>19.277665824001815</v>
      </c>
      <c r="U56">
        <f>T56/(2*P56*R56)</f>
        <v>2.0474794973623534E-2</v>
      </c>
      <c r="V56">
        <f>U56*16.02</f>
        <v>0.32800621547744901</v>
      </c>
    </row>
    <row r="57" spans="11:22" x14ac:dyDescent="0.2">
      <c r="L57">
        <v>465.04867899999999</v>
      </c>
      <c r="M57">
        <v>-11884.630647</v>
      </c>
      <c r="N57">
        <v>62643.883706000001</v>
      </c>
      <c r="O57">
        <v>-0.70786199999999999</v>
      </c>
      <c r="P57">
        <v>33.438293000000002</v>
      </c>
      <c r="Q57">
        <v>133.13806600000001</v>
      </c>
      <c r="R57">
        <v>14.071274000000001</v>
      </c>
      <c r="S57">
        <f t="shared" si="9"/>
        <v>-4.1331986110500001</v>
      </c>
      <c r="T57">
        <f>M57-2880*S57</f>
        <v>18.981352824001078</v>
      </c>
      <c r="U57">
        <f>T57/(2*P57*R57)</f>
        <v>2.01706385688106E-2</v>
      </c>
      <c r="V57">
        <f>U57*16.02</f>
        <v>0.32313362987234578</v>
      </c>
    </row>
    <row r="58" spans="11:22" x14ac:dyDescent="0.2">
      <c r="V58" s="1">
        <f>AVERAGE(V53:V57)</f>
        <v>0.32713488663809331</v>
      </c>
    </row>
    <row r="59" spans="11:22" x14ac:dyDescent="0.2">
      <c r="K59" t="s">
        <v>28</v>
      </c>
      <c r="L59">
        <v>464.71959299999997</v>
      </c>
      <c r="M59">
        <v>-20399.149248000002</v>
      </c>
      <c r="N59">
        <v>107432.520925</v>
      </c>
      <c r="O59">
        <v>-0.34570499999999998</v>
      </c>
      <c r="P59">
        <v>35.877668999999997</v>
      </c>
      <c r="Q59">
        <v>141.33048199999999</v>
      </c>
      <c r="R59">
        <v>21.187329999999999</v>
      </c>
      <c r="S59">
        <f t="shared" si="9"/>
        <v>-4.1331986110500001</v>
      </c>
      <c r="T59">
        <f>M59-4944*S59</f>
        <v>35.384685031200206</v>
      </c>
      <c r="U59">
        <f>T59/(2*P59*R59)</f>
        <v>2.3274742708333181E-2</v>
      </c>
      <c r="V59">
        <f>U59*16.02</f>
        <v>0.37286137818749754</v>
      </c>
    </row>
    <row r="60" spans="11:22" x14ac:dyDescent="0.2">
      <c r="L60">
        <v>464.63381800000002</v>
      </c>
      <c r="M60">
        <v>-20398.597358999999</v>
      </c>
      <c r="N60">
        <v>107440.651558</v>
      </c>
      <c r="O60">
        <v>-0.46467700000000001</v>
      </c>
      <c r="P60">
        <v>35.868890999999998</v>
      </c>
      <c r="Q60">
        <v>141.359464</v>
      </c>
      <c r="R60">
        <v>21.189776999999999</v>
      </c>
      <c r="S60">
        <f t="shared" si="9"/>
        <v>-4.1331986110500001</v>
      </c>
      <c r="T60">
        <f>M60-4944*S60</f>
        <v>35.936574031202326</v>
      </c>
      <c r="U60">
        <f>T60/(2*P60*R60)</f>
        <v>2.3640809347304611E-2</v>
      </c>
      <c r="V60">
        <f>U60*16.02</f>
        <v>0.37872576574381983</v>
      </c>
    </row>
    <row r="61" spans="11:22" x14ac:dyDescent="0.2">
      <c r="L61">
        <v>464.909558</v>
      </c>
      <c r="M61">
        <v>-20399.305515</v>
      </c>
      <c r="N61">
        <v>107450.47373100001</v>
      </c>
      <c r="O61">
        <v>-0.27631499999999998</v>
      </c>
      <c r="P61">
        <v>35.881371000000001</v>
      </c>
      <c r="Q61">
        <v>141.35805199999999</v>
      </c>
      <c r="R61">
        <v>21.184556000000001</v>
      </c>
      <c r="S61">
        <f t="shared" si="9"/>
        <v>-4.1331986110500001</v>
      </c>
      <c r="T61">
        <f>M61-4944*S61</f>
        <v>35.228418031201727</v>
      </c>
      <c r="U61">
        <f>T61/(2*P61*R61)</f>
        <v>2.3172599228974723E-2</v>
      </c>
      <c r="V61">
        <f>U61*16.02</f>
        <v>0.37122503964817505</v>
      </c>
    </row>
    <row r="62" spans="11:22" x14ac:dyDescent="0.2">
      <c r="L62">
        <v>464.92638399999998</v>
      </c>
      <c r="M62">
        <v>-20398.770113999999</v>
      </c>
      <c r="N62">
        <v>107459.703433</v>
      </c>
      <c r="O62">
        <v>-0.42234500000000003</v>
      </c>
      <c r="P62">
        <v>35.897095999999998</v>
      </c>
      <c r="Q62">
        <v>141.29603599999999</v>
      </c>
      <c r="R62">
        <v>21.186382999999999</v>
      </c>
      <c r="S62">
        <f t="shared" si="9"/>
        <v>-4.1331986110500001</v>
      </c>
      <c r="T62">
        <f>M62-4944*S62</f>
        <v>35.763819031202729</v>
      </c>
      <c r="U62">
        <f>T62/(2*P62*R62)</f>
        <v>2.3512443093429449E-2</v>
      </c>
      <c r="V62">
        <f>U62*16.02</f>
        <v>0.37666933835673977</v>
      </c>
    </row>
    <row r="63" spans="11:22" x14ac:dyDescent="0.2">
      <c r="L63">
        <v>464.824364</v>
      </c>
      <c r="M63">
        <v>-20397.155696000002</v>
      </c>
      <c r="N63">
        <v>107484.489954</v>
      </c>
      <c r="O63">
        <v>-0.51593500000000003</v>
      </c>
      <c r="P63">
        <v>35.894244</v>
      </c>
      <c r="Q63">
        <v>141.44062700000001</v>
      </c>
      <c r="R63">
        <v>21.171291</v>
      </c>
      <c r="S63">
        <f t="shared" si="9"/>
        <v>-4.1331986110500001</v>
      </c>
      <c r="T63">
        <f>M63-4944*S63</f>
        <v>37.378237031200115</v>
      </c>
      <c r="U63">
        <f>T63/(2*P63*R63)</f>
        <v>2.4593291972923204E-2</v>
      </c>
      <c r="V63">
        <f>U63*16.02</f>
        <v>0.39398453740622968</v>
      </c>
    </row>
    <row r="64" spans="11:22" x14ac:dyDescent="0.2">
      <c r="V64" s="1">
        <f>AVERAGE(V59:V63)</f>
        <v>0.37869321186849236</v>
      </c>
    </row>
    <row r="65" spans="11:22" x14ac:dyDescent="0.2">
      <c r="K65" t="s">
        <v>30</v>
      </c>
    </row>
    <row r="66" spans="11:22" x14ac:dyDescent="0.2">
      <c r="L66" t="s">
        <v>18</v>
      </c>
      <c r="M66" t="s">
        <v>5</v>
      </c>
      <c r="N66" t="s">
        <v>7</v>
      </c>
      <c r="O66" t="s">
        <v>19</v>
      </c>
      <c r="P66" t="s">
        <v>20</v>
      </c>
      <c r="Q66" t="s">
        <v>21</v>
      </c>
      <c r="R66" t="s">
        <v>22</v>
      </c>
      <c r="S66" t="s">
        <v>26</v>
      </c>
      <c r="T66" t="s">
        <v>12</v>
      </c>
      <c r="U66" t="s">
        <v>23</v>
      </c>
      <c r="V66" t="s">
        <v>23</v>
      </c>
    </row>
    <row r="67" spans="11:22" x14ac:dyDescent="0.2">
      <c r="K67" t="s">
        <v>17</v>
      </c>
      <c r="L67">
        <v>464.73949900000002</v>
      </c>
      <c r="M67">
        <v>-51849.507314000002</v>
      </c>
      <c r="N67">
        <v>120354.17832599999</v>
      </c>
      <c r="O67">
        <v>-0.39194699999999999</v>
      </c>
      <c r="P67">
        <v>28.251328000000001</v>
      </c>
      <c r="Q67">
        <v>168.74887799999999</v>
      </c>
      <c r="R67">
        <v>25.245353000000001</v>
      </c>
      <c r="S67">
        <f>$G$4</f>
        <v>-6.8267956550292963</v>
      </c>
      <c r="T67">
        <f>M67-7616*S67</f>
        <v>143.36839470311679</v>
      </c>
      <c r="U67">
        <f>T67/(2*P67*R67)</f>
        <v>0.10050857409308638</v>
      </c>
      <c r="V67">
        <f>U67*16.02</f>
        <v>1.6101473569712437</v>
      </c>
    </row>
    <row r="68" spans="11:22" x14ac:dyDescent="0.2">
      <c r="L68">
        <v>464.754817</v>
      </c>
      <c r="M68">
        <v>-51848.689295999997</v>
      </c>
      <c r="N68">
        <v>120355.494234</v>
      </c>
      <c r="O68">
        <v>-0.26139800000000002</v>
      </c>
      <c r="P68">
        <v>28.251353000000002</v>
      </c>
      <c r="Q68">
        <v>168.74944500000001</v>
      </c>
      <c r="R68">
        <v>25.245521</v>
      </c>
      <c r="S68">
        <f t="shared" ref="S68:S83" si="10">$G$4</f>
        <v>-6.8267956550292963</v>
      </c>
      <c r="T68">
        <f>M68-7616*S68</f>
        <v>144.18641270312219</v>
      </c>
      <c r="U68">
        <f>T68/(2*P68*R68)</f>
        <v>0.10108128441705723</v>
      </c>
      <c r="V68">
        <f>U68*16.02</f>
        <v>1.6193221763612569</v>
      </c>
    </row>
    <row r="69" spans="11:22" x14ac:dyDescent="0.2">
      <c r="L69">
        <v>464.75722300000001</v>
      </c>
      <c r="M69">
        <v>-51848.885291999999</v>
      </c>
      <c r="N69">
        <v>120354.382336</v>
      </c>
      <c r="O69">
        <v>-0.31911699999999998</v>
      </c>
      <c r="P69">
        <v>28.251494999999998</v>
      </c>
      <c r="Q69">
        <v>168.746816</v>
      </c>
      <c r="R69">
        <v>25.245553999999998</v>
      </c>
      <c r="S69">
        <f t="shared" si="10"/>
        <v>-6.8267956550292963</v>
      </c>
      <c r="T69">
        <f>M69-7616*S69</f>
        <v>143.99041670311999</v>
      </c>
      <c r="U69">
        <f>T69/(2*P69*R69)</f>
        <v>0.10094324291541797</v>
      </c>
      <c r="V69">
        <f>U69*16.02</f>
        <v>1.6171107515049958</v>
      </c>
    </row>
    <row r="70" spans="11:22" x14ac:dyDescent="0.2">
      <c r="L70">
        <v>464.77321999999998</v>
      </c>
      <c r="M70">
        <v>-51848.848524000001</v>
      </c>
      <c r="N70">
        <v>120355.517246</v>
      </c>
      <c r="O70">
        <v>-0.24727099999999999</v>
      </c>
      <c r="P70">
        <v>28.251462</v>
      </c>
      <c r="Q70">
        <v>168.748985</v>
      </c>
      <c r="R70">
        <v>25.245497</v>
      </c>
      <c r="S70">
        <f t="shared" si="10"/>
        <v>-6.8267956550292963</v>
      </c>
      <c r="T70">
        <f>M70-7616*S70</f>
        <v>144.02718470311811</v>
      </c>
      <c r="U70">
        <f>T70/(2*P70*R70)</f>
        <v>0.10096936471650141</v>
      </c>
      <c r="V70">
        <f>U70*16.02</f>
        <v>1.6175292227583524</v>
      </c>
    </row>
    <row r="71" spans="11:22" x14ac:dyDescent="0.2">
      <c r="L71">
        <v>464.75842399999999</v>
      </c>
      <c r="M71">
        <v>-51849.415555</v>
      </c>
      <c r="N71">
        <v>120354.307602</v>
      </c>
      <c r="O71">
        <v>-0.25007600000000002</v>
      </c>
      <c r="P71">
        <v>28.251445</v>
      </c>
      <c r="Q71">
        <v>168.74922599999999</v>
      </c>
      <c r="R71">
        <v>25.245222999999999</v>
      </c>
      <c r="S71">
        <f t="shared" si="10"/>
        <v>-6.8267956550292963</v>
      </c>
      <c r="T71">
        <f>M71-7616*S71</f>
        <v>143.46015370311943</v>
      </c>
      <c r="U71">
        <f>T71/(2*P71*R71)</f>
        <v>0.10057300322927397</v>
      </c>
      <c r="V71">
        <f>U71*16.02</f>
        <v>1.611179511732969</v>
      </c>
    </row>
    <row r="72" spans="11:22" x14ac:dyDescent="0.2">
      <c r="V72" s="1">
        <f>AVERAGE(V67:V71)</f>
        <v>1.6150578038657639</v>
      </c>
    </row>
    <row r="73" spans="11:22" x14ac:dyDescent="0.2">
      <c r="K73" t="s">
        <v>27</v>
      </c>
      <c r="L73">
        <v>464.82972799999999</v>
      </c>
      <c r="M73">
        <v>-19587.625405999999</v>
      </c>
      <c r="N73">
        <v>45495.100986999998</v>
      </c>
      <c r="O73">
        <v>-0.859622</v>
      </c>
      <c r="P73">
        <v>29.943534</v>
      </c>
      <c r="Q73">
        <v>120.38207300000001</v>
      </c>
      <c r="R73">
        <v>12.621176</v>
      </c>
      <c r="S73">
        <f t="shared" si="10"/>
        <v>-6.8267956550292963</v>
      </c>
      <c r="T73">
        <f>M73-2880*S73</f>
        <v>73.546080484375125</v>
      </c>
      <c r="U73">
        <f>T73/(2*P73*R73)</f>
        <v>9.7303095948152021E-2</v>
      </c>
      <c r="V73">
        <f>U73*16.02</f>
        <v>1.5587955970893954</v>
      </c>
    </row>
    <row r="74" spans="11:22" x14ac:dyDescent="0.2">
      <c r="L74">
        <v>464.77989600000001</v>
      </c>
      <c r="M74">
        <v>-19587.710070000001</v>
      </c>
      <c r="N74">
        <v>45495.063679999999</v>
      </c>
      <c r="O74">
        <v>-0.97931599999999996</v>
      </c>
      <c r="P74">
        <v>29.943286000000001</v>
      </c>
      <c r="Q74">
        <v>120.383501</v>
      </c>
      <c r="R74">
        <v>12.621119999999999</v>
      </c>
      <c r="S74">
        <f t="shared" si="10"/>
        <v>-6.8267956550292963</v>
      </c>
      <c r="T74">
        <f>M74-2880*S74</f>
        <v>73.461416484373331</v>
      </c>
      <c r="U74">
        <f>T74/(2*P74*R74)</f>
        <v>9.7192319807217639E-2</v>
      </c>
      <c r="V74">
        <f>U74*16.02</f>
        <v>1.5570209633116265</v>
      </c>
    </row>
    <row r="75" spans="11:22" x14ac:dyDescent="0.2">
      <c r="L75">
        <v>464.44183900000002</v>
      </c>
      <c r="M75">
        <v>-19587.537301</v>
      </c>
      <c r="N75">
        <v>45495.553080999998</v>
      </c>
      <c r="O75">
        <v>-0.988452</v>
      </c>
      <c r="P75">
        <v>29.943681999999999</v>
      </c>
      <c r="Q75">
        <v>120.384174</v>
      </c>
      <c r="R75">
        <v>12.621017999999999</v>
      </c>
      <c r="S75">
        <f t="shared" si="10"/>
        <v>-6.8267956550292963</v>
      </c>
      <c r="T75">
        <f>M75-2880*S75</f>
        <v>73.634185484374029</v>
      </c>
      <c r="U75">
        <f>T75/(2*P75*R75)</f>
        <v>9.7420398881220061E-2</v>
      </c>
      <c r="V75">
        <f>U75*16.02</f>
        <v>1.5606747900771454</v>
      </c>
    </row>
    <row r="76" spans="11:22" x14ac:dyDescent="0.2">
      <c r="L76">
        <v>464.62742400000002</v>
      </c>
      <c r="M76">
        <v>-19587.588737999999</v>
      </c>
      <c r="N76">
        <v>45495.187771999997</v>
      </c>
      <c r="O76">
        <v>-0.79405700000000001</v>
      </c>
      <c r="P76">
        <v>29.943745</v>
      </c>
      <c r="Q76">
        <v>120.381293</v>
      </c>
      <c r="R76">
        <v>12.621193</v>
      </c>
      <c r="S76">
        <f t="shared" si="10"/>
        <v>-6.8267956550292963</v>
      </c>
      <c r="T76">
        <f>M76-2880*S76</f>
        <v>73.58274848437577</v>
      </c>
      <c r="U76">
        <f>T76/(2*P76*R76)</f>
        <v>9.7350791406961512E-2</v>
      </c>
      <c r="V76">
        <f>U76*16.02</f>
        <v>1.5595596783395234</v>
      </c>
    </row>
    <row r="77" spans="11:22" x14ac:dyDescent="0.2">
      <c r="L77">
        <v>464.57541700000002</v>
      </c>
      <c r="M77">
        <v>-19587.846808999999</v>
      </c>
      <c r="N77">
        <v>45494.888141000003</v>
      </c>
      <c r="O77">
        <v>-0.81503599999999998</v>
      </c>
      <c r="P77">
        <v>29.943521</v>
      </c>
      <c r="Q77">
        <v>120.382098</v>
      </c>
      <c r="R77">
        <v>12.621119</v>
      </c>
      <c r="S77">
        <f t="shared" si="10"/>
        <v>-6.8267956550292963</v>
      </c>
      <c r="T77">
        <f>M77-2880*S77</f>
        <v>73.32467748437557</v>
      </c>
      <c r="U77">
        <f>T77/(2*P77*R77)</f>
        <v>9.7010655106222768E-2</v>
      </c>
      <c r="V77">
        <f>U77*16.02</f>
        <v>1.5541106948016887</v>
      </c>
    </row>
    <row r="78" spans="11:22" x14ac:dyDescent="0.2">
      <c r="V78" s="1">
        <f>AVERAGE(V73:V77)</f>
        <v>1.558032344723876</v>
      </c>
    </row>
    <row r="79" spans="11:22" x14ac:dyDescent="0.2">
      <c r="K79" t="s">
        <v>28</v>
      </c>
      <c r="L79">
        <v>464.701888</v>
      </c>
      <c r="M79">
        <v>-33630.055855999999</v>
      </c>
      <c r="N79">
        <v>78139.909834000006</v>
      </c>
      <c r="O79">
        <v>-0.226856</v>
      </c>
      <c r="P79">
        <v>32.192830999999998</v>
      </c>
      <c r="Q79">
        <v>128.17674700000001</v>
      </c>
      <c r="R79">
        <v>18.936709</v>
      </c>
      <c r="S79">
        <f t="shared" si="10"/>
        <v>-6.8267956550292963</v>
      </c>
      <c r="T79">
        <f>M79-4944*S79</f>
        <v>121.62186246483907</v>
      </c>
      <c r="U79">
        <f>T79/(2*P79*R79)</f>
        <v>9.9751165545625159E-2</v>
      </c>
      <c r="V79">
        <f>U79*16.02</f>
        <v>1.598013672040915</v>
      </c>
    </row>
    <row r="80" spans="11:22" x14ac:dyDescent="0.2">
      <c r="L80">
        <v>464.74265200000002</v>
      </c>
      <c r="M80">
        <v>-33630.304404000002</v>
      </c>
      <c r="N80">
        <v>78139.526595999996</v>
      </c>
      <c r="O80">
        <v>-0.55133100000000002</v>
      </c>
      <c r="P80">
        <v>32.192878999999998</v>
      </c>
      <c r="Q80">
        <v>128.17632599999999</v>
      </c>
      <c r="R80">
        <v>18.936651000000001</v>
      </c>
      <c r="S80">
        <f t="shared" si="10"/>
        <v>-6.8267956550292963</v>
      </c>
      <c r="T80">
        <f>M80-4944*S80</f>
        <v>121.37331446483586</v>
      </c>
      <c r="U80">
        <f>T80/(2*P80*R80)</f>
        <v>9.9547469253769394E-2</v>
      </c>
      <c r="V80">
        <f>U80*16.02</f>
        <v>1.5947504574453857</v>
      </c>
    </row>
    <row r="81" spans="10:25" x14ac:dyDescent="0.2">
      <c r="L81">
        <v>464.65845100000001</v>
      </c>
      <c r="M81">
        <v>-33630.197804000003</v>
      </c>
      <c r="N81">
        <v>78139.325396999993</v>
      </c>
      <c r="O81">
        <v>-0.459679</v>
      </c>
      <c r="P81">
        <v>32.192954</v>
      </c>
      <c r="Q81">
        <v>128.17524299999999</v>
      </c>
      <c r="R81">
        <v>18.936717999999999</v>
      </c>
      <c r="S81">
        <f t="shared" si="10"/>
        <v>-6.8267956550292963</v>
      </c>
      <c r="T81">
        <f>M81-4944*S81</f>
        <v>121.47991446483502</v>
      </c>
      <c r="U81">
        <f>T81/(2*P81*R81)</f>
        <v>9.963431536924594E-2</v>
      </c>
      <c r="V81">
        <f>U81*16.02</f>
        <v>1.59614173221532</v>
      </c>
    </row>
    <row r="82" spans="10:25" x14ac:dyDescent="0.2">
      <c r="L82">
        <v>464.852958</v>
      </c>
      <c r="M82">
        <v>-33630.061567999997</v>
      </c>
      <c r="N82">
        <v>78139.278909000001</v>
      </c>
      <c r="O82">
        <v>-0.464032</v>
      </c>
      <c r="P82">
        <v>32.193112999999997</v>
      </c>
      <c r="Q82">
        <v>128.17422099999999</v>
      </c>
      <c r="R82">
        <v>18.936764</v>
      </c>
      <c r="S82">
        <f t="shared" si="10"/>
        <v>-6.8267956550292963</v>
      </c>
      <c r="T82">
        <f>M82-4944*S82</f>
        <v>121.61615046484076</v>
      </c>
      <c r="U82">
        <f>T82/(2*P82*R82)</f>
        <v>9.9745317263679453E-2</v>
      </c>
      <c r="V82">
        <f>U82*16.02</f>
        <v>1.5979199825641448</v>
      </c>
    </row>
    <row r="83" spans="10:25" x14ac:dyDescent="0.2">
      <c r="L83">
        <v>464.78384899999998</v>
      </c>
      <c r="M83">
        <v>-33630.336378</v>
      </c>
      <c r="N83">
        <v>78139.306970999998</v>
      </c>
      <c r="O83">
        <v>-0.56597900000000001</v>
      </c>
      <c r="P83">
        <v>32.193102000000003</v>
      </c>
      <c r="Q83">
        <v>128.17515800000001</v>
      </c>
      <c r="R83">
        <v>18.936639</v>
      </c>
      <c r="S83">
        <f t="shared" si="10"/>
        <v>-6.8267956550292963</v>
      </c>
      <c r="T83">
        <f>M83-4944*S83</f>
        <v>121.34134046483814</v>
      </c>
      <c r="U83">
        <f>T83/(2*P83*R83)</f>
        <v>9.9520618635797739E-2</v>
      </c>
      <c r="V83">
        <f>U83*16.02</f>
        <v>1.5943203105454797</v>
      </c>
    </row>
    <row r="84" spans="10:25" x14ac:dyDescent="0.2">
      <c r="V84" s="1">
        <f>AVERAGE(V79:V83)</f>
        <v>1.596229230962249</v>
      </c>
    </row>
    <row r="87" spans="10:25" x14ac:dyDescent="0.2">
      <c r="J87" t="s">
        <v>31</v>
      </c>
      <c r="L87" t="s">
        <v>16</v>
      </c>
      <c r="X87" t="s">
        <v>25</v>
      </c>
      <c r="Y87" t="s">
        <v>24</v>
      </c>
    </row>
    <row r="88" spans="10:25" x14ac:dyDescent="0.2">
      <c r="L88" t="s">
        <v>18</v>
      </c>
      <c r="M88" t="s">
        <v>5</v>
      </c>
      <c r="N88" t="s">
        <v>7</v>
      </c>
      <c r="O88" t="s">
        <v>19</v>
      </c>
      <c r="P88" t="s">
        <v>20</v>
      </c>
      <c r="Q88" t="s">
        <v>21</v>
      </c>
      <c r="R88" t="s">
        <v>22</v>
      </c>
      <c r="S88" t="s">
        <v>4</v>
      </c>
      <c r="T88" t="s">
        <v>10</v>
      </c>
      <c r="U88" t="s">
        <v>13</v>
      </c>
      <c r="V88" t="s">
        <v>26</v>
      </c>
      <c r="W88" t="s">
        <v>12</v>
      </c>
      <c r="X88" t="s">
        <v>23</v>
      </c>
      <c r="Y88" t="s">
        <v>23</v>
      </c>
    </row>
    <row r="89" spans="10:25" x14ac:dyDescent="0.2">
      <c r="K89" t="s">
        <v>17</v>
      </c>
      <c r="L89">
        <v>433.79430000000002</v>
      </c>
      <c r="M89">
        <v>-9016.2973409999995</v>
      </c>
      <c r="N89">
        <v>75506.847861000002</v>
      </c>
      <c r="O89">
        <v>-0.37671500000000002</v>
      </c>
      <c r="P89">
        <v>30.467006000000001</v>
      </c>
      <c r="Q89">
        <v>91.716122999999996</v>
      </c>
      <c r="R89">
        <v>27.021708</v>
      </c>
      <c r="S89">
        <v>1519</v>
      </c>
      <c r="T89">
        <v>433</v>
      </c>
      <c r="U89">
        <f>T89/(T89+S89)</f>
        <v>0.22182377049180327</v>
      </c>
      <c r="V89">
        <f t="shared" ref="V89:V123" si="11">-4.1288-2.5501*U89</f>
        <v>-4.694472797131148</v>
      </c>
      <c r="W89">
        <f>M89-(SUM(S89:T89)*V89)</f>
        <v>147.31355900000199</v>
      </c>
      <c r="X89">
        <f>W89/(2*P89*R89)</f>
        <v>8.9468499043964853E-2</v>
      </c>
      <c r="Y89">
        <f>X89*16.02</f>
        <v>1.4332853546843169</v>
      </c>
    </row>
    <row r="90" spans="10:25" x14ac:dyDescent="0.2">
      <c r="L90">
        <v>433.72143299999999</v>
      </c>
      <c r="M90">
        <v>-8946.5563999999995</v>
      </c>
      <c r="N90">
        <v>76051.610467999999</v>
      </c>
      <c r="O90">
        <v>-0.42987199999999998</v>
      </c>
      <c r="P90">
        <v>30.542525000000001</v>
      </c>
      <c r="Q90">
        <v>92.160507999999993</v>
      </c>
      <c r="R90">
        <v>27.018424</v>
      </c>
      <c r="S90">
        <v>1545</v>
      </c>
      <c r="T90">
        <v>407</v>
      </c>
      <c r="U90">
        <f>T90/(T90+S90)</f>
        <v>0.20850409836065573</v>
      </c>
      <c r="V90">
        <f t="shared" si="11"/>
        <v>-4.6605063012295078</v>
      </c>
      <c r="W90">
        <f>M90-(SUM(S90:T90)*V90)</f>
        <v>150.7518999999993</v>
      </c>
      <c r="X90">
        <f>W90/(2*P90*R90)</f>
        <v>9.1341438739497183E-2</v>
      </c>
      <c r="Y90">
        <f>X90*16.02</f>
        <v>1.4632898486067449</v>
      </c>
    </row>
    <row r="91" spans="10:25" x14ac:dyDescent="0.2">
      <c r="L91">
        <v>433.87445100000002</v>
      </c>
      <c r="M91">
        <v>-9034.4441499999994</v>
      </c>
      <c r="N91">
        <v>75767.913321999993</v>
      </c>
      <c r="O91">
        <v>-0.419352</v>
      </c>
      <c r="P91">
        <v>30.424339</v>
      </c>
      <c r="Q91">
        <v>92.017538999999999</v>
      </c>
      <c r="R91">
        <v>27.064157000000002</v>
      </c>
      <c r="S91">
        <v>1506</v>
      </c>
      <c r="T91">
        <v>446</v>
      </c>
      <c r="U91">
        <f>T91/(T91+S91)</f>
        <v>0.22848360655737704</v>
      </c>
      <c r="V91">
        <f t="shared" si="11"/>
        <v>-4.7114560450819676</v>
      </c>
      <c r="W91">
        <f>M91-(SUM(S91:T91)*V91)</f>
        <v>162.31805000000168</v>
      </c>
      <c r="X91">
        <f>W91/(2*P91*R91)</f>
        <v>9.8564645751515578E-2</v>
      </c>
      <c r="Y91">
        <f>X91*16.02</f>
        <v>1.5790056249392794</v>
      </c>
    </row>
    <row r="92" spans="10:25" x14ac:dyDescent="0.2">
      <c r="L92">
        <v>433.78532999999999</v>
      </c>
      <c r="M92">
        <v>-8984.3012390000004</v>
      </c>
      <c r="N92">
        <v>75937.817225000006</v>
      </c>
      <c r="O92">
        <v>-0.41699000000000003</v>
      </c>
      <c r="P92">
        <v>30.507778999999999</v>
      </c>
      <c r="Q92">
        <v>92.008572000000001</v>
      </c>
      <c r="R92">
        <v>27.053318999999998</v>
      </c>
      <c r="S92">
        <v>1528</v>
      </c>
      <c r="T92">
        <v>424</v>
      </c>
      <c r="U92">
        <f>T92/(T92+S92)</f>
        <v>0.21721311475409835</v>
      </c>
      <c r="V92">
        <f t="shared" si="11"/>
        <v>-4.682715163934426</v>
      </c>
      <c r="W92">
        <f>M92-(SUM(S92:T92)*V92)</f>
        <v>156.3587609999995</v>
      </c>
      <c r="X92">
        <f>W92/(2*P92*R92)</f>
        <v>9.4724229097316856E-2</v>
      </c>
      <c r="Y92">
        <f>X92*16.02</f>
        <v>1.5174821501390159</v>
      </c>
    </row>
    <row r="93" spans="10:25" x14ac:dyDescent="0.2">
      <c r="L93">
        <v>433.66236300000003</v>
      </c>
      <c r="M93">
        <v>-8924.6276799999996</v>
      </c>
      <c r="N93">
        <v>75858.955566000004</v>
      </c>
      <c r="O93">
        <v>-0.382581</v>
      </c>
      <c r="P93">
        <v>30.520668000000001</v>
      </c>
      <c r="Q93">
        <v>91.888813999999996</v>
      </c>
      <c r="R93">
        <v>27.048995000000001</v>
      </c>
      <c r="S93">
        <v>1554</v>
      </c>
      <c r="T93">
        <v>398</v>
      </c>
      <c r="U93">
        <f>T93/(T93+S93)</f>
        <v>0.20389344262295081</v>
      </c>
      <c r="V93">
        <f t="shared" si="11"/>
        <v>-4.6487486680327867</v>
      </c>
      <c r="W93">
        <f>M93-(SUM(S93:T93)*V93)</f>
        <v>149.72971999999936</v>
      </c>
      <c r="X93">
        <f>W93/(2*P93*R93)</f>
        <v>9.0684455240654369E-2</v>
      </c>
      <c r="Y93">
        <f>X93*16.02</f>
        <v>1.452764972955283</v>
      </c>
    </row>
    <row r="94" spans="10:25" x14ac:dyDescent="0.2">
      <c r="Y94" s="1">
        <f>AVERAGE(Y89:Y93)</f>
        <v>1.4891655902649279</v>
      </c>
    </row>
    <row r="95" spans="10:25" x14ac:dyDescent="0.2">
      <c r="K95" t="s">
        <v>27</v>
      </c>
      <c r="L95">
        <v>464.79505399999999</v>
      </c>
      <c r="M95">
        <v>-6798.0276059999997</v>
      </c>
      <c r="N95">
        <v>56611.513724999997</v>
      </c>
      <c r="O95">
        <v>-0.71523599999999998</v>
      </c>
      <c r="P95">
        <v>32.299909</v>
      </c>
      <c r="Q95">
        <v>129.41594699999999</v>
      </c>
      <c r="R95">
        <v>13.543072</v>
      </c>
      <c r="S95">
        <v>1136</v>
      </c>
      <c r="T95">
        <v>328</v>
      </c>
      <c r="U95">
        <f>T95/(T95+S95)</f>
        <v>0.22404371584699453</v>
      </c>
      <c r="V95">
        <f t="shared" si="11"/>
        <v>-4.7001338797814212</v>
      </c>
      <c r="W95">
        <f>M95-(SUM(S95:T95)*V95)</f>
        <v>82.968394000001354</v>
      </c>
      <c r="X95">
        <f>W95/(2*P95*R95)</f>
        <v>9.4834029002208914E-2</v>
      </c>
      <c r="Y95">
        <f>X95*16.02</f>
        <v>1.5192411446153868</v>
      </c>
    </row>
    <row r="96" spans="10:25" x14ac:dyDescent="0.2">
      <c r="L96">
        <v>464.69226200000003</v>
      </c>
      <c r="M96">
        <v>-6710.8417740000004</v>
      </c>
      <c r="N96">
        <v>57104.683052</v>
      </c>
      <c r="O96">
        <v>-0.69067599999999996</v>
      </c>
      <c r="P96">
        <v>32.377673000000001</v>
      </c>
      <c r="Q96">
        <v>130.017473</v>
      </c>
      <c r="R96">
        <v>13.565191</v>
      </c>
      <c r="S96">
        <v>1171</v>
      </c>
      <c r="T96">
        <v>293</v>
      </c>
      <c r="U96">
        <f>T96/(T96+S96)</f>
        <v>0.20013661202185792</v>
      </c>
      <c r="V96">
        <f t="shared" si="11"/>
        <v>-4.6391683743169398</v>
      </c>
      <c r="W96">
        <f>M96-(SUM(S96:T96)*V96)</f>
        <v>80.90072599999985</v>
      </c>
      <c r="X96">
        <f>W96/(2*P96*R96)</f>
        <v>9.2098143885354949E-2</v>
      </c>
      <c r="Y96">
        <f>X96*16.02</f>
        <v>1.4754122650433863</v>
      </c>
    </row>
    <row r="97" spans="11:25" x14ac:dyDescent="0.2">
      <c r="L97">
        <v>464.83499699999999</v>
      </c>
      <c r="M97">
        <v>-6770.7014589999999</v>
      </c>
      <c r="N97">
        <v>57000.124685000003</v>
      </c>
      <c r="O97">
        <v>-0.57501400000000003</v>
      </c>
      <c r="P97">
        <v>32.320338</v>
      </c>
      <c r="Q97">
        <v>130.082052</v>
      </c>
      <c r="R97">
        <v>13.557661</v>
      </c>
      <c r="S97">
        <v>1144</v>
      </c>
      <c r="T97">
        <v>320</v>
      </c>
      <c r="U97">
        <f>T97/(T97+S97)</f>
        <v>0.21857923497267759</v>
      </c>
      <c r="V97">
        <f t="shared" si="11"/>
        <v>-4.686198907103825</v>
      </c>
      <c r="W97">
        <f>M97-(SUM(S97:T97)*V97)</f>
        <v>89.893740999999864</v>
      </c>
      <c r="X97">
        <f>W97/(2*P97*R97)</f>
        <v>0.10257435488923448</v>
      </c>
      <c r="Y97">
        <f>X97*16.02</f>
        <v>1.6432411653255363</v>
      </c>
    </row>
    <row r="98" spans="11:25" x14ac:dyDescent="0.2">
      <c r="L98">
        <v>464.50461300000001</v>
      </c>
      <c r="M98">
        <v>-6768.1667360000001</v>
      </c>
      <c r="N98">
        <v>56957.019816</v>
      </c>
      <c r="O98">
        <v>-0.62316300000000002</v>
      </c>
      <c r="P98">
        <v>32.311458000000002</v>
      </c>
      <c r="Q98">
        <v>129.72399300000001</v>
      </c>
      <c r="R98">
        <v>13.588518000000001</v>
      </c>
      <c r="S98">
        <v>1147</v>
      </c>
      <c r="T98">
        <v>317</v>
      </c>
      <c r="U98">
        <f>T98/(T98+S98)</f>
        <v>0.21653005464480873</v>
      </c>
      <c r="V98">
        <f t="shared" si="11"/>
        <v>-4.6809732923497265</v>
      </c>
      <c r="W98">
        <f>M98-(SUM(S98:T98)*V98)</f>
        <v>84.778163999999379</v>
      </c>
      <c r="X98">
        <f>W98/(2*P98*R98)</f>
        <v>9.6544016361712531E-2</v>
      </c>
      <c r="Y98">
        <f>X98*16.02</f>
        <v>1.5466351421146347</v>
      </c>
    </row>
    <row r="99" spans="11:25" x14ac:dyDescent="0.2">
      <c r="L99">
        <v>464.54677199999998</v>
      </c>
      <c r="M99">
        <v>-6707.7500110000001</v>
      </c>
      <c r="N99">
        <v>57282.391496999997</v>
      </c>
      <c r="O99">
        <v>-0.71577900000000005</v>
      </c>
      <c r="P99">
        <v>32.395518000000003</v>
      </c>
      <c r="Q99">
        <v>130.376721</v>
      </c>
      <c r="R99">
        <v>13.562465</v>
      </c>
      <c r="S99">
        <v>1173</v>
      </c>
      <c r="T99">
        <v>291</v>
      </c>
      <c r="U99">
        <f>T99/(T99+S99)</f>
        <v>0.19877049180327869</v>
      </c>
      <c r="V99">
        <f t="shared" si="11"/>
        <v>-4.6356846311475408</v>
      </c>
      <c r="W99">
        <f>M99-(SUM(S99:T99)*V99)</f>
        <v>78.892288999999437</v>
      </c>
      <c r="X99">
        <f>W99/(2*P99*R99)</f>
        <v>8.9780289656833948E-2</v>
      </c>
      <c r="Y99">
        <f>X99*16.02</f>
        <v>1.4382802403024797</v>
      </c>
    </row>
    <row r="100" spans="11:25" x14ac:dyDescent="0.2">
      <c r="Y100" s="1">
        <f>AVERAGE(Y95:Y99)</f>
        <v>1.5245619914802848</v>
      </c>
    </row>
    <row r="101" spans="11:25" x14ac:dyDescent="0.2">
      <c r="K101" t="s">
        <v>28</v>
      </c>
      <c r="L101">
        <v>464.94586500000003</v>
      </c>
      <c r="M101">
        <v>-5855.1412099999998</v>
      </c>
      <c r="N101">
        <v>49048.910430999997</v>
      </c>
      <c r="O101">
        <v>-0.77802199999999999</v>
      </c>
      <c r="P101">
        <v>34.738512</v>
      </c>
      <c r="Q101">
        <v>139.41186400000001</v>
      </c>
      <c r="R101">
        <v>10.127954000000001</v>
      </c>
      <c r="S101">
        <v>977</v>
      </c>
      <c r="T101">
        <v>283</v>
      </c>
      <c r="U101">
        <f>T101/(T101+S101)</f>
        <v>0.22460317460317461</v>
      </c>
      <c r="V101">
        <f t="shared" si="11"/>
        <v>-4.701560555555556</v>
      </c>
      <c r="W101">
        <f>M101-(SUM(S101:T101)*V101)</f>
        <v>68.825090000001182</v>
      </c>
      <c r="X101">
        <f>W101/(2*P101*R101)</f>
        <v>9.7810135453130623E-2</v>
      </c>
      <c r="Y101">
        <f>X101*16.02</f>
        <v>1.5669183699591525</v>
      </c>
    </row>
    <row r="102" spans="11:25" x14ac:dyDescent="0.2">
      <c r="L102">
        <v>464.71649600000001</v>
      </c>
      <c r="M102">
        <v>-5788.0521010000002</v>
      </c>
      <c r="N102">
        <v>49491.444713999997</v>
      </c>
      <c r="O102">
        <v>-0.77185499999999996</v>
      </c>
      <c r="P102">
        <v>34.820993999999999</v>
      </c>
      <c r="Q102">
        <v>140.13482500000001</v>
      </c>
      <c r="R102">
        <v>10.142507</v>
      </c>
      <c r="S102">
        <v>1003</v>
      </c>
      <c r="T102">
        <v>257</v>
      </c>
      <c r="U102">
        <f t="shared" ref="U102:U117" si="12">T102/(T102+S102)</f>
        <v>0.20396825396825397</v>
      </c>
      <c r="V102">
        <f t="shared" si="11"/>
        <v>-4.6489394444444443</v>
      </c>
      <c r="W102">
        <f>M102-(SUM(S102:T102)*V102)</f>
        <v>69.611598999999842</v>
      </c>
      <c r="X102">
        <f>W102/(2*P102*R102)</f>
        <v>9.855192997968118E-2</v>
      </c>
      <c r="Y102">
        <f>X102*16.02</f>
        <v>1.5788019182744926</v>
      </c>
    </row>
    <row r="103" spans="11:25" x14ac:dyDescent="0.2">
      <c r="L103">
        <v>464.74396300000001</v>
      </c>
      <c r="M103">
        <v>-5843.1510330000001</v>
      </c>
      <c r="N103">
        <v>49310.455195000002</v>
      </c>
      <c r="O103">
        <v>-0.77377300000000004</v>
      </c>
      <c r="P103">
        <v>34.694578</v>
      </c>
      <c r="Q103">
        <v>139.7996</v>
      </c>
      <c r="R103">
        <v>10.166592</v>
      </c>
      <c r="S103">
        <v>981</v>
      </c>
      <c r="T103">
        <v>279</v>
      </c>
      <c r="U103">
        <f t="shared" si="12"/>
        <v>0.22142857142857142</v>
      </c>
      <c r="V103">
        <f t="shared" si="11"/>
        <v>-4.6934649999999998</v>
      </c>
      <c r="W103">
        <f>M103-(SUM(S103:T103)*V103)</f>
        <v>70.614866999999322</v>
      </c>
      <c r="X103">
        <f>W103/(2*P103*R103)</f>
        <v>0.10009886320780233</v>
      </c>
      <c r="Y103">
        <f>X103*16.02</f>
        <v>1.6035837885889932</v>
      </c>
    </row>
    <row r="104" spans="11:25" x14ac:dyDescent="0.2">
      <c r="L104">
        <v>464.89836000000003</v>
      </c>
      <c r="M104">
        <v>-5821.0276530000001</v>
      </c>
      <c r="N104">
        <v>49399.185454999999</v>
      </c>
      <c r="O104">
        <v>-0.90645500000000001</v>
      </c>
      <c r="P104">
        <v>34.647770000000001</v>
      </c>
      <c r="Q104">
        <v>140.14655500000001</v>
      </c>
      <c r="R104">
        <v>10.173349999999999</v>
      </c>
      <c r="S104">
        <v>991</v>
      </c>
      <c r="T104">
        <v>269</v>
      </c>
      <c r="U104">
        <f t="shared" si="12"/>
        <v>0.21349206349206348</v>
      </c>
      <c r="V104">
        <f t="shared" si="11"/>
        <v>-4.6732261111111111</v>
      </c>
      <c r="W104">
        <f>M104-(SUM(S104:T104)*V104)</f>
        <v>67.237247000000025</v>
      </c>
      <c r="X104">
        <f>W104/(2*P104*R104)</f>
        <v>9.5376340210463817E-2</v>
      </c>
      <c r="Y104">
        <f>X104*16.02</f>
        <v>1.5279289701716303</v>
      </c>
    </row>
    <row r="105" spans="11:25" x14ac:dyDescent="0.2">
      <c r="L105">
        <v>464.77568300000001</v>
      </c>
      <c r="M105">
        <v>-5776.4018299999998</v>
      </c>
      <c r="N105">
        <v>49574.926755</v>
      </c>
      <c r="O105">
        <v>-0.76334199999999996</v>
      </c>
      <c r="P105">
        <v>34.883482000000001</v>
      </c>
      <c r="Q105">
        <v>140.61755099999999</v>
      </c>
      <c r="R105">
        <v>10.106590000000001</v>
      </c>
      <c r="S105">
        <v>1009</v>
      </c>
      <c r="T105">
        <v>251</v>
      </c>
      <c r="U105">
        <f t="shared" si="12"/>
        <v>0.19920634920634919</v>
      </c>
      <c r="V105">
        <f t="shared" si="11"/>
        <v>-4.6367961111111109</v>
      </c>
      <c r="W105">
        <f>M105-(SUM(S105:T105)*V105)</f>
        <v>65.961269999999786</v>
      </c>
      <c r="X105">
        <f>W105/(2*P105*R105)</f>
        <v>9.3548006371230466E-2</v>
      </c>
      <c r="Y105">
        <f>X105*16.02</f>
        <v>1.4986390620671119</v>
      </c>
    </row>
    <row r="106" spans="11:25" x14ac:dyDescent="0.2">
      <c r="Y106" s="1">
        <f>AVERAGE(Y101:Y105)</f>
        <v>1.5551744218122761</v>
      </c>
    </row>
    <row r="107" spans="11:25" x14ac:dyDescent="0.2">
      <c r="K107">
        <v>100</v>
      </c>
      <c r="L107">
        <v>464.88556799999998</v>
      </c>
      <c r="M107">
        <v>-21809.688424</v>
      </c>
      <c r="N107">
        <v>100731.573678</v>
      </c>
      <c r="O107">
        <v>-0.49125600000000003</v>
      </c>
      <c r="P107">
        <v>27.175321</v>
      </c>
      <c r="Q107">
        <v>27.185662000000001</v>
      </c>
      <c r="R107">
        <v>136.348895</v>
      </c>
      <c r="S107">
        <v>3631</v>
      </c>
      <c r="T107">
        <v>1041</v>
      </c>
      <c r="U107">
        <f t="shared" si="12"/>
        <v>0.2228167808219178</v>
      </c>
      <c r="V107">
        <f t="shared" si="11"/>
        <v>-4.6970050727739725</v>
      </c>
      <c r="W107">
        <f>M107-(SUM(S107:T107)*V107)</f>
        <v>134.71927599999981</v>
      </c>
      <c r="X107">
        <f>W107/(2*P107*Q107)</f>
        <v>9.117696856853523E-2</v>
      </c>
      <c r="Y107">
        <f>X107*16.02</f>
        <v>1.4606550364679343</v>
      </c>
    </row>
    <row r="108" spans="11:25" x14ac:dyDescent="0.2">
      <c r="L108">
        <v>464.89360900000003</v>
      </c>
      <c r="M108">
        <v>-21699.522622</v>
      </c>
      <c r="N108">
        <v>101142.714284</v>
      </c>
      <c r="O108">
        <v>-0.33807799999999999</v>
      </c>
      <c r="P108">
        <v>27.221651999999999</v>
      </c>
      <c r="Q108">
        <v>27.222162999999998</v>
      </c>
      <c r="R108">
        <v>136.489135</v>
      </c>
      <c r="S108">
        <v>3673</v>
      </c>
      <c r="T108">
        <v>999</v>
      </c>
      <c r="U108">
        <f t="shared" si="12"/>
        <v>0.21382705479452055</v>
      </c>
      <c r="V108">
        <f t="shared" si="11"/>
        <v>-4.674080372431507</v>
      </c>
      <c r="W108">
        <f>M108-(SUM(S108:T108)*V108)</f>
        <v>137.78087800000139</v>
      </c>
      <c r="X108">
        <f>W108/(2*P108*Q108)</f>
        <v>9.2965507503502964E-2</v>
      </c>
      <c r="Y108">
        <f>X108*16.02</f>
        <v>1.4893074302061176</v>
      </c>
    </row>
    <row r="109" spans="11:25" x14ac:dyDescent="0.2">
      <c r="L109">
        <v>464.75111399999997</v>
      </c>
      <c r="M109">
        <v>-21851.721282999999</v>
      </c>
      <c r="N109">
        <v>100804.024175</v>
      </c>
      <c r="O109">
        <v>-0.42400700000000002</v>
      </c>
      <c r="P109">
        <v>27.182227999999999</v>
      </c>
      <c r="Q109">
        <v>27.171461000000001</v>
      </c>
      <c r="R109">
        <v>136.483642</v>
      </c>
      <c r="S109">
        <v>3613</v>
      </c>
      <c r="T109">
        <v>1059</v>
      </c>
      <c r="U109">
        <f t="shared" si="12"/>
        <v>0.2266695205479452</v>
      </c>
      <c r="V109">
        <f t="shared" si="11"/>
        <v>-4.7068299443493151</v>
      </c>
      <c r="W109">
        <f>M109-(SUM(S109:T109)*V109)</f>
        <v>138.58821700000044</v>
      </c>
      <c r="X109">
        <f>W109/(2*P109*Q109)</f>
        <v>9.3820613800236513E-2</v>
      </c>
      <c r="Y109">
        <f>X109*16.02</f>
        <v>1.5030062330797889</v>
      </c>
    </row>
    <row r="110" spans="11:25" x14ac:dyDescent="0.2">
      <c r="L110">
        <v>464.86332299999998</v>
      </c>
      <c r="M110">
        <v>-21646.496532000001</v>
      </c>
      <c r="N110">
        <v>101444.130183</v>
      </c>
      <c r="O110">
        <v>-0.36768600000000001</v>
      </c>
      <c r="P110">
        <v>27.201733000000001</v>
      </c>
      <c r="Q110">
        <v>27.247066</v>
      </c>
      <c r="R110">
        <v>136.870915</v>
      </c>
      <c r="S110">
        <v>3695</v>
      </c>
      <c r="T110">
        <v>977</v>
      </c>
      <c r="U110">
        <f t="shared" si="12"/>
        <v>0.2091181506849315</v>
      </c>
      <c r="V110">
        <f t="shared" si="11"/>
        <v>-4.6620721960616436</v>
      </c>
      <c r="W110">
        <f>M110-(SUM(S110:T110)*V110)</f>
        <v>134.7047679999996</v>
      </c>
      <c r="X110">
        <f>W110/(2*P110*Q110)</f>
        <v>9.0873374482700428E-2</v>
      </c>
      <c r="Y110">
        <f>X110*16.02</f>
        <v>1.4557914592128609</v>
      </c>
    </row>
    <row r="111" spans="11:25" x14ac:dyDescent="0.2">
      <c r="L111">
        <v>464.69266099999999</v>
      </c>
      <c r="M111">
        <v>-21753.062336999999</v>
      </c>
      <c r="N111">
        <v>100955.83942</v>
      </c>
      <c r="O111">
        <v>-0.39196500000000001</v>
      </c>
      <c r="P111">
        <v>27.157710999999999</v>
      </c>
      <c r="Q111">
        <v>27.205494000000002</v>
      </c>
      <c r="R111">
        <v>136.64138399999999</v>
      </c>
      <c r="S111">
        <v>3653</v>
      </c>
      <c r="T111">
        <v>1019</v>
      </c>
      <c r="U111">
        <f t="shared" si="12"/>
        <v>0.21810787671232876</v>
      </c>
      <c r="V111">
        <f t="shared" si="11"/>
        <v>-4.68499689640411</v>
      </c>
      <c r="W111">
        <f>M111-(SUM(S111:T111)*V111)</f>
        <v>135.24316300000282</v>
      </c>
      <c r="X111">
        <f>W111/(2*P111*Q111)</f>
        <v>9.1524116426017876E-2</v>
      </c>
      <c r="Y111">
        <f>X111*16.02</f>
        <v>1.4662163451448063</v>
      </c>
    </row>
    <row r="112" spans="11:25" x14ac:dyDescent="0.2">
      <c r="Y112" s="1">
        <f>AVERAGE(Y107:Y111)</f>
        <v>1.4749953008223016</v>
      </c>
    </row>
    <row r="113" spans="11:25" x14ac:dyDescent="0.2">
      <c r="K113">
        <v>110</v>
      </c>
      <c r="S113">
        <v>1282</v>
      </c>
      <c r="T113">
        <v>368</v>
      </c>
      <c r="U113">
        <f t="shared" si="12"/>
        <v>0.22303030303030302</v>
      </c>
      <c r="V113">
        <f t="shared" si="11"/>
        <v>-4.6975495757575754</v>
      </c>
      <c r="W113">
        <f>M113-(SUM(S113:T113)*V113)</f>
        <v>7750.956799999999</v>
      </c>
      <c r="X113" t="e">
        <f>W113/(2*P113*Q113)</f>
        <v>#DIV/0!</v>
      </c>
      <c r="Y113" t="e">
        <f>X113*16.02</f>
        <v>#DIV/0!</v>
      </c>
    </row>
    <row r="114" spans="11:25" x14ac:dyDescent="0.2">
      <c r="S114">
        <v>1291</v>
      </c>
      <c r="T114">
        <v>359</v>
      </c>
      <c r="U114">
        <f t="shared" si="12"/>
        <v>0.21757575757575759</v>
      </c>
      <c r="V114">
        <f t="shared" si="11"/>
        <v>-4.6836399393939399</v>
      </c>
      <c r="W114">
        <f>M114-(SUM(S114:T114)*V114)</f>
        <v>7728.005900000001</v>
      </c>
      <c r="X114" t="e">
        <f>W114/(2*P114*Q114)</f>
        <v>#DIV/0!</v>
      </c>
      <c r="Y114" t="e">
        <f>X114*16.02</f>
        <v>#DIV/0!</v>
      </c>
    </row>
    <row r="115" spans="11:25" x14ac:dyDescent="0.2">
      <c r="S115">
        <v>1292</v>
      </c>
      <c r="T115">
        <v>358</v>
      </c>
      <c r="U115">
        <f t="shared" si="12"/>
        <v>0.21696969696969698</v>
      </c>
      <c r="V115">
        <f t="shared" si="11"/>
        <v>-4.6820944242424245</v>
      </c>
      <c r="W115">
        <f>M115-(SUM(S115:T115)*V115)</f>
        <v>7725.4558000000006</v>
      </c>
      <c r="X115" t="e">
        <f>W115/(2*P115*Q115)</f>
        <v>#DIV/0!</v>
      </c>
      <c r="Y115" t="e">
        <f>X115*16.02</f>
        <v>#DIV/0!</v>
      </c>
    </row>
    <row r="116" spans="11:25" x14ac:dyDescent="0.2">
      <c r="S116">
        <v>1304</v>
      </c>
      <c r="T116">
        <v>346</v>
      </c>
      <c r="U116">
        <f t="shared" si="12"/>
        <v>0.20969696969696969</v>
      </c>
      <c r="V116">
        <f t="shared" si="11"/>
        <v>-4.6635482424242429</v>
      </c>
      <c r="W116">
        <f>M116-(SUM(S116:T116)*V116)</f>
        <v>7694.8546000000006</v>
      </c>
      <c r="X116" t="e">
        <f>W116/(2*P116*Q116)</f>
        <v>#DIV/0!</v>
      </c>
      <c r="Y116" t="e">
        <f>X116*16.02</f>
        <v>#DIV/0!</v>
      </c>
    </row>
    <row r="117" spans="11:25" x14ac:dyDescent="0.2">
      <c r="S117">
        <v>1289</v>
      </c>
      <c r="T117">
        <v>361</v>
      </c>
      <c r="U117">
        <f t="shared" si="12"/>
        <v>0.21878787878787878</v>
      </c>
      <c r="V117">
        <f t="shared" si="11"/>
        <v>-4.6867309696969697</v>
      </c>
      <c r="W117">
        <f>M117-(SUM(S117:T117)*V117)</f>
        <v>7733.1061</v>
      </c>
      <c r="X117" t="e">
        <f>W117/(2*P117*Q117)</f>
        <v>#DIV/0!</v>
      </c>
      <c r="Y117" t="e">
        <f>X117*16.02</f>
        <v>#DIV/0!</v>
      </c>
    </row>
    <row r="118" spans="11:25" x14ac:dyDescent="0.2">
      <c r="Y118" s="1" t="e">
        <f>AVERAGE(Y113:Y117)</f>
        <v>#DIV/0!</v>
      </c>
    </row>
    <row r="119" spans="11:25" x14ac:dyDescent="0.2">
      <c r="K119">
        <v>111</v>
      </c>
      <c r="L119">
        <v>433.75334400000003</v>
      </c>
      <c r="M119">
        <v>-12662.665304</v>
      </c>
      <c r="N119">
        <v>60286.357833000002</v>
      </c>
      <c r="O119">
        <v>-0.48826700000000001</v>
      </c>
      <c r="P119">
        <v>93.989942999999997</v>
      </c>
      <c r="Q119">
        <v>19.251417</v>
      </c>
      <c r="R119">
        <v>33.317731000000002</v>
      </c>
      <c r="S119">
        <v>2087</v>
      </c>
      <c r="T119">
        <v>624</v>
      </c>
      <c r="U119">
        <f>T119/(T119+S119)</f>
        <v>0.2301733677609738</v>
      </c>
      <c r="V119">
        <f t="shared" si="11"/>
        <v>-4.7157651051272591</v>
      </c>
      <c r="W119">
        <f>M119-(SUM(S119:T119)*V119)</f>
        <v>121.77389599999879</v>
      </c>
      <c r="X119">
        <f>W119/(2*Q119*R119)</f>
        <v>9.492619795159353E-2</v>
      </c>
      <c r="Y119">
        <f>X119*16.02</f>
        <v>1.5207176911845284</v>
      </c>
    </row>
    <row r="120" spans="11:25" x14ac:dyDescent="0.2">
      <c r="L120">
        <v>433.82294200000001</v>
      </c>
      <c r="M120">
        <v>-12530.093854999999</v>
      </c>
      <c r="N120">
        <v>60825.048419999999</v>
      </c>
      <c r="O120">
        <v>-0.54756000000000005</v>
      </c>
      <c r="P120">
        <v>94.403115</v>
      </c>
      <c r="Q120">
        <v>19.285643</v>
      </c>
      <c r="R120">
        <v>33.408915999999998</v>
      </c>
      <c r="S120">
        <v>2135</v>
      </c>
      <c r="T120">
        <v>576</v>
      </c>
      <c r="U120">
        <f>T120/(T120+S120)</f>
        <v>0.21246772408705275</v>
      </c>
      <c r="V120">
        <f t="shared" si="11"/>
        <v>-4.6706139431943932</v>
      </c>
      <c r="W120">
        <f>M120-(SUM(S120:T120)*V120)</f>
        <v>131.94054500000129</v>
      </c>
      <c r="X120">
        <f>W120/(2*Q120*R120)</f>
        <v>0.1023886390145919</v>
      </c>
      <c r="Y120">
        <f>X120*16.02</f>
        <v>1.6402659970137623</v>
      </c>
    </row>
    <row r="121" spans="11:25" x14ac:dyDescent="0.2">
      <c r="L121">
        <v>433.91811999999999</v>
      </c>
      <c r="M121">
        <v>-12594.520998</v>
      </c>
      <c r="N121">
        <v>60652.368186</v>
      </c>
      <c r="O121">
        <v>-0.56182799999999999</v>
      </c>
      <c r="P121">
        <v>94.422426999999999</v>
      </c>
      <c r="Q121">
        <v>19.26643</v>
      </c>
      <c r="R121">
        <v>33.340473000000003</v>
      </c>
      <c r="S121">
        <v>2111</v>
      </c>
      <c r="T121">
        <v>600</v>
      </c>
      <c r="U121">
        <f>T121/(T121+S121)</f>
        <v>0.22132054592401329</v>
      </c>
      <c r="V121">
        <f t="shared" si="11"/>
        <v>-4.6931895241608261</v>
      </c>
      <c r="W121">
        <f>M121-(SUM(S121:T121)*V121)</f>
        <v>128.7158019999988</v>
      </c>
      <c r="X121">
        <f>W121/(2*Q121*R121)</f>
        <v>0.10019103559889758</v>
      </c>
      <c r="Y121">
        <f>X121*16.02</f>
        <v>1.6050603902943392</v>
      </c>
    </row>
    <row r="122" spans="11:25" x14ac:dyDescent="0.2">
      <c r="L122">
        <v>433.74494499999997</v>
      </c>
      <c r="M122">
        <v>-12490.811926</v>
      </c>
      <c r="N122">
        <v>60968.221004999999</v>
      </c>
      <c r="O122">
        <v>-0.43028100000000002</v>
      </c>
      <c r="P122">
        <v>94.515103999999994</v>
      </c>
      <c r="Q122">
        <v>19.303332000000001</v>
      </c>
      <c r="R122">
        <v>33.417234999999998</v>
      </c>
      <c r="S122">
        <v>2151</v>
      </c>
      <c r="T122">
        <v>560</v>
      </c>
      <c r="U122">
        <f>T122/(T122+S122)</f>
        <v>0.20656584286241239</v>
      </c>
      <c r="V122">
        <f t="shared" si="11"/>
        <v>-4.6555635558834378</v>
      </c>
      <c r="W122">
        <f>M122-(SUM(S122:T122)*V122)</f>
        <v>130.42087399999946</v>
      </c>
      <c r="X122">
        <f>W122/(2*Q122*R122)</f>
        <v>0.1010914248000839</v>
      </c>
      <c r="Y122">
        <f>X122*16.02</f>
        <v>1.619484625297344</v>
      </c>
    </row>
    <row r="123" spans="11:25" x14ac:dyDescent="0.2">
      <c r="L123">
        <v>433.75976400000002</v>
      </c>
      <c r="M123">
        <v>-12527.259317</v>
      </c>
      <c r="N123">
        <v>60877.178330000002</v>
      </c>
      <c r="O123">
        <v>-0.55656000000000005</v>
      </c>
      <c r="P123">
        <v>94.462710000000001</v>
      </c>
      <c r="Q123">
        <v>19.293339</v>
      </c>
      <c r="R123">
        <v>33.403129999999997</v>
      </c>
      <c r="S123">
        <v>2138</v>
      </c>
      <c r="T123">
        <v>573</v>
      </c>
      <c r="U123">
        <f>T123/(T123+S123)</f>
        <v>0.21136112135743268</v>
      </c>
      <c r="V123">
        <f t="shared" si="11"/>
        <v>-4.6677919955735891</v>
      </c>
      <c r="W123">
        <f>M123-(SUM(S123:T123)*V123)</f>
        <v>127.1247829999993</v>
      </c>
      <c r="X123">
        <f>W123/(2*Q123*R123)</f>
        <v>9.8629236199338749E-2</v>
      </c>
      <c r="Y123">
        <f>X123*16.02</f>
        <v>1.5800403639134066</v>
      </c>
    </row>
    <row r="124" spans="11:25" x14ac:dyDescent="0.2">
      <c r="K124" t="s">
        <v>29</v>
      </c>
      <c r="Y124" s="1">
        <f>AVERAGE(Y119:Y123)</f>
        <v>1.5931138135406762</v>
      </c>
    </row>
    <row r="125" spans="11:25" x14ac:dyDescent="0.2">
      <c r="L125" t="s">
        <v>18</v>
      </c>
      <c r="M125" t="s">
        <v>5</v>
      </c>
      <c r="N125" t="s">
        <v>7</v>
      </c>
      <c r="O125" t="s">
        <v>19</v>
      </c>
      <c r="P125" t="s">
        <v>20</v>
      </c>
      <c r="Q125" t="s">
        <v>21</v>
      </c>
      <c r="R125" t="s">
        <v>22</v>
      </c>
      <c r="S125" t="s">
        <v>26</v>
      </c>
      <c r="T125" t="s">
        <v>12</v>
      </c>
      <c r="U125" t="s">
        <v>23</v>
      </c>
      <c r="V125" t="s">
        <v>23</v>
      </c>
    </row>
    <row r="126" spans="11:25" x14ac:dyDescent="0.2">
      <c r="K126" t="s">
        <v>17</v>
      </c>
      <c r="L126">
        <v>464.93442800000003</v>
      </c>
      <c r="M126">
        <v>-15888.114372</v>
      </c>
      <c r="N126">
        <v>167405.91158099999</v>
      </c>
      <c r="O126">
        <v>-0.258519</v>
      </c>
      <c r="P126">
        <v>31.452919000000001</v>
      </c>
      <c r="Q126">
        <v>188.77685600000001</v>
      </c>
      <c r="R126">
        <v>28.194313999999999</v>
      </c>
      <c r="S126">
        <f>$F$4</f>
        <v>-4.1331986110500001</v>
      </c>
      <c r="T126">
        <f>M126-3872*S126</f>
        <v>115.63064998560003</v>
      </c>
      <c r="U126">
        <f>T126/(2*P126*R126)</f>
        <v>6.5195929666973115E-2</v>
      </c>
      <c r="V126">
        <f>U126*16.02</f>
        <v>1.0444387932649093</v>
      </c>
    </row>
    <row r="127" spans="11:25" x14ac:dyDescent="0.2">
      <c r="L127">
        <v>464.98783100000003</v>
      </c>
      <c r="M127">
        <v>-15882.515699</v>
      </c>
      <c r="N127">
        <v>167292.69644599999</v>
      </c>
      <c r="O127">
        <v>-0.232321</v>
      </c>
      <c r="P127">
        <v>31.445668999999999</v>
      </c>
      <c r="Q127">
        <v>188.86973499999999</v>
      </c>
      <c r="R127">
        <v>28.167887</v>
      </c>
      <c r="S127">
        <f>$F$4</f>
        <v>-4.1331986110500001</v>
      </c>
      <c r="T127">
        <f>M127-3872*S127</f>
        <v>121.22932298560045</v>
      </c>
      <c r="U127">
        <f>T127/(2*P127*R127)</f>
        <v>6.843252671789854E-2</v>
      </c>
      <c r="V127">
        <f>U127*16.02</f>
        <v>1.0962890780207346</v>
      </c>
    </row>
    <row r="128" spans="11:25" x14ac:dyDescent="0.2">
      <c r="L128">
        <v>464.815561</v>
      </c>
      <c r="M128">
        <v>-15887.339556999999</v>
      </c>
      <c r="N128">
        <v>167364.037541</v>
      </c>
      <c r="O128">
        <v>-0.250664</v>
      </c>
      <c r="P128">
        <v>31.430817999999999</v>
      </c>
      <c r="Q128">
        <v>188.84425200000001</v>
      </c>
      <c r="R128">
        <v>28.197040000000001</v>
      </c>
      <c r="S128">
        <f>$F$4</f>
        <v>-4.1331986110500001</v>
      </c>
      <c r="T128">
        <f>M128-3872*S128</f>
        <v>116.4054649856007</v>
      </c>
      <c r="U128">
        <f>T128/(2*P128*R128)</f>
        <v>6.5672593885294797E-2</v>
      </c>
      <c r="V128">
        <f>U128*16.02</f>
        <v>1.0520749540424226</v>
      </c>
    </row>
    <row r="129" spans="11:23" x14ac:dyDescent="0.2">
      <c r="L129">
        <v>464.870092</v>
      </c>
      <c r="M129">
        <v>-15884.114543</v>
      </c>
      <c r="N129">
        <v>167327.31312000001</v>
      </c>
      <c r="O129">
        <v>-0.25008999999999998</v>
      </c>
      <c r="P129">
        <v>31.429991000000001</v>
      </c>
      <c r="Q129">
        <v>188.864171</v>
      </c>
      <c r="R129">
        <v>28.188610000000001</v>
      </c>
      <c r="S129">
        <f>$F$4</f>
        <v>-4.1331986110500001</v>
      </c>
      <c r="T129">
        <f>M129-3872*S129</f>
        <v>119.63047898560035</v>
      </c>
      <c r="U129">
        <f>T129/(2*P129*R129)</f>
        <v>6.7514013813719742E-2</v>
      </c>
      <c r="V129">
        <f>U129*16.02</f>
        <v>1.0815745012957902</v>
      </c>
    </row>
    <row r="130" spans="11:23" x14ac:dyDescent="0.2">
      <c r="L130">
        <v>464.72207400000002</v>
      </c>
      <c r="M130">
        <v>-15886.419505</v>
      </c>
      <c r="N130">
        <v>167335.04352400001</v>
      </c>
      <c r="O130">
        <v>-0.28105999999999998</v>
      </c>
      <c r="P130">
        <v>31.439326000000001</v>
      </c>
      <c r="Q130">
        <v>188.737584</v>
      </c>
      <c r="R130">
        <v>28.200436</v>
      </c>
      <c r="S130">
        <f>$F$4</f>
        <v>-4.1331986110500001</v>
      </c>
      <c r="T130">
        <f>M130-3872*S130</f>
        <v>117.32551698560019</v>
      </c>
      <c r="U130">
        <f>T130/(2*P130*R130)</f>
        <v>6.6165779151621598E-2</v>
      </c>
      <c r="V130">
        <f>U130*16.02</f>
        <v>1.0599757820089779</v>
      </c>
    </row>
    <row r="131" spans="11:23" x14ac:dyDescent="0.2">
      <c r="V131" s="1">
        <f>AVERAGE(V126:V130)</f>
        <v>1.0668706217265669</v>
      </c>
    </row>
    <row r="132" spans="11:23" x14ac:dyDescent="0.2">
      <c r="K132" t="s">
        <v>27</v>
      </c>
      <c r="L132">
        <v>464.91832900000003</v>
      </c>
      <c r="M132">
        <v>-5982.6065710000003</v>
      </c>
      <c r="N132">
        <v>62564.402292999999</v>
      </c>
      <c r="O132">
        <v>-0.63057099999999999</v>
      </c>
      <c r="P132">
        <v>33.282890000000002</v>
      </c>
      <c r="Q132">
        <v>133.58425</v>
      </c>
      <c r="R132">
        <v>14.071918999999999</v>
      </c>
      <c r="S132">
        <f>$F$4</f>
        <v>-4.1331986110500001</v>
      </c>
      <c r="T132">
        <f>M132-1464*S132</f>
        <v>68.39619557720016</v>
      </c>
      <c r="U132">
        <f>T132/(2*P132*R132)</f>
        <v>7.3017606635497195E-2</v>
      </c>
      <c r="V132">
        <f>U132*16.02</f>
        <v>1.169742058300665</v>
      </c>
    </row>
    <row r="133" spans="11:23" x14ac:dyDescent="0.2">
      <c r="L133">
        <v>464.68006000000003</v>
      </c>
      <c r="M133">
        <v>-5983.6306919999997</v>
      </c>
      <c r="N133">
        <v>62591.613722000002</v>
      </c>
      <c r="O133">
        <v>-0.77669999999999995</v>
      </c>
      <c r="P133">
        <v>33.342695999999997</v>
      </c>
      <c r="Q133">
        <v>133.45749900000001</v>
      </c>
      <c r="R133">
        <v>14.066115</v>
      </c>
      <c r="S133">
        <f>$F$4</f>
        <v>-4.1331986110500001</v>
      </c>
      <c r="T133">
        <f>M133-1464*S133</f>
        <v>67.372074577200692</v>
      </c>
      <c r="U133">
        <f>T133/(2*P133*R133)</f>
        <v>7.1824903062385786E-2</v>
      </c>
      <c r="V133">
        <f>U133*16.02</f>
        <v>1.1506349470594204</v>
      </c>
    </row>
    <row r="134" spans="11:23" x14ac:dyDescent="0.2">
      <c r="L134">
        <v>464.92647599999998</v>
      </c>
      <c r="M134">
        <v>-5984.4744540000002</v>
      </c>
      <c r="N134">
        <v>62643.183197999999</v>
      </c>
      <c r="O134">
        <v>-0.67335400000000001</v>
      </c>
      <c r="P134">
        <v>33.313675000000003</v>
      </c>
      <c r="Q134">
        <v>133.29303300000001</v>
      </c>
      <c r="R134">
        <v>14.107339</v>
      </c>
      <c r="S134">
        <f>$F$4</f>
        <v>-4.1331986110500001</v>
      </c>
      <c r="T134">
        <f>M134-1464*S134</f>
        <v>66.528312577200268</v>
      </c>
      <c r="U134">
        <f>T134/(2*P134*R134)</f>
        <v>7.0779724087668971E-2</v>
      </c>
      <c r="V134">
        <f>U134*16.02</f>
        <v>1.1338911798844569</v>
      </c>
    </row>
    <row r="135" spans="11:23" x14ac:dyDescent="0.2">
      <c r="L135">
        <v>464.76214199999998</v>
      </c>
      <c r="M135">
        <v>-5983.7666060000001</v>
      </c>
      <c r="N135">
        <v>62590.525447</v>
      </c>
      <c r="O135">
        <v>-0.69307399999999997</v>
      </c>
      <c r="P135">
        <v>33.300141000000004</v>
      </c>
      <c r="Q135">
        <v>133.556826</v>
      </c>
      <c r="R135">
        <v>14.073366999999999</v>
      </c>
      <c r="S135">
        <f>$F$4</f>
        <v>-4.1331986110500001</v>
      </c>
      <c r="T135">
        <f>M135-1464*S135</f>
        <v>67.23616057720028</v>
      </c>
      <c r="U135">
        <f>T135/(2*P135*R135)</f>
        <v>7.1734623701439029E-2</v>
      </c>
      <c r="V135">
        <f>U135*16.02</f>
        <v>1.1491886716970532</v>
      </c>
    </row>
    <row r="136" spans="11:23" x14ac:dyDescent="0.2">
      <c r="L136">
        <v>464.96017399999999</v>
      </c>
      <c r="M136">
        <v>-5985.025713</v>
      </c>
      <c r="N136">
        <v>62607.085449999999</v>
      </c>
      <c r="O136">
        <v>-0.58376300000000003</v>
      </c>
      <c r="P136">
        <v>33.3583</v>
      </c>
      <c r="Q136">
        <v>133.19245699999999</v>
      </c>
      <c r="R136">
        <v>14.090985</v>
      </c>
      <c r="S136">
        <f>$F$4</f>
        <v>-4.1331986110500001</v>
      </c>
      <c r="T136">
        <f>M136-1464*S136</f>
        <v>65.977053577200422</v>
      </c>
      <c r="U136">
        <f>T136/(2*P136*R136)</f>
        <v>7.018069398579517E-2</v>
      </c>
      <c r="V136">
        <f>U136*16.02</f>
        <v>1.1242947176524385</v>
      </c>
    </row>
    <row r="137" spans="11:23" x14ac:dyDescent="0.2">
      <c r="V137" s="1">
        <f>AVERAGE(V132:V136)</f>
        <v>1.1455503149188069</v>
      </c>
    </row>
    <row r="138" spans="11:23" x14ac:dyDescent="0.2">
      <c r="K138" t="s">
        <v>28</v>
      </c>
      <c r="L138">
        <v>465.02892100000003</v>
      </c>
      <c r="M138">
        <v>-10307.624742</v>
      </c>
      <c r="N138">
        <v>108462.11757</v>
      </c>
      <c r="O138">
        <v>-0.46790999999999999</v>
      </c>
      <c r="P138">
        <v>35.813290000000002</v>
      </c>
      <c r="Q138">
        <v>143.215664</v>
      </c>
      <c r="R138">
        <v>21.146794</v>
      </c>
      <c r="S138">
        <f>$F$4</f>
        <v>-4.1331986110500001</v>
      </c>
      <c r="T138">
        <f>M138-2520*S138</f>
        <v>108.03575784600071</v>
      </c>
      <c r="U138">
        <f>T138/(2*P138*R138)</f>
        <v>7.1326148425090469E-2</v>
      </c>
      <c r="V138">
        <f>U138*16.02</f>
        <v>1.1426448977699493</v>
      </c>
    </row>
    <row r="139" spans="11:23" x14ac:dyDescent="0.2">
      <c r="L139">
        <v>464.90149300000002</v>
      </c>
      <c r="M139">
        <v>-10308.582351999999</v>
      </c>
      <c r="N139">
        <v>108590.299342</v>
      </c>
      <c r="O139">
        <v>-0.41845700000000002</v>
      </c>
      <c r="P139">
        <v>35.808149999999998</v>
      </c>
      <c r="Q139">
        <v>143.36564300000001</v>
      </c>
      <c r="R139">
        <v>21.152670000000001</v>
      </c>
      <c r="S139">
        <f>$F$4</f>
        <v>-4.1331986110500001</v>
      </c>
      <c r="T139">
        <f>M139-2520*S139</f>
        <v>107.07814784600123</v>
      </c>
      <c r="U139">
        <f>T139/(2*P139*R139)</f>
        <v>7.0684432677362338E-2</v>
      </c>
      <c r="V139">
        <f>U139*16.02</f>
        <v>1.1323646114913446</v>
      </c>
    </row>
    <row r="140" spans="11:23" x14ac:dyDescent="0.2">
      <c r="L140">
        <v>464.90952700000003</v>
      </c>
      <c r="M140">
        <v>-10308.910645</v>
      </c>
      <c r="N140">
        <v>108527.042384</v>
      </c>
      <c r="O140">
        <v>-0.50227900000000003</v>
      </c>
      <c r="P140">
        <v>35.858759999999997</v>
      </c>
      <c r="Q140">
        <v>143.07633200000001</v>
      </c>
      <c r="R140">
        <v>21.153200999999999</v>
      </c>
      <c r="S140">
        <f>$F$4</f>
        <v>-4.1331986110500001</v>
      </c>
      <c r="T140">
        <f>M140-2520*S140</f>
        <v>106.74985484600074</v>
      </c>
      <c r="U140">
        <f>T140/(2*P140*R140)</f>
        <v>7.0366497390576307E-2</v>
      </c>
      <c r="V140">
        <f>U140*16.02</f>
        <v>1.1272712881970324</v>
      </c>
    </row>
    <row r="141" spans="11:23" x14ac:dyDescent="0.2">
      <c r="L141">
        <v>464.71523100000002</v>
      </c>
      <c r="M141">
        <v>-10311.958968999999</v>
      </c>
      <c r="N141">
        <v>108502.922519</v>
      </c>
      <c r="O141">
        <v>-0.429836</v>
      </c>
      <c r="P141">
        <v>35.893746</v>
      </c>
      <c r="Q141">
        <v>142.77357699999999</v>
      </c>
      <c r="R141">
        <v>21.172708</v>
      </c>
      <c r="S141">
        <f>$F$4</f>
        <v>-4.1331986110500001</v>
      </c>
      <c r="T141">
        <f>M141-2520*S141</f>
        <v>103.70153084600133</v>
      </c>
      <c r="U141">
        <f>T141/(2*P141*R141)</f>
        <v>6.8227581764089662E-2</v>
      </c>
      <c r="V141">
        <f>U141*16.02</f>
        <v>1.0930058598607164</v>
      </c>
    </row>
    <row r="142" spans="11:23" x14ac:dyDescent="0.2">
      <c r="L142">
        <v>464.94655</v>
      </c>
      <c r="M142">
        <v>-10308.241518000001</v>
      </c>
      <c r="N142">
        <v>108575.49743800001</v>
      </c>
      <c r="O142">
        <v>-0.45497799999999999</v>
      </c>
      <c r="P142">
        <v>35.847746999999998</v>
      </c>
      <c r="Q142">
        <v>143.36568700000001</v>
      </c>
      <c r="R142">
        <v>21.12642</v>
      </c>
      <c r="S142">
        <f>$F$4</f>
        <v>-4.1331986110500001</v>
      </c>
      <c r="T142">
        <f>M142-2520*S142</f>
        <v>107.41898184599995</v>
      </c>
      <c r="U142">
        <f>T142/(2*P142*R142)</f>
        <v>7.0919107377663798E-2</v>
      </c>
      <c r="V142">
        <f>U142*16.02</f>
        <v>1.1361241001901741</v>
      </c>
    </row>
    <row r="143" spans="11:23" x14ac:dyDescent="0.2">
      <c r="V143" s="1">
        <f>AVERAGE(V138:V142)</f>
        <v>1.1262821515018433</v>
      </c>
    </row>
    <row r="144" spans="11:23" x14ac:dyDescent="0.2">
      <c r="K144">
        <v>100</v>
      </c>
      <c r="L144">
        <v>433.79982100000001</v>
      </c>
      <c r="M144">
        <v>-19382.653022999999</v>
      </c>
      <c r="N144">
        <v>109792.87938</v>
      </c>
      <c r="O144">
        <v>-0.39473900000000001</v>
      </c>
      <c r="P144">
        <v>28.797205000000002</v>
      </c>
      <c r="Q144">
        <v>28.799567</v>
      </c>
      <c r="R144">
        <v>132.386968</v>
      </c>
      <c r="S144">
        <f>$F$4</f>
        <v>-4.1331986110500001</v>
      </c>
      <c r="T144">
        <f>M144-4672*S144</f>
        <v>-72.349112174397305</v>
      </c>
      <c r="U144">
        <f>T144/(2*P144*Q144)</f>
        <v>-4.3618117107606033E-2</v>
      </c>
      <c r="V144">
        <f>U144*16.02</f>
        <v>-0.69876223606384869</v>
      </c>
      <c r="W144" t="s">
        <v>76</v>
      </c>
    </row>
    <row r="145" spans="11:23" x14ac:dyDescent="0.2">
      <c r="L145">
        <v>433.81714899999997</v>
      </c>
      <c r="M145">
        <v>-19387.038617999999</v>
      </c>
      <c r="N145">
        <v>109735.06995400001</v>
      </c>
      <c r="O145">
        <v>-0.31189499999999998</v>
      </c>
      <c r="P145">
        <v>28.802965</v>
      </c>
      <c r="Q145">
        <v>28.801302</v>
      </c>
      <c r="R145">
        <v>132.281834</v>
      </c>
      <c r="S145">
        <f>$F$4</f>
        <v>-4.1331986110500001</v>
      </c>
      <c r="T145">
        <f>M145-4672*S145</f>
        <v>-76.734707174397045</v>
      </c>
      <c r="U145">
        <f>T145/(2*P145*Q145)</f>
        <v>-4.6250084098088506E-2</v>
      </c>
      <c r="V145">
        <f>U145*16.02</f>
        <v>-0.74092634725137785</v>
      </c>
      <c r="W145" t="s">
        <v>76</v>
      </c>
    </row>
    <row r="146" spans="11:23" x14ac:dyDescent="0.2">
      <c r="L146">
        <v>433.905011</v>
      </c>
      <c r="M146">
        <v>-19375.297553</v>
      </c>
      <c r="N146">
        <v>109883.49224399999</v>
      </c>
      <c r="O146">
        <v>-0.35528500000000002</v>
      </c>
      <c r="P146">
        <v>28.784251000000001</v>
      </c>
      <c r="Q146">
        <v>28.780889999999999</v>
      </c>
      <c r="R146">
        <v>132.64191</v>
      </c>
      <c r="S146">
        <f>$F$4</f>
        <v>-4.1331986110500001</v>
      </c>
      <c r="T146">
        <f>M146-4672*S146</f>
        <v>-64.993642174398701</v>
      </c>
      <c r="U146">
        <f>T146/(2*P146*Q146)</f>
        <v>-3.922669572111416E-2</v>
      </c>
      <c r="V146">
        <f>U146*16.02</f>
        <v>-0.6284116654522488</v>
      </c>
      <c r="W146" t="s">
        <v>76</v>
      </c>
    </row>
    <row r="147" spans="11:23" x14ac:dyDescent="0.2">
      <c r="L147">
        <v>433.76747699999999</v>
      </c>
      <c r="M147">
        <v>-19374.260645999999</v>
      </c>
      <c r="N147">
        <v>109848.64508</v>
      </c>
      <c r="O147">
        <v>-0.37153999999999998</v>
      </c>
      <c r="P147">
        <v>28.765212999999999</v>
      </c>
      <c r="Q147">
        <v>28.764953999999999</v>
      </c>
      <c r="R147">
        <v>132.77220399999999</v>
      </c>
      <c r="S147">
        <f>$F$4</f>
        <v>-4.1331986110500001</v>
      </c>
      <c r="T147">
        <f>M147-4672*S147</f>
        <v>-63.956735174397181</v>
      </c>
      <c r="U147">
        <f>T147/(2*P147*Q147)</f>
        <v>-3.8647820935014648E-2</v>
      </c>
      <c r="V147">
        <f>U147*16.02</f>
        <v>-0.61913809137893461</v>
      </c>
      <c r="W147" t="s">
        <v>76</v>
      </c>
    </row>
    <row r="148" spans="11:23" x14ac:dyDescent="0.2">
      <c r="L148">
        <v>433.754864</v>
      </c>
      <c r="M148">
        <v>-19406.508120999999</v>
      </c>
      <c r="N148">
        <v>109610.53638600001</v>
      </c>
      <c r="O148">
        <v>-0.35891499999999998</v>
      </c>
      <c r="P148">
        <v>28.834102999999999</v>
      </c>
      <c r="Q148">
        <v>28.833943999999999</v>
      </c>
      <c r="R148">
        <v>131.838471</v>
      </c>
      <c r="S148">
        <f>$F$4</f>
        <v>-4.1331986110500001</v>
      </c>
      <c r="T148">
        <f>M148-4672*S148</f>
        <v>-96.204210174397303</v>
      </c>
      <c r="U148">
        <f>T148/(2*P148*Q148)</f>
        <v>-5.7856690364002684E-2</v>
      </c>
      <c r="V148">
        <f>U148*16.02</f>
        <v>-0.92686417963132295</v>
      </c>
      <c r="W148" t="s">
        <v>76</v>
      </c>
    </row>
    <row r="149" spans="11:23" x14ac:dyDescent="0.2">
      <c r="V149" s="1">
        <f>AVERAGE(V144:V148)</f>
        <v>-0.72282050395554653</v>
      </c>
    </row>
    <row r="150" spans="11:23" x14ac:dyDescent="0.2">
      <c r="K150">
        <v>110</v>
      </c>
      <c r="S150">
        <f>$F$4</f>
        <v>-4.1331986110500001</v>
      </c>
      <c r="T150">
        <f>M150-2650*S150</f>
        <v>10952.976319282499</v>
      </c>
      <c r="U150" t="e">
        <f>T150/(2*P150*Q150)</f>
        <v>#DIV/0!</v>
      </c>
      <c r="V150" t="e">
        <f>U150*16.02</f>
        <v>#DIV/0!</v>
      </c>
      <c r="W150" t="s">
        <v>77</v>
      </c>
    </row>
    <row r="151" spans="11:23" x14ac:dyDescent="0.2">
      <c r="S151">
        <f>$F$4</f>
        <v>-4.1331986110500001</v>
      </c>
      <c r="T151">
        <f>M151-2650*S151</f>
        <v>10952.976319282499</v>
      </c>
      <c r="U151" t="e">
        <f>T151/(2*P151*Q151)</f>
        <v>#DIV/0!</v>
      </c>
      <c r="V151" t="e">
        <f>U151*16.02</f>
        <v>#DIV/0!</v>
      </c>
      <c r="W151" t="s">
        <v>77</v>
      </c>
    </row>
    <row r="152" spans="11:23" x14ac:dyDescent="0.2">
      <c r="S152">
        <f>$F$4</f>
        <v>-4.1331986110500001</v>
      </c>
      <c r="T152">
        <f>M152-2650*S152</f>
        <v>10952.976319282499</v>
      </c>
      <c r="U152" t="e">
        <f>T152/(2*P152*Q152)</f>
        <v>#DIV/0!</v>
      </c>
      <c r="V152" t="e">
        <f>U152*16.02</f>
        <v>#DIV/0!</v>
      </c>
      <c r="W152" t="s">
        <v>77</v>
      </c>
    </row>
    <row r="153" spans="11:23" x14ac:dyDescent="0.2">
      <c r="S153">
        <f>$F$4</f>
        <v>-4.1331986110500001</v>
      </c>
      <c r="T153">
        <f>M153-2650*S153</f>
        <v>10952.976319282499</v>
      </c>
      <c r="U153" t="e">
        <f>T153/(2*P153*Q153)</f>
        <v>#DIV/0!</v>
      </c>
      <c r="V153" t="e">
        <f>U153*16.02</f>
        <v>#DIV/0!</v>
      </c>
      <c r="W153" t="s">
        <v>77</v>
      </c>
    </row>
    <row r="154" spans="11:23" x14ac:dyDescent="0.2">
      <c r="S154">
        <f>$F$4</f>
        <v>-4.1331986110500001</v>
      </c>
      <c r="T154">
        <f>M154-2650*S154</f>
        <v>10952.976319282499</v>
      </c>
      <c r="U154" t="e">
        <f>T154/(2*P154*Q154)</f>
        <v>#DIV/0!</v>
      </c>
      <c r="V154" t="e">
        <f>U154*16.02</f>
        <v>#DIV/0!</v>
      </c>
      <c r="W154" t="s">
        <v>77</v>
      </c>
    </row>
    <row r="155" spans="11:23" x14ac:dyDescent="0.2">
      <c r="V155" s="1" t="e">
        <f>AVERAGE(V150:V154)</f>
        <v>#DIV/0!</v>
      </c>
    </row>
    <row r="156" spans="11:23" x14ac:dyDescent="0.2">
      <c r="K156">
        <v>111</v>
      </c>
      <c r="L156">
        <v>464.75795699999998</v>
      </c>
      <c r="M156">
        <v>-14181.623028</v>
      </c>
      <c r="N156">
        <v>83535.077686999997</v>
      </c>
      <c r="O156">
        <v>-0.41927900000000001</v>
      </c>
      <c r="P156">
        <v>121.849062</v>
      </c>
      <c r="Q156">
        <v>19.896864000000001</v>
      </c>
      <c r="R156">
        <v>34.455795999999999</v>
      </c>
      <c r="S156">
        <f>$F$4</f>
        <v>-4.1331986110500001</v>
      </c>
      <c r="T156">
        <f>M156-3456*S156</f>
        <v>102.71137178880053</v>
      </c>
      <c r="U156">
        <f>T156/(2*Q156*R156)</f>
        <v>7.4910313572458212E-2</v>
      </c>
      <c r="V156">
        <f>U156*16.02</f>
        <v>1.2000632234307804</v>
      </c>
      <c r="W156" t="s">
        <v>78</v>
      </c>
    </row>
    <row r="157" spans="11:23" x14ac:dyDescent="0.2">
      <c r="L157">
        <v>464.89893000000001</v>
      </c>
      <c r="M157">
        <v>-14181.828632999999</v>
      </c>
      <c r="N157">
        <v>83503.105699000007</v>
      </c>
      <c r="O157">
        <v>-0.45277499999999998</v>
      </c>
      <c r="P157">
        <v>121.80715600000001</v>
      </c>
      <c r="Q157">
        <v>19.892900999999998</v>
      </c>
      <c r="R157">
        <v>34.461323</v>
      </c>
      <c r="S157">
        <f>$F$4</f>
        <v>-4.1331986110500001</v>
      </c>
      <c r="T157">
        <f>M157-3456*S157</f>
        <v>102.50576678880134</v>
      </c>
      <c r="U157">
        <f>T157/(2*Q157*R157)</f>
        <v>7.4763260882936389E-2</v>
      </c>
      <c r="V157">
        <f>U157*16.02</f>
        <v>1.197707439344641</v>
      </c>
      <c r="W157" t="s">
        <v>78</v>
      </c>
    </row>
    <row r="158" spans="11:23" x14ac:dyDescent="0.2">
      <c r="L158">
        <v>464.84964100000002</v>
      </c>
      <c r="M158">
        <v>-14181.860161000001</v>
      </c>
      <c r="N158">
        <v>83512.938922999994</v>
      </c>
      <c r="O158">
        <v>-0.54984500000000003</v>
      </c>
      <c r="P158">
        <v>121.79979299999999</v>
      </c>
      <c r="Q158">
        <v>19.898665999999999</v>
      </c>
      <c r="R158">
        <v>34.457476999999997</v>
      </c>
      <c r="S158">
        <f>$F$4</f>
        <v>-4.1331986110500001</v>
      </c>
      <c r="T158">
        <f>M158-3456*S158</f>
        <v>102.47423878879999</v>
      </c>
      <c r="U158">
        <f>T158/(2*Q158*R158)</f>
        <v>7.4726951913301531E-2</v>
      </c>
      <c r="V158">
        <f>U158*16.02</f>
        <v>1.1971257696510904</v>
      </c>
      <c r="W158" t="s">
        <v>78</v>
      </c>
    </row>
    <row r="159" spans="11:23" x14ac:dyDescent="0.2">
      <c r="L159">
        <v>464.83695799999998</v>
      </c>
      <c r="M159">
        <v>-14180.018190999999</v>
      </c>
      <c r="N159">
        <v>83570.936002999995</v>
      </c>
      <c r="O159">
        <v>-0.47574899999999998</v>
      </c>
      <c r="P159">
        <v>121.877223</v>
      </c>
      <c r="Q159">
        <v>19.897856999999998</v>
      </c>
      <c r="R159">
        <v>34.460903999999999</v>
      </c>
      <c r="S159">
        <f>$F$4</f>
        <v>-4.1331986110500001</v>
      </c>
      <c r="T159">
        <f>M159-3456*S159</f>
        <v>104.3162087888013</v>
      </c>
      <c r="U159">
        <f>T159/(2*Q159*R159)</f>
        <v>7.6065693284979655E-2</v>
      </c>
      <c r="V159">
        <f>U159*16.02</f>
        <v>1.218572406425374</v>
      </c>
      <c r="W159" t="s">
        <v>78</v>
      </c>
    </row>
    <row r="160" spans="11:23" x14ac:dyDescent="0.2">
      <c r="L160">
        <v>464.72093899999999</v>
      </c>
      <c r="M160">
        <v>-14181.378683999999</v>
      </c>
      <c r="N160">
        <v>83539.636928000007</v>
      </c>
      <c r="O160">
        <v>-0.44041200000000003</v>
      </c>
      <c r="P160">
        <v>121.86529899999999</v>
      </c>
      <c r="Q160">
        <v>19.899187999999999</v>
      </c>
      <c r="R160">
        <v>34.449063000000002</v>
      </c>
      <c r="S160">
        <f>$F$4</f>
        <v>-4.1331986110500001</v>
      </c>
      <c r="T160">
        <f>M160-3456*S160</f>
        <v>102.95571578880117</v>
      </c>
      <c r="U160">
        <f>T160/(2*Q160*R160)</f>
        <v>7.5094425271266724E-2</v>
      </c>
      <c r="V160">
        <f>U160*16.02</f>
        <v>1.2030126928456928</v>
      </c>
      <c r="W160" t="s">
        <v>78</v>
      </c>
    </row>
    <row r="161" spans="11:22" x14ac:dyDescent="0.2">
      <c r="V161" s="1">
        <f>AVERAGE(V156:V160)</f>
        <v>1.2032963063395159</v>
      </c>
    </row>
    <row r="162" spans="11:22" x14ac:dyDescent="0.2">
      <c r="K162" t="s">
        <v>30</v>
      </c>
    </row>
    <row r="163" spans="11:22" x14ac:dyDescent="0.2">
      <c r="L163" t="s">
        <v>18</v>
      </c>
      <c r="M163" t="s">
        <v>5</v>
      </c>
      <c r="N163" t="s">
        <v>7</v>
      </c>
      <c r="O163" t="s">
        <v>19</v>
      </c>
      <c r="P163" t="s">
        <v>20</v>
      </c>
      <c r="Q163" t="s">
        <v>21</v>
      </c>
      <c r="R163" t="s">
        <v>22</v>
      </c>
      <c r="S163" t="s">
        <v>26</v>
      </c>
      <c r="T163" t="s">
        <v>12</v>
      </c>
      <c r="U163" t="s">
        <v>23</v>
      </c>
      <c r="V163" t="s">
        <v>23</v>
      </c>
    </row>
    <row r="164" spans="11:22" x14ac:dyDescent="0.2">
      <c r="K164" t="s">
        <v>17</v>
      </c>
      <c r="L164">
        <v>464.95752099999999</v>
      </c>
      <c r="M164">
        <v>-26009.264272</v>
      </c>
      <c r="N164">
        <v>121180.504688</v>
      </c>
      <c r="O164">
        <v>-0.34998600000000002</v>
      </c>
      <c r="P164">
        <v>28.269665</v>
      </c>
      <c r="Q164">
        <v>169.83507499999999</v>
      </c>
      <c r="R164">
        <v>25.239733000000001</v>
      </c>
      <c r="S164">
        <f>$G$4</f>
        <v>-6.8267956550292963</v>
      </c>
      <c r="T164">
        <f>M164-3872*S164</f>
        <v>424.0885042734335</v>
      </c>
      <c r="U164">
        <f>T164/(2*P164*R164)</f>
        <v>0.29718103173637073</v>
      </c>
      <c r="V164">
        <f>U164*16.02</f>
        <v>4.7608401284166586</v>
      </c>
    </row>
    <row r="165" spans="11:22" x14ac:dyDescent="0.2">
      <c r="L165">
        <v>464.77456999999998</v>
      </c>
      <c r="M165">
        <v>-26008.970084</v>
      </c>
      <c r="N165">
        <v>121211.987805</v>
      </c>
      <c r="O165">
        <v>-0.355018</v>
      </c>
      <c r="P165">
        <v>28.270056</v>
      </c>
      <c r="Q165">
        <v>169.87472500000001</v>
      </c>
      <c r="R165">
        <v>25.240048999999999</v>
      </c>
      <c r="S165">
        <f>$G$4</f>
        <v>-6.8267956550292963</v>
      </c>
      <c r="T165">
        <f>M165-3872*S165</f>
        <v>424.38269227343335</v>
      </c>
      <c r="U165">
        <f>T165/(2*P165*R165)</f>
        <v>0.29737934837829877</v>
      </c>
      <c r="V165">
        <f>U165*16.02</f>
        <v>4.7640171610203463</v>
      </c>
    </row>
    <row r="166" spans="11:22" x14ac:dyDescent="0.2">
      <c r="L166">
        <v>464.79927199999997</v>
      </c>
      <c r="M166">
        <v>-26009.248767000001</v>
      </c>
      <c r="N166">
        <v>121214.619189</v>
      </c>
      <c r="O166">
        <v>-0.30960399999999999</v>
      </c>
      <c r="P166">
        <v>28.269660999999999</v>
      </c>
      <c r="Q166">
        <v>169.88133099999999</v>
      </c>
      <c r="R166">
        <v>25.239968000000001</v>
      </c>
      <c r="S166">
        <f>$G$4</f>
        <v>-6.8267956550292963</v>
      </c>
      <c r="T166">
        <f>M166-3872*S166</f>
        <v>424.10400927343289</v>
      </c>
      <c r="U166">
        <f>T166/(2*P166*R166)</f>
        <v>0.29718917190899163</v>
      </c>
      <c r="V166">
        <f>U166*16.02</f>
        <v>4.7609705339820456</v>
      </c>
    </row>
    <row r="167" spans="11:22" x14ac:dyDescent="0.2">
      <c r="L167">
        <v>464.869711</v>
      </c>
      <c r="M167">
        <v>-26009.148462000001</v>
      </c>
      <c r="N167">
        <v>121130.67874</v>
      </c>
      <c r="O167">
        <v>-0.340864</v>
      </c>
      <c r="P167">
        <v>28.269912999999999</v>
      </c>
      <c r="Q167">
        <v>169.76415700000001</v>
      </c>
      <c r="R167">
        <v>25.239673</v>
      </c>
      <c r="S167">
        <f>$G$4</f>
        <v>-6.8267956550292963</v>
      </c>
      <c r="T167">
        <f>M167-3872*S167</f>
        <v>424.20431427343283</v>
      </c>
      <c r="U167">
        <f>T167/(2*P167*R167)</f>
        <v>0.2972602847631981</v>
      </c>
      <c r="V167">
        <f>U167*16.02</f>
        <v>4.7621097619064336</v>
      </c>
    </row>
    <row r="168" spans="11:22" x14ac:dyDescent="0.2">
      <c r="L168">
        <v>464.657149</v>
      </c>
      <c r="M168">
        <v>-26009.313389999999</v>
      </c>
      <c r="N168">
        <v>121248.91833499999</v>
      </c>
      <c r="O168">
        <v>-0.29624699999999998</v>
      </c>
      <c r="P168">
        <v>28.269936000000001</v>
      </c>
      <c r="Q168">
        <v>169.92903899999999</v>
      </c>
      <c r="R168">
        <v>25.239775999999999</v>
      </c>
      <c r="S168">
        <f>$G$4</f>
        <v>-6.8267956550292963</v>
      </c>
      <c r="T168">
        <f>M168-3872*S168</f>
        <v>424.0393862734345</v>
      </c>
      <c r="U168">
        <f>T168/(2*P168*R168)</f>
        <v>0.29714325745503195</v>
      </c>
      <c r="V168">
        <f>U168*16.02</f>
        <v>4.7602349844296121</v>
      </c>
    </row>
    <row r="169" spans="11:22" x14ac:dyDescent="0.2">
      <c r="V169" s="1">
        <f>AVERAGE(V164:V168)</f>
        <v>4.7616345139510194</v>
      </c>
    </row>
    <row r="170" spans="11:22" x14ac:dyDescent="0.2">
      <c r="K170" t="s">
        <v>27</v>
      </c>
      <c r="L170">
        <v>464.74133799999998</v>
      </c>
      <c r="M170">
        <v>-9767.2587760000006</v>
      </c>
      <c r="N170">
        <v>45416.887764999999</v>
      </c>
      <c r="O170">
        <v>-0.91057399999999999</v>
      </c>
      <c r="P170">
        <v>29.972994</v>
      </c>
      <c r="Q170">
        <v>120.120299</v>
      </c>
      <c r="R170">
        <v>12.614526</v>
      </c>
      <c r="S170">
        <f>$G$4</f>
        <v>-6.8267956550292963</v>
      </c>
      <c r="T170">
        <f>M170-1464*S170</f>
        <v>227.17006296288855</v>
      </c>
      <c r="U170">
        <f>T170/(2*P170*R170)</f>
        <v>0.30041391132331058</v>
      </c>
      <c r="V170">
        <f>U170*16.02</f>
        <v>4.8126308593994356</v>
      </c>
    </row>
    <row r="171" spans="11:22" x14ac:dyDescent="0.2">
      <c r="L171">
        <v>464.654584</v>
      </c>
      <c r="M171">
        <v>-9767.4331899999997</v>
      </c>
      <c r="N171">
        <v>45391.622343000003</v>
      </c>
      <c r="O171">
        <v>-0.76417800000000002</v>
      </c>
      <c r="P171">
        <v>29.973172999999999</v>
      </c>
      <c r="Q171">
        <v>120.052791</v>
      </c>
      <c r="R171">
        <v>12.614523</v>
      </c>
      <c r="S171">
        <f>$G$4</f>
        <v>-6.8267956550292963</v>
      </c>
      <c r="T171">
        <f>M171-1464*S171</f>
        <v>226.99564896288939</v>
      </c>
      <c r="U171">
        <f>T171/(2*P171*R171)</f>
        <v>0.30018154170261746</v>
      </c>
      <c r="V171">
        <f>U171*16.02</f>
        <v>4.8089082980759317</v>
      </c>
    </row>
    <row r="172" spans="11:22" x14ac:dyDescent="0.2">
      <c r="L172">
        <v>464.672978</v>
      </c>
      <c r="M172">
        <v>-9767.3348440000009</v>
      </c>
      <c r="N172">
        <v>45369.939279999999</v>
      </c>
      <c r="O172">
        <v>-0.84764600000000001</v>
      </c>
      <c r="P172">
        <v>29.972438</v>
      </c>
      <c r="Q172">
        <v>120.00076</v>
      </c>
      <c r="R172">
        <v>12.614273000000001</v>
      </c>
      <c r="S172">
        <f>$G$4</f>
        <v>-6.8267956550292963</v>
      </c>
      <c r="T172">
        <f>M172-1464*S172</f>
        <v>227.09399496288825</v>
      </c>
      <c r="U172">
        <f>T172/(2*P172*R172)</f>
        <v>0.30032491190147553</v>
      </c>
      <c r="V172">
        <f>U172*16.02</f>
        <v>4.8112050886616382</v>
      </c>
    </row>
    <row r="173" spans="11:22" x14ac:dyDescent="0.2">
      <c r="L173">
        <v>464.53965499999998</v>
      </c>
      <c r="M173">
        <v>-9767.1830329999993</v>
      </c>
      <c r="N173">
        <v>45336.738259999998</v>
      </c>
      <c r="O173">
        <v>-0.92559999999999998</v>
      </c>
      <c r="P173">
        <v>29.972823999999999</v>
      </c>
      <c r="Q173">
        <v>119.907582</v>
      </c>
      <c r="R173">
        <v>12.614675</v>
      </c>
      <c r="S173">
        <f>$G$4</f>
        <v>-6.8267956550292963</v>
      </c>
      <c r="T173">
        <f>M173-1464*S173</f>
        <v>227.24580596288979</v>
      </c>
      <c r="U173">
        <f>T173/(2*P173*R173)</f>
        <v>0.3005122301464595</v>
      </c>
      <c r="V173">
        <f>U173*16.02</f>
        <v>4.8142059269462809</v>
      </c>
    </row>
    <row r="174" spans="11:22" x14ac:dyDescent="0.2">
      <c r="L174">
        <v>464.56184000000002</v>
      </c>
      <c r="M174">
        <v>-9767.2083870000006</v>
      </c>
      <c r="N174">
        <v>45385.064337000003</v>
      </c>
      <c r="O174">
        <v>-0.72284000000000004</v>
      </c>
      <c r="P174">
        <v>29.972854000000002</v>
      </c>
      <c r="Q174">
        <v>120.038242</v>
      </c>
      <c r="R174">
        <v>12.614364</v>
      </c>
      <c r="S174">
        <f>$G$4</f>
        <v>-6.8267956550292963</v>
      </c>
      <c r="T174">
        <f>M174-1464*S174</f>
        <v>227.22045196288855</v>
      </c>
      <c r="U174">
        <f>T174/(2*P174*R174)</f>
        <v>0.30048580912568051</v>
      </c>
      <c r="V174">
        <f>U174*16.02</f>
        <v>4.8137826621934021</v>
      </c>
    </row>
    <row r="175" spans="11:22" x14ac:dyDescent="0.2">
      <c r="V175" s="1">
        <f>AVERAGE(V170:V174)</f>
        <v>4.8121465670553381</v>
      </c>
    </row>
    <row r="176" spans="11:22" x14ac:dyDescent="0.2">
      <c r="K176" t="s">
        <v>28</v>
      </c>
      <c r="L176">
        <v>464.83942100000002</v>
      </c>
      <c r="M176">
        <v>-16835.225143</v>
      </c>
      <c r="N176">
        <v>78648.836765999993</v>
      </c>
      <c r="O176">
        <v>-0.47104400000000002</v>
      </c>
      <c r="P176">
        <v>32.198647000000001</v>
      </c>
      <c r="Q176">
        <v>129.04896299999999</v>
      </c>
      <c r="R176">
        <v>18.927803999999998</v>
      </c>
      <c r="S176">
        <f>$G$4</f>
        <v>-6.8267956550292963</v>
      </c>
      <c r="T176">
        <f>M176-2520*S176</f>
        <v>368.29990767382697</v>
      </c>
      <c r="U176">
        <f>T176/(2*P176*R176)</f>
        <v>0.30215776632071834</v>
      </c>
      <c r="V176">
        <f>U176*16.02</f>
        <v>4.8405674164579073</v>
      </c>
    </row>
    <row r="177" spans="11:22" x14ac:dyDescent="0.2">
      <c r="L177">
        <v>464.63878199999999</v>
      </c>
      <c r="M177">
        <v>-16835.193104999998</v>
      </c>
      <c r="N177">
        <v>78701.164978000001</v>
      </c>
      <c r="O177">
        <v>-0.46496500000000002</v>
      </c>
      <c r="P177">
        <v>32.198673999999997</v>
      </c>
      <c r="Q177">
        <v>129.13580099999999</v>
      </c>
      <c r="R177">
        <v>18.927644999999998</v>
      </c>
      <c r="S177">
        <f>$G$4</f>
        <v>-6.8267956550292963</v>
      </c>
      <c r="T177">
        <f>M177-2520*S177</f>
        <v>368.33194567382816</v>
      </c>
      <c r="U177">
        <f>T177/(2*P177*R177)</f>
        <v>0.30218633576285059</v>
      </c>
      <c r="V177">
        <f>U177*16.02</f>
        <v>4.8410250989208663</v>
      </c>
    </row>
    <row r="178" spans="11:22" x14ac:dyDescent="0.2">
      <c r="L178">
        <v>464.88107000000002</v>
      </c>
      <c r="M178">
        <v>-16834.904008000001</v>
      </c>
      <c r="N178">
        <v>78631.003385999997</v>
      </c>
      <c r="O178">
        <v>-0.48665599999999998</v>
      </c>
      <c r="P178">
        <v>32.199007000000002</v>
      </c>
      <c r="Q178">
        <v>129.01851199999999</v>
      </c>
      <c r="R178">
        <v>18.927766999999999</v>
      </c>
      <c r="S178">
        <f>$G$4</f>
        <v>-6.8267956550292963</v>
      </c>
      <c r="T178">
        <f>M178-2520*S178</f>
        <v>368.62104267382529</v>
      </c>
      <c r="U178">
        <f>T178/(2*P178*R178)</f>
        <v>0.30241843937292373</v>
      </c>
      <c r="V178">
        <f>U178*16.02</f>
        <v>4.8447433987542379</v>
      </c>
    </row>
    <row r="179" spans="11:22" x14ac:dyDescent="0.2">
      <c r="L179">
        <v>464.57253400000002</v>
      </c>
      <c r="M179">
        <v>-16835.205986000001</v>
      </c>
      <c r="N179">
        <v>78697.422756</v>
      </c>
      <c r="O179">
        <v>-0.61836899999999995</v>
      </c>
      <c r="P179">
        <v>32.198616000000001</v>
      </c>
      <c r="Q179">
        <v>129.12733399999999</v>
      </c>
      <c r="R179">
        <v>18.928021000000001</v>
      </c>
      <c r="S179">
        <f>$G$4</f>
        <v>-6.8267956550292963</v>
      </c>
      <c r="T179">
        <f>M179-2520*S179</f>
        <v>368.31906467382578</v>
      </c>
      <c r="U179">
        <f>T179/(2*P179*R179)</f>
        <v>0.30217030961710162</v>
      </c>
      <c r="V179">
        <f>U179*16.02</f>
        <v>4.8407683600659679</v>
      </c>
    </row>
    <row r="180" spans="11:22" x14ac:dyDescent="0.2">
      <c r="L180">
        <v>464.65813400000002</v>
      </c>
      <c r="M180">
        <v>-16835.202151000001</v>
      </c>
      <c r="N180">
        <v>78629.248624</v>
      </c>
      <c r="O180">
        <v>-0.54352999999999996</v>
      </c>
      <c r="P180">
        <v>32.198928000000002</v>
      </c>
      <c r="Q180">
        <v>129.01632599999999</v>
      </c>
      <c r="R180">
        <v>18.927712</v>
      </c>
      <c r="S180">
        <f>$G$4</f>
        <v>-6.8267956550292963</v>
      </c>
      <c r="T180">
        <f>M180-2520*S180</f>
        <v>368.3228996738253</v>
      </c>
      <c r="U180">
        <f>T180/(2*P180*R180)</f>
        <v>0.30217546089110969</v>
      </c>
      <c r="V180">
        <f>U180*16.02</f>
        <v>4.8408508834755768</v>
      </c>
    </row>
    <row r="181" spans="11:22" x14ac:dyDescent="0.2">
      <c r="V181" s="1">
        <f>AVERAGE(V176:V180)</f>
        <v>4.8415910315349109</v>
      </c>
    </row>
    <row r="182" spans="11:22" x14ac:dyDescent="0.2">
      <c r="K182">
        <v>100</v>
      </c>
      <c r="L182">
        <v>492.06964399999998</v>
      </c>
      <c r="M182">
        <v>-5481.6604779999998</v>
      </c>
      <c r="N182">
        <v>15696.794618</v>
      </c>
      <c r="O182">
        <v>0.93095000000000006</v>
      </c>
      <c r="P182">
        <v>15.773088</v>
      </c>
      <c r="Q182">
        <v>15.773088</v>
      </c>
      <c r="R182">
        <v>63.092354</v>
      </c>
      <c r="S182">
        <f>$G$4</f>
        <v>-6.8267956550292963</v>
      </c>
      <c r="T182">
        <f>M182-825*S182</f>
        <v>150.44593739916945</v>
      </c>
      <c r="U182">
        <f>T182/(2*P182*Q182)</f>
        <v>0.30235490359132061</v>
      </c>
      <c r="V182">
        <f>U182*16.02</f>
        <v>4.8437255555329557</v>
      </c>
    </row>
    <row r="183" spans="11:22" x14ac:dyDescent="0.2">
      <c r="L183">
        <v>491.46016800000001</v>
      </c>
      <c r="M183">
        <v>-5481.7802339999998</v>
      </c>
      <c r="N183">
        <v>15696.377451</v>
      </c>
      <c r="O183">
        <v>1.328687</v>
      </c>
      <c r="P183">
        <v>15.772949000000001</v>
      </c>
      <c r="Q183">
        <v>15.772949000000001</v>
      </c>
      <c r="R183">
        <v>63.091797999999997</v>
      </c>
      <c r="S183">
        <f>$G$4</f>
        <v>-6.8267956550292963</v>
      </c>
      <c r="T183">
        <f>M183-825*S183</f>
        <v>150.3261813991694</v>
      </c>
      <c r="U183">
        <f>T183/(2*P183*Q183)</f>
        <v>0.302119551831038</v>
      </c>
      <c r="V183">
        <f>U183*16.02</f>
        <v>4.8399552203332288</v>
      </c>
    </row>
    <row r="184" spans="11:22" x14ac:dyDescent="0.2">
      <c r="L184">
        <v>491.78055899999998</v>
      </c>
      <c r="M184">
        <v>-5481.698367</v>
      </c>
      <c r="N184">
        <v>15697.730815000001</v>
      </c>
      <c r="O184">
        <v>1.3589629999999999</v>
      </c>
      <c r="P184">
        <v>15.773401</v>
      </c>
      <c r="Q184">
        <v>15.773401</v>
      </c>
      <c r="R184">
        <v>63.093604999999997</v>
      </c>
      <c r="S184">
        <f>$G$4</f>
        <v>-6.8267956550292963</v>
      </c>
      <c r="T184">
        <f>M184-825*S184</f>
        <v>150.40804839916927</v>
      </c>
      <c r="U184">
        <f>T184/(2*P184*Q184)</f>
        <v>0.30226676069755659</v>
      </c>
      <c r="V184">
        <f>U184*16.02</f>
        <v>4.8423135063748566</v>
      </c>
    </row>
    <row r="185" spans="11:22" x14ac:dyDescent="0.2">
      <c r="L185">
        <v>492.72712899999999</v>
      </c>
      <c r="M185">
        <v>-5481.6031650000004</v>
      </c>
      <c r="N185">
        <v>15700.621179</v>
      </c>
      <c r="O185">
        <v>1.5684739999999999</v>
      </c>
      <c r="P185">
        <v>15.774369999999999</v>
      </c>
      <c r="Q185">
        <v>15.774369999999999</v>
      </c>
      <c r="R185">
        <v>63.097481000000002</v>
      </c>
      <c r="S185">
        <f>$G$4</f>
        <v>-6.8267956550292963</v>
      </c>
      <c r="T185">
        <f>M185-825*S185</f>
        <v>150.50325039916879</v>
      </c>
      <c r="U185">
        <f>T185/(2*P185*Q185)</f>
        <v>0.30242092479802002</v>
      </c>
      <c r="V185">
        <f>U185*16.02</f>
        <v>4.8447832152642807</v>
      </c>
    </row>
    <row r="186" spans="11:22" x14ac:dyDescent="0.2">
      <c r="L186">
        <v>492.09930500000002</v>
      </c>
      <c r="M186">
        <v>-5481.6934970000002</v>
      </c>
      <c r="N186">
        <v>15698.553732</v>
      </c>
      <c r="O186">
        <v>1.5013730000000001</v>
      </c>
      <c r="P186">
        <v>15.773678</v>
      </c>
      <c r="Q186">
        <v>15.773678</v>
      </c>
      <c r="R186">
        <v>63.094712999999999</v>
      </c>
      <c r="S186">
        <f>$G$4</f>
        <v>-6.8267956550292963</v>
      </c>
      <c r="T186">
        <f>M186-825*S186</f>
        <v>150.41291839916903</v>
      </c>
      <c r="U186">
        <f>T186/(2*P186*Q186)</f>
        <v>0.30226593126407808</v>
      </c>
      <c r="V186">
        <f>U186*16.02</f>
        <v>4.8423002188505304</v>
      </c>
    </row>
    <row r="187" spans="11:22" x14ac:dyDescent="0.2">
      <c r="V187" s="1">
        <f>AVERAGE(V182:V186)</f>
        <v>4.8426155432711706</v>
      </c>
    </row>
    <row r="188" spans="11:22" x14ac:dyDescent="0.2">
      <c r="K188">
        <v>110</v>
      </c>
      <c r="S188">
        <f>$G$4</f>
        <v>-6.8267956550292963</v>
      </c>
      <c r="T188">
        <f>M188-1650*S188</f>
        <v>11264.212830798338</v>
      </c>
      <c r="U188" t="e">
        <f>T188/(2*P188*Q188)</f>
        <v>#DIV/0!</v>
      </c>
      <c r="V188" t="e">
        <f>U188*16.02</f>
        <v>#DIV/0!</v>
      </c>
    </row>
    <row r="189" spans="11:22" x14ac:dyDescent="0.2">
      <c r="S189">
        <f>$G$4</f>
        <v>-6.8267956550292963</v>
      </c>
      <c r="T189">
        <f>M189-1650*S189</f>
        <v>11264.212830798338</v>
      </c>
      <c r="U189" t="e">
        <f>T189/(2*P189*Q189)</f>
        <v>#DIV/0!</v>
      </c>
      <c r="V189" t="e">
        <f>U189*16.02</f>
        <v>#DIV/0!</v>
      </c>
    </row>
    <row r="190" spans="11:22" x14ac:dyDescent="0.2">
      <c r="S190">
        <f>$G$4</f>
        <v>-6.8267956550292963</v>
      </c>
      <c r="T190">
        <f>M190-1650*S190</f>
        <v>11264.212830798338</v>
      </c>
      <c r="U190" t="e">
        <f>T190/(2*P190*Q190)</f>
        <v>#DIV/0!</v>
      </c>
      <c r="V190" t="e">
        <f>U190*16.02</f>
        <v>#DIV/0!</v>
      </c>
    </row>
    <row r="191" spans="11:22" x14ac:dyDescent="0.2">
      <c r="S191">
        <f>$G$4</f>
        <v>-6.8267956550292963</v>
      </c>
      <c r="T191">
        <f>M191-1650*S191</f>
        <v>11264.212830798338</v>
      </c>
      <c r="U191" t="e">
        <f>T191/(2*P191*Q191)</f>
        <v>#DIV/0!</v>
      </c>
      <c r="V191" t="e">
        <f>U191*16.02</f>
        <v>#DIV/0!</v>
      </c>
    </row>
    <row r="192" spans="11:22" x14ac:dyDescent="0.2">
      <c r="S192">
        <f>$G$4</f>
        <v>-6.8267956550292963</v>
      </c>
      <c r="T192">
        <f>M192-1650*S192</f>
        <v>11264.212830798338</v>
      </c>
      <c r="U192" t="e">
        <f>T192/(2*P192*Q192)</f>
        <v>#DIV/0!</v>
      </c>
      <c r="V192" t="e">
        <f>U192*16.02</f>
        <v>#DIV/0!</v>
      </c>
    </row>
    <row r="193" spans="11:22" x14ac:dyDescent="0.2">
      <c r="V193" s="1" t="e">
        <f>AVERAGE(V188:V192)</f>
        <v>#DIV/0!</v>
      </c>
    </row>
    <row r="194" spans="11:22" x14ac:dyDescent="0.2">
      <c r="K194">
        <v>111</v>
      </c>
      <c r="L194">
        <v>491.99763300000001</v>
      </c>
      <c r="M194">
        <v>-18163.420932000001</v>
      </c>
      <c r="N194">
        <v>48420.846115</v>
      </c>
      <c r="O194">
        <v>0.40330199999999999</v>
      </c>
      <c r="P194">
        <v>87.372557999999998</v>
      </c>
      <c r="Q194">
        <v>17.906466999999999</v>
      </c>
      <c r="R194">
        <v>30.949036</v>
      </c>
      <c r="S194">
        <f>$G$4</f>
        <v>-6.8267956550292963</v>
      </c>
      <c r="T194">
        <f>M194-2711*S194</f>
        <v>344.02208878442252</v>
      </c>
      <c r="U194">
        <f>T194/(2*Q194*R194)</f>
        <v>0.31038398155653002</v>
      </c>
      <c r="V194">
        <f>U194*16.02</f>
        <v>4.9723513845356111</v>
      </c>
    </row>
    <row r="195" spans="11:22" x14ac:dyDescent="0.2">
      <c r="L195">
        <v>492.42391500000002</v>
      </c>
      <c r="M195">
        <v>-18163.258891000001</v>
      </c>
      <c r="N195">
        <v>48421.412280999997</v>
      </c>
      <c r="O195">
        <v>0.39212999999999998</v>
      </c>
      <c r="P195">
        <v>87.372901999999996</v>
      </c>
      <c r="Q195">
        <v>17.906538000000001</v>
      </c>
      <c r="R195">
        <v>30.949158000000001</v>
      </c>
      <c r="S195">
        <f>$G$4</f>
        <v>-6.8267956550292963</v>
      </c>
      <c r="T195">
        <f>M195-2711*S195</f>
        <v>344.18412978442211</v>
      </c>
      <c r="U195">
        <f>T195/(2*Q195*R195)</f>
        <v>0.31052772301164916</v>
      </c>
      <c r="V195">
        <f>U195*16.02</f>
        <v>4.9746541226466192</v>
      </c>
    </row>
    <row r="196" spans="11:22" x14ac:dyDescent="0.2">
      <c r="L196">
        <v>491.91107499999998</v>
      </c>
      <c r="M196">
        <v>-18163.491714</v>
      </c>
      <c r="N196">
        <v>48420.676900999999</v>
      </c>
      <c r="O196">
        <v>0.36017300000000002</v>
      </c>
      <c r="P196">
        <v>87.372459000000006</v>
      </c>
      <c r="Q196">
        <v>17.906447</v>
      </c>
      <c r="R196">
        <v>30.949000999999999</v>
      </c>
      <c r="S196">
        <f>$G$4</f>
        <v>-6.8267956550292963</v>
      </c>
      <c r="T196">
        <f>M196-2711*S196</f>
        <v>343.95130678442365</v>
      </c>
      <c r="U196">
        <f>T196/(2*Q196*R196)</f>
        <v>0.31032081808454143</v>
      </c>
      <c r="V196">
        <f>U196*16.02</f>
        <v>4.9713395057143535</v>
      </c>
    </row>
    <row r="197" spans="11:22" x14ac:dyDescent="0.2">
      <c r="L197">
        <v>491.944594</v>
      </c>
      <c r="M197">
        <v>-18163.479457000001</v>
      </c>
      <c r="N197">
        <v>48423.483872999997</v>
      </c>
      <c r="O197">
        <v>0.44135099999999999</v>
      </c>
      <c r="P197">
        <v>87.374149000000003</v>
      </c>
      <c r="Q197">
        <v>17.906793</v>
      </c>
      <c r="R197">
        <v>30.949598999999999</v>
      </c>
      <c r="S197">
        <f>$G$4</f>
        <v>-6.8267956550292963</v>
      </c>
      <c r="T197">
        <f>M197-2711*S197</f>
        <v>343.96356378442215</v>
      </c>
      <c r="U197">
        <f>T197/(2*Q197*R197)</f>
        <v>0.31031988428006063</v>
      </c>
      <c r="V197">
        <f>U197*16.02</f>
        <v>4.9713245461665716</v>
      </c>
    </row>
    <row r="198" spans="11:22" x14ac:dyDescent="0.2">
      <c r="L198">
        <v>492.19085899999999</v>
      </c>
      <c r="M198">
        <v>-18163.386632000002</v>
      </c>
      <c r="N198">
        <v>48419.125001</v>
      </c>
      <c r="O198">
        <v>0.33763300000000002</v>
      </c>
      <c r="P198">
        <v>87.371522999999996</v>
      </c>
      <c r="Q198">
        <v>17.906255000000002</v>
      </c>
      <c r="R198">
        <v>30.948668999999999</v>
      </c>
      <c r="S198">
        <f>$G$4</f>
        <v>-6.8267956550292963</v>
      </c>
      <c r="T198">
        <f>M198-2711*S198</f>
        <v>344.05638878442187</v>
      </c>
      <c r="U198">
        <f>T198/(2*Q198*R198)</f>
        <v>0.3104222839289873</v>
      </c>
      <c r="V198">
        <f>U198*16.02</f>
        <v>4.9729649885423761</v>
      </c>
    </row>
    <row r="199" spans="11:22" x14ac:dyDescent="0.2">
      <c r="V199" s="1">
        <f>AVERAGE(V194:V198)</f>
        <v>4.9725269095211058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K535"/>
  <sheetViews>
    <sheetView topLeftCell="H1" workbookViewId="0">
      <selection activeCell="AD57" sqref="AD57"/>
    </sheetView>
  </sheetViews>
  <sheetFormatPr baseColWidth="10" defaultRowHeight="16" x14ac:dyDescent="0.2"/>
  <cols>
    <col min="3" max="5" width="12.1640625" bestFit="1" customWidth="1"/>
  </cols>
  <sheetData>
    <row r="1" spans="1:8" x14ac:dyDescent="0.2">
      <c r="B1" t="s">
        <v>117</v>
      </c>
      <c r="E1" t="s">
        <v>29</v>
      </c>
      <c r="F1" t="s">
        <v>30</v>
      </c>
    </row>
    <row r="2" spans="1:8" x14ac:dyDescent="0.2">
      <c r="D2">
        <v>600</v>
      </c>
      <c r="E2">
        <v>-4.1201358984000001</v>
      </c>
      <c r="F2">
        <v>-6.8129961863403325</v>
      </c>
    </row>
    <row r="3" spans="1:8" x14ac:dyDescent="0.2">
      <c r="D3">
        <v>800</v>
      </c>
      <c r="E3">
        <v>-4.0944669552500006</v>
      </c>
      <c r="F3">
        <v>-6.7846091721999997</v>
      </c>
    </row>
    <row r="4" spans="1:8" x14ac:dyDescent="0.2">
      <c r="D4">
        <v>1000</v>
      </c>
      <c r="E4">
        <v>-4.0670907491499992</v>
      </c>
      <c r="F4">
        <v>-6.7554243092999995</v>
      </c>
    </row>
    <row r="5" spans="1:8" x14ac:dyDescent="0.2">
      <c r="D5">
        <v>1200</v>
      </c>
      <c r="E5">
        <v>-4.0371768887999995</v>
      </c>
      <c r="F5">
        <v>-6.7245818759000002</v>
      </c>
    </row>
    <row r="6" spans="1:8" x14ac:dyDescent="0.2">
      <c r="B6" t="s">
        <v>118</v>
      </c>
    </row>
    <row r="7" spans="1:8" x14ac:dyDescent="0.2">
      <c r="B7" t="s">
        <v>5</v>
      </c>
      <c r="C7" t="s">
        <v>7</v>
      </c>
      <c r="D7" t="s">
        <v>6</v>
      </c>
      <c r="E7" t="s">
        <v>8</v>
      </c>
      <c r="F7" t="s">
        <v>12</v>
      </c>
      <c r="G7" t="s">
        <v>14</v>
      </c>
      <c r="H7" t="s">
        <v>13</v>
      </c>
    </row>
    <row r="8" spans="1:8" x14ac:dyDescent="0.2">
      <c r="A8">
        <v>600</v>
      </c>
      <c r="B8">
        <v>-11981.923854999999</v>
      </c>
      <c r="C8">
        <v>34528.844562999999</v>
      </c>
      <c r="D8">
        <f>B8/2000</f>
        <v>-5.9909619274999999</v>
      </c>
      <c r="E8">
        <f>C8/2000</f>
        <v>17.2644222815</v>
      </c>
      <c r="F8">
        <f>B8-2000*(H8*$F$3+(1-H8)*E$3)</f>
        <v>134.61769224700038</v>
      </c>
      <c r="G8">
        <f>F8/2000</f>
        <v>6.7308846123500188E-2</v>
      </c>
      <c r="H8">
        <f>1460/2000</f>
        <v>0.73</v>
      </c>
    </row>
    <row r="9" spans="1:8" x14ac:dyDescent="0.2">
      <c r="B9">
        <v>-11983.206988</v>
      </c>
      <c r="C9">
        <v>34524.412801999999</v>
      </c>
      <c r="D9">
        <f t="shared" ref="D9:E17" si="0">B9/2000</f>
        <v>-5.9916034939999996</v>
      </c>
      <c r="E9">
        <f t="shared" si="0"/>
        <v>17.262206401</v>
      </c>
      <c r="F9">
        <f t="shared" ref="F9:F17" si="1">B9-2000*(H9*$F$3+(1-H9)*E$3)</f>
        <v>138.71484368090023</v>
      </c>
      <c r="G9">
        <f t="shared" ref="G9:G17" si="2">F9/2000</f>
        <v>6.9357421840450115E-2</v>
      </c>
      <c r="H9">
        <f>1462/2000</f>
        <v>0.73099999999999998</v>
      </c>
    </row>
    <row r="10" spans="1:8" x14ac:dyDescent="0.2">
      <c r="B10">
        <v>-11823.402349</v>
      </c>
      <c r="C10">
        <v>34795.725657000003</v>
      </c>
      <c r="D10">
        <f t="shared" si="0"/>
        <v>-5.9117011745000001</v>
      </c>
      <c r="E10">
        <f t="shared" si="0"/>
        <v>17.397862828500003</v>
      </c>
      <c r="F10">
        <f t="shared" si="1"/>
        <v>137.11094966390192</v>
      </c>
      <c r="G10">
        <f t="shared" si="2"/>
        <v>6.8555474831950958E-2</v>
      </c>
      <c r="H10">
        <f>1402/2000</f>
        <v>0.70099999999999996</v>
      </c>
    </row>
    <row r="11" spans="1:8" x14ac:dyDescent="0.2">
      <c r="B11">
        <v>-11929.138070000001</v>
      </c>
      <c r="C11">
        <v>34596.759322999998</v>
      </c>
      <c r="D11">
        <f t="shared" si="0"/>
        <v>-5.9645690350000002</v>
      </c>
      <c r="E11">
        <f t="shared" si="0"/>
        <v>17.2983796615</v>
      </c>
      <c r="F11">
        <f t="shared" si="1"/>
        <v>136.29077512494769</v>
      </c>
      <c r="G11">
        <f t="shared" si="2"/>
        <v>6.8145387562473847E-2</v>
      </c>
      <c r="H11">
        <f>1441/2000</f>
        <v>0.72050000000000003</v>
      </c>
    </row>
    <row r="12" spans="1:8" x14ac:dyDescent="0.2">
      <c r="B12">
        <v>-11838.470227</v>
      </c>
      <c r="C12">
        <v>34774.822375000003</v>
      </c>
      <c r="D12">
        <f t="shared" si="0"/>
        <v>-5.9192351135000001</v>
      </c>
      <c r="E12">
        <f t="shared" si="0"/>
        <v>17.387411187500003</v>
      </c>
      <c r="F12">
        <f t="shared" si="1"/>
        <v>130.11349831474945</v>
      </c>
      <c r="G12">
        <f t="shared" si="2"/>
        <v>6.5056749157374721E-2</v>
      </c>
      <c r="H12">
        <f>1405/2000</f>
        <v>0.70250000000000001</v>
      </c>
    </row>
    <row r="13" spans="1:8" x14ac:dyDescent="0.2">
      <c r="B13">
        <v>-11966.305531</v>
      </c>
      <c r="C13">
        <v>34546.397551000002</v>
      </c>
      <c r="D13">
        <f t="shared" si="0"/>
        <v>-5.9831527654999999</v>
      </c>
      <c r="E13">
        <f t="shared" si="0"/>
        <v>17.273198775499999</v>
      </c>
      <c r="F13">
        <f t="shared" si="1"/>
        <v>134.09516294529931</v>
      </c>
      <c r="G13">
        <f t="shared" si="2"/>
        <v>6.7047581472649651E-2</v>
      </c>
      <c r="H13">
        <f>1454/2000</f>
        <v>0.72699999999999998</v>
      </c>
    </row>
    <row r="14" spans="1:8" x14ac:dyDescent="0.2">
      <c r="B14">
        <v>-11910.441124000001</v>
      </c>
      <c r="C14">
        <v>34658.045999000002</v>
      </c>
      <c r="D14">
        <f t="shared" si="0"/>
        <v>-5.9552205620000001</v>
      </c>
      <c r="E14">
        <f t="shared" si="0"/>
        <v>17.329022999500001</v>
      </c>
      <c r="F14">
        <f t="shared" si="1"/>
        <v>136.15672560629901</v>
      </c>
      <c r="G14">
        <f t="shared" si="2"/>
        <v>6.8078362803149509E-2</v>
      </c>
      <c r="H14">
        <f>1434/2000</f>
        <v>0.71699999999999997</v>
      </c>
    </row>
    <row r="15" spans="1:8" x14ac:dyDescent="0.2">
      <c r="B15">
        <v>-11924.366824000001</v>
      </c>
      <c r="C15">
        <v>34613.109483</v>
      </c>
      <c r="D15">
        <f t="shared" si="0"/>
        <v>-5.9621834119999999</v>
      </c>
      <c r="E15">
        <f t="shared" si="0"/>
        <v>17.306554741500001</v>
      </c>
      <c r="F15">
        <f t="shared" si="1"/>
        <v>143.75216334190009</v>
      </c>
      <c r="G15">
        <f t="shared" si="2"/>
        <v>7.187608167095004E-2</v>
      </c>
      <c r="H15">
        <f>1442/2000</f>
        <v>0.72099999999999997</v>
      </c>
    </row>
    <row r="16" spans="1:8" x14ac:dyDescent="0.2">
      <c r="B16">
        <v>-11866.174367</v>
      </c>
      <c r="C16">
        <v>34722.089065</v>
      </c>
      <c r="D16">
        <f t="shared" si="0"/>
        <v>-5.9330871834999996</v>
      </c>
      <c r="E16">
        <f t="shared" si="0"/>
        <v>17.361044532499999</v>
      </c>
      <c r="F16">
        <f t="shared" si="1"/>
        <v>142.76149156900101</v>
      </c>
      <c r="G16">
        <f t="shared" si="2"/>
        <v>7.1380745784500502E-2</v>
      </c>
      <c r="H16">
        <f>1420/2000</f>
        <v>0.71</v>
      </c>
    </row>
    <row r="17" spans="1:37" x14ac:dyDescent="0.2">
      <c r="B17">
        <v>-11891.046071999999</v>
      </c>
      <c r="C17">
        <v>34675.897162000001</v>
      </c>
      <c r="D17">
        <f t="shared" si="0"/>
        <v>-5.945523036</v>
      </c>
      <c r="E17">
        <f t="shared" si="0"/>
        <v>17.337948580999999</v>
      </c>
      <c r="F17">
        <f t="shared" si="1"/>
        <v>142.10106652155264</v>
      </c>
      <c r="G17">
        <f t="shared" si="2"/>
        <v>7.1050533260776316E-2</v>
      </c>
      <c r="H17">
        <f>1429/2000</f>
        <v>0.71450000000000002</v>
      </c>
    </row>
    <row r="19" spans="1:37" x14ac:dyDescent="0.2">
      <c r="B19" t="s">
        <v>5</v>
      </c>
      <c r="C19" t="s">
        <v>7</v>
      </c>
      <c r="D19" t="s">
        <v>6</v>
      </c>
      <c r="E19" t="s">
        <v>8</v>
      </c>
      <c r="F19" t="s">
        <v>12</v>
      </c>
      <c r="G19" t="s">
        <v>14</v>
      </c>
      <c r="H19" t="s">
        <v>13</v>
      </c>
    </row>
    <row r="20" spans="1:37" x14ac:dyDescent="0.2">
      <c r="A20">
        <v>800</v>
      </c>
      <c r="B20">
        <v>-11925.436540999999</v>
      </c>
      <c r="C20">
        <v>34715.779472000002</v>
      </c>
      <c r="D20">
        <f>B20/2000</f>
        <v>-5.9627182704999999</v>
      </c>
      <c r="E20">
        <f>C20/2000</f>
        <v>17.357889736000001</v>
      </c>
      <c r="F20">
        <f>B20-2000*(H20*$F$4+(1-H20)*E$4)</f>
        <v>133.71195511899896</v>
      </c>
      <c r="G20">
        <f>F20/2000</f>
        <v>6.6855977559499485E-2</v>
      </c>
      <c r="H20">
        <f>1460/2000</f>
        <v>0.73</v>
      </c>
    </row>
    <row r="21" spans="1:37" x14ac:dyDescent="0.2">
      <c r="B21">
        <v>-11926.374100000001</v>
      </c>
      <c r="C21">
        <v>34713.117645999999</v>
      </c>
      <c r="D21">
        <f t="shared" ref="D21:E29" si="3">B21/2000</f>
        <v>-5.9631870500000002</v>
      </c>
      <c r="E21">
        <f t="shared" si="3"/>
        <v>17.356558823</v>
      </c>
      <c r="F21">
        <f t="shared" ref="F21:F29" si="4">B21-2000*(H21*$F$4+(1-H21)*E$4)</f>
        <v>138.15106323929831</v>
      </c>
      <c r="G21">
        <f t="shared" ref="G21:G29" si="5">F21/2000</f>
        <v>6.9075531619649161E-2</v>
      </c>
      <c r="H21">
        <f>1462/2000</f>
        <v>0.73099999999999998</v>
      </c>
    </row>
    <row r="22" spans="1:37" x14ac:dyDescent="0.2">
      <c r="B22">
        <v>-11767.351272</v>
      </c>
      <c r="C22">
        <v>34985.313309999998</v>
      </c>
      <c r="D22">
        <f t="shared" si="3"/>
        <v>-5.8836756359999995</v>
      </c>
      <c r="E22">
        <f t="shared" si="3"/>
        <v>17.492656654999998</v>
      </c>
      <c r="F22">
        <f t="shared" si="4"/>
        <v>135.87387763029801</v>
      </c>
      <c r="G22">
        <f t="shared" si="5"/>
        <v>6.7936938815149006E-2</v>
      </c>
      <c r="H22">
        <f>1402/2000</f>
        <v>0.70099999999999996</v>
      </c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1:37" x14ac:dyDescent="0.2">
      <c r="B23">
        <v>-11871.947228999999</v>
      </c>
      <c r="C23">
        <v>34784.969127999997</v>
      </c>
      <c r="D23">
        <f t="shared" si="3"/>
        <v>-5.9359736144999999</v>
      </c>
      <c r="E23">
        <f t="shared" si="3"/>
        <v>17.392484564</v>
      </c>
      <c r="F23">
        <f t="shared" si="4"/>
        <v>136.12292947614878</v>
      </c>
      <c r="G23">
        <f t="shared" si="5"/>
        <v>6.8061464738074395E-2</v>
      </c>
      <c r="H23">
        <f>1441/2000</f>
        <v>0.72050000000000003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x14ac:dyDescent="0.2">
      <c r="B24">
        <v>-11781.334478999999</v>
      </c>
      <c r="C24">
        <v>34967.246976000002</v>
      </c>
      <c r="D24">
        <f t="shared" si="3"/>
        <v>-5.8906672394999999</v>
      </c>
      <c r="E24">
        <f t="shared" si="3"/>
        <v>17.483623488000003</v>
      </c>
      <c r="F24">
        <f t="shared" si="4"/>
        <v>129.95567131074858</v>
      </c>
      <c r="G24">
        <f t="shared" si="5"/>
        <v>6.4977835655374294E-2</v>
      </c>
      <c r="H24">
        <f>1405/2000</f>
        <v>0.70250000000000001</v>
      </c>
      <c r="K24">
        <v>600</v>
      </c>
      <c r="L24" t="s">
        <v>118</v>
      </c>
      <c r="X24" t="s">
        <v>25</v>
      </c>
      <c r="Y24" t="s">
        <v>24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1:37" x14ac:dyDescent="0.2">
      <c r="B25">
        <v>-11909.884607</v>
      </c>
      <c r="C25">
        <v>34732.725225000002</v>
      </c>
      <c r="D25">
        <f t="shared" si="3"/>
        <v>-5.9549423035000002</v>
      </c>
      <c r="E25">
        <f t="shared" si="3"/>
        <v>17.366362612500001</v>
      </c>
      <c r="F25">
        <f t="shared" si="4"/>
        <v>133.13388775810017</v>
      </c>
      <c r="G25">
        <f t="shared" si="5"/>
        <v>6.6566943879050086E-2</v>
      </c>
      <c r="H25">
        <f>1454/2000</f>
        <v>0.72699999999999998</v>
      </c>
      <c r="K25" t="s">
        <v>176</v>
      </c>
      <c r="L25" t="s">
        <v>18</v>
      </c>
      <c r="M25" t="s">
        <v>5</v>
      </c>
      <c r="N25" t="s">
        <v>7</v>
      </c>
      <c r="O25" t="s">
        <v>19</v>
      </c>
      <c r="P25" t="s">
        <v>20</v>
      </c>
      <c r="Q25" t="s">
        <v>21</v>
      </c>
      <c r="R25" t="s">
        <v>22</v>
      </c>
      <c r="S25" t="s">
        <v>4</v>
      </c>
      <c r="T25" t="s">
        <v>10</v>
      </c>
      <c r="U25" t="s">
        <v>13</v>
      </c>
      <c r="V25" t="s">
        <v>26</v>
      </c>
      <c r="W25" t="s">
        <v>12</v>
      </c>
      <c r="X25" t="s">
        <v>23</v>
      </c>
      <c r="Y25" t="s">
        <v>23</v>
      </c>
      <c r="AC25" s="10"/>
      <c r="AD25">
        <v>600</v>
      </c>
      <c r="AE25" s="10">
        <v>800</v>
      </c>
      <c r="AF25" s="10">
        <v>1000</v>
      </c>
      <c r="AG25" s="10">
        <v>1200</v>
      </c>
      <c r="AH25" s="10"/>
      <c r="AI25" s="10"/>
      <c r="AJ25" s="10"/>
      <c r="AK25" s="10"/>
    </row>
    <row r="26" spans="1:37" x14ac:dyDescent="0.2">
      <c r="B26">
        <v>-11853.646724</v>
      </c>
      <c r="C26">
        <v>34844.604957000003</v>
      </c>
      <c r="D26">
        <f t="shared" si="3"/>
        <v>-5.9268233620000004</v>
      </c>
      <c r="E26">
        <f t="shared" si="3"/>
        <v>17.422302478500001</v>
      </c>
      <c r="F26">
        <f t="shared" si="4"/>
        <v>135.60509955509769</v>
      </c>
      <c r="G26">
        <f t="shared" si="5"/>
        <v>6.7802549777548848E-2</v>
      </c>
      <c r="H26">
        <f>1434/2000</f>
        <v>0.71699999999999997</v>
      </c>
      <c r="J26" t="s">
        <v>55</v>
      </c>
      <c r="L26">
        <v>520.25176299999998</v>
      </c>
      <c r="M26">
        <v>-23291.880395</v>
      </c>
      <c r="N26">
        <v>67594.134479999993</v>
      </c>
      <c r="O26">
        <v>-0.54359000000000002</v>
      </c>
      <c r="P26">
        <v>29.536726999999999</v>
      </c>
      <c r="Q26">
        <v>176.122784</v>
      </c>
      <c r="R26">
        <v>12.993656</v>
      </c>
      <c r="S26">
        <v>1073</v>
      </c>
      <c r="T26">
        <v>2831</v>
      </c>
      <c r="U26">
        <f>T26/(T26+S26)</f>
        <v>0.72515368852459017</v>
      </c>
      <c r="V26">
        <f>-4.0366-2.67498*U26</f>
        <v>-5.9763716137295084</v>
      </c>
      <c r="W26">
        <f>M26-(SUM(S26:T26)*V26)</f>
        <v>39.874384999999165</v>
      </c>
      <c r="X26">
        <f>W26/(2*P26*R26)</f>
        <v>5.1948171821632493E-2</v>
      </c>
      <c r="Y26">
        <f>X26*16.02</f>
        <v>0.8322097125825525</v>
      </c>
      <c r="AA26" s="10"/>
      <c r="AC26" t="s">
        <v>17</v>
      </c>
      <c r="AD26" s="20">
        <v>1.1283949581942085</v>
      </c>
      <c r="AE26" s="20">
        <v>1.1602871273920983</v>
      </c>
      <c r="AF26" s="20">
        <v>1.1811295003146394</v>
      </c>
      <c r="AG26" s="20">
        <v>1.1930626695111877</v>
      </c>
      <c r="AH26" s="10"/>
      <c r="AI26" s="12"/>
      <c r="AJ26" s="12"/>
      <c r="AK26" s="10"/>
    </row>
    <row r="27" spans="1:37" x14ac:dyDescent="0.2">
      <c r="B27">
        <v>-11867.372597</v>
      </c>
      <c r="C27">
        <v>34802.384560999999</v>
      </c>
      <c r="D27">
        <f t="shared" si="3"/>
        <v>-5.9336862984999996</v>
      </c>
      <c r="E27">
        <f t="shared" si="3"/>
        <v>17.401192280499998</v>
      </c>
      <c r="F27">
        <f t="shared" si="4"/>
        <v>143.38589503629919</v>
      </c>
      <c r="G27">
        <f t="shared" si="5"/>
        <v>7.16929475181496E-2</v>
      </c>
      <c r="H27">
        <f>1442/2000</f>
        <v>0.72099999999999997</v>
      </c>
      <c r="L27">
        <v>520.425027</v>
      </c>
      <c r="M27">
        <v>-23314.274271999999</v>
      </c>
      <c r="N27">
        <v>67567.16519</v>
      </c>
      <c r="O27">
        <v>-0.51760399999999995</v>
      </c>
      <c r="P27">
        <v>29.521730000000002</v>
      </c>
      <c r="Q27">
        <v>176.090159</v>
      </c>
      <c r="R27">
        <v>12.997476000000001</v>
      </c>
      <c r="S27">
        <v>1063</v>
      </c>
      <c r="T27">
        <v>2841</v>
      </c>
      <c r="U27">
        <f>T27/(T27+S27)</f>
        <v>0.72771516393442626</v>
      </c>
      <c r="V27">
        <f>-4.0366-2.67498*U27</f>
        <v>-5.9832235092213111</v>
      </c>
      <c r="W27">
        <f>M27-(SUM(S27:T27)*V27)</f>
        <v>44.230307999998331</v>
      </c>
      <c r="X27">
        <f>W27/(2*P27*R27)</f>
        <v>5.7635377205497308E-2</v>
      </c>
      <c r="Y27">
        <f>X27*16.02</f>
        <v>0.92331874283206683</v>
      </c>
      <c r="AA27" s="10"/>
      <c r="AC27" t="s">
        <v>27</v>
      </c>
      <c r="AD27" s="20">
        <v>1.1161930657207983</v>
      </c>
      <c r="AE27" s="20">
        <v>1.1722082992079281</v>
      </c>
      <c r="AF27" s="20">
        <v>1.1951579642686965</v>
      </c>
      <c r="AG27" s="20">
        <v>1.2514509050967189</v>
      </c>
      <c r="AH27" s="10"/>
      <c r="AI27" s="12"/>
      <c r="AJ27" s="12"/>
      <c r="AK27" s="10"/>
    </row>
    <row r="28" spans="1:37" x14ac:dyDescent="0.2">
      <c r="B28">
        <v>-11809.082116</v>
      </c>
      <c r="C28">
        <v>34914.080746</v>
      </c>
      <c r="D28">
        <f t="shared" si="3"/>
        <v>-5.9045410579999995</v>
      </c>
      <c r="E28">
        <f t="shared" si="3"/>
        <v>17.457040372999998</v>
      </c>
      <c r="F28">
        <f t="shared" si="4"/>
        <v>142.53303771299943</v>
      </c>
      <c r="G28">
        <f t="shared" si="5"/>
        <v>7.1266518856499719E-2</v>
      </c>
      <c r="H28">
        <f>1420/2000</f>
        <v>0.71</v>
      </c>
      <c r="L28">
        <v>520.37232200000005</v>
      </c>
      <c r="M28">
        <v>-23322.17224</v>
      </c>
      <c r="N28">
        <v>67559.075945000004</v>
      </c>
      <c r="O28">
        <v>-0.54364000000000001</v>
      </c>
      <c r="P28">
        <v>29.507300999999998</v>
      </c>
      <c r="Q28">
        <v>176.07662199999999</v>
      </c>
      <c r="R28">
        <v>13.003275</v>
      </c>
      <c r="S28">
        <v>1059</v>
      </c>
      <c r="T28">
        <v>2845</v>
      </c>
      <c r="U28">
        <f>T28/(T28+S28)</f>
        <v>0.72873975409836067</v>
      </c>
      <c r="V28">
        <f>-4.0366-2.67498*U28</f>
        <v>-5.9859642674180327</v>
      </c>
      <c r="W28">
        <f>M28-(SUM(S28:T28)*V28)</f>
        <v>47.032259999999951</v>
      </c>
      <c r="X28">
        <f>W28/(2*P28*R28)</f>
        <v>6.1289152800245605E-2</v>
      </c>
      <c r="Y28">
        <f>X28*16.02</f>
        <v>0.98185222785993453</v>
      </c>
      <c r="AC28" t="s">
        <v>28</v>
      </c>
      <c r="AD28" s="20">
        <v>1.1860949911349437</v>
      </c>
      <c r="AE28" s="20">
        <v>1.0964497572057499</v>
      </c>
      <c r="AF28" s="20">
        <v>1.24105412500945</v>
      </c>
      <c r="AG28" s="20">
        <v>1.2441824373363599</v>
      </c>
      <c r="AH28" s="10"/>
      <c r="AI28" s="12"/>
      <c r="AJ28" s="12"/>
      <c r="AK28" s="10"/>
    </row>
    <row r="29" spans="1:37" x14ac:dyDescent="0.2">
      <c r="B29">
        <v>-11834.365447</v>
      </c>
      <c r="C29">
        <v>34865.418797999999</v>
      </c>
      <c r="D29">
        <f t="shared" si="3"/>
        <v>-5.9171827234999999</v>
      </c>
      <c r="E29">
        <f t="shared" si="3"/>
        <v>17.432709399</v>
      </c>
      <c r="F29">
        <f t="shared" si="4"/>
        <v>141.44470875434854</v>
      </c>
      <c r="G29">
        <f t="shared" si="5"/>
        <v>7.0722354377174265E-2</v>
      </c>
      <c r="H29">
        <f>1429/2000</f>
        <v>0.71450000000000002</v>
      </c>
      <c r="L29">
        <v>520.40324699999996</v>
      </c>
      <c r="M29">
        <v>-23274.130563999999</v>
      </c>
      <c r="N29">
        <v>67588.660392000005</v>
      </c>
      <c r="O29">
        <v>-0.53080300000000002</v>
      </c>
      <c r="P29">
        <v>29.491171999999999</v>
      </c>
      <c r="Q29">
        <v>176.30529799999999</v>
      </c>
      <c r="R29">
        <v>12.999200999999999</v>
      </c>
      <c r="S29">
        <v>1075</v>
      </c>
      <c r="T29">
        <v>2829</v>
      </c>
      <c r="U29">
        <f>T29/(T29+S29)</f>
        <v>0.72464139344262291</v>
      </c>
      <c r="V29">
        <f>-4.0366-2.67498*U29</f>
        <v>-5.9750012346311472</v>
      </c>
      <c r="W29">
        <f>M29-(SUM(S29:T29)*V29)</f>
        <v>52.274256000000605</v>
      </c>
      <c r="X29">
        <f>W29/(2*P29*R29)</f>
        <v>6.8178771826356302E-2</v>
      </c>
      <c r="Y29">
        <f>X29*16.02</f>
        <v>1.0922239246582279</v>
      </c>
      <c r="AC29" s="10" t="s">
        <v>55</v>
      </c>
      <c r="AD29" s="20">
        <v>0.95204359825307083</v>
      </c>
      <c r="AE29" s="20">
        <v>0.9172378128189479</v>
      </c>
      <c r="AF29" s="20">
        <v>0.94628952844789949</v>
      </c>
      <c r="AG29" s="20">
        <v>0.92525349477684382</v>
      </c>
      <c r="AH29" s="10"/>
      <c r="AI29" s="10"/>
      <c r="AJ29" s="10"/>
      <c r="AK29" s="10"/>
    </row>
    <row r="30" spans="1:37" x14ac:dyDescent="0.2">
      <c r="L30">
        <v>520.16130799999996</v>
      </c>
      <c r="M30">
        <v>-23338.029393000001</v>
      </c>
      <c r="N30">
        <v>67572.356253000005</v>
      </c>
      <c r="O30">
        <v>-0.50910299999999997</v>
      </c>
      <c r="P30">
        <v>29.476618999999999</v>
      </c>
      <c r="Q30">
        <v>176.22125</v>
      </c>
      <c r="R30">
        <v>13.008683</v>
      </c>
      <c r="S30">
        <v>1054</v>
      </c>
      <c r="T30">
        <v>2850</v>
      </c>
      <c r="U30">
        <f>T30/(T30+S30)</f>
        <v>0.73002049180327866</v>
      </c>
      <c r="V30">
        <f>-4.0366-2.67498*U30</f>
        <v>-5.9893902151639349</v>
      </c>
      <c r="W30">
        <f>M30-(SUM(S30:T30)*V30)</f>
        <v>44.550007000001642</v>
      </c>
      <c r="X30">
        <f>W30/(2*P30*R30)</f>
        <v>5.8090723054467684E-2</v>
      </c>
      <c r="Y30">
        <f>X30*16.02</f>
        <v>0.93061338333257226</v>
      </c>
      <c r="Z30" s="1">
        <f>AVERAGE(Y26:Y30)</f>
        <v>0.95204359825307083</v>
      </c>
      <c r="AA30" s="1">
        <f>STDEV(Y26:Y30)</f>
        <v>9.5109949394748886E-2</v>
      </c>
      <c r="AC30" s="39" t="s">
        <v>110</v>
      </c>
      <c r="AD30" s="20">
        <v>1.2693907282962211</v>
      </c>
      <c r="AE30" s="20">
        <v>1.2149951107478407</v>
      </c>
      <c r="AF30" s="20">
        <v>1.2486907666252591</v>
      </c>
      <c r="AG30" s="20">
        <v>1.2557856336285897</v>
      </c>
      <c r="AH30" s="10"/>
      <c r="AI30" s="10"/>
      <c r="AJ30" s="10"/>
      <c r="AK30" s="10"/>
    </row>
    <row r="31" spans="1:37" x14ac:dyDescent="0.2">
      <c r="B31" t="s">
        <v>5</v>
      </c>
      <c r="C31" t="s">
        <v>7</v>
      </c>
      <c r="D31" t="s">
        <v>6</v>
      </c>
      <c r="E31" t="s">
        <v>8</v>
      </c>
      <c r="F31" t="s">
        <v>12</v>
      </c>
      <c r="G31" t="s">
        <v>14</v>
      </c>
      <c r="H31" t="s">
        <v>13</v>
      </c>
      <c r="Z31" s="1"/>
      <c r="AB31" s="10"/>
      <c r="AD31" s="48">
        <f>AVERAGE(AD26:AD30)</f>
        <v>1.1304234683198486</v>
      </c>
      <c r="AE31" s="48">
        <f t="shared" ref="AE31:AG31" si="6">AVERAGE(AE26:AE30)</f>
        <v>1.1122356214745128</v>
      </c>
      <c r="AF31" s="48">
        <f t="shared" si="6"/>
        <v>1.162464376933189</v>
      </c>
      <c r="AG31" s="48">
        <f t="shared" si="6"/>
        <v>1.17394702806994</v>
      </c>
      <c r="AH31" s="10"/>
      <c r="AI31" s="12"/>
      <c r="AJ31" s="12"/>
      <c r="AK31" s="10"/>
    </row>
    <row r="32" spans="1:37" x14ac:dyDescent="0.2">
      <c r="A32">
        <v>1000</v>
      </c>
      <c r="B32">
        <v>-11866.435473</v>
      </c>
      <c r="C32">
        <v>34908.947111000001</v>
      </c>
      <c r="D32">
        <f>B32/2000</f>
        <v>-5.9332177364999996</v>
      </c>
      <c r="E32">
        <f>C32/2000</f>
        <v>17.454473555500002</v>
      </c>
      <c r="F32">
        <f>B32-2000*(H32*$F$5+(1-H32)*E$5)</f>
        <v>131.52958576600031</v>
      </c>
      <c r="G32">
        <f>F32/2000</f>
        <v>6.5764792883000162E-2</v>
      </c>
      <c r="H32">
        <f>1460/2000</f>
        <v>0.73</v>
      </c>
      <c r="J32" t="s">
        <v>133</v>
      </c>
      <c r="K32">
        <v>100000</v>
      </c>
      <c r="L32">
        <v>557.53455199999996</v>
      </c>
      <c r="M32">
        <v>-18738.499272000001</v>
      </c>
      <c r="N32">
        <v>55122.409865000001</v>
      </c>
      <c r="O32">
        <v>-0.89282099999999998</v>
      </c>
      <c r="P32">
        <v>23.071054</v>
      </c>
      <c r="Q32">
        <v>183.525532</v>
      </c>
      <c r="R32">
        <v>13.018606999999999</v>
      </c>
      <c r="S32">
        <v>930</v>
      </c>
      <c r="T32">
        <v>2238</v>
      </c>
      <c r="U32">
        <f>T32/(T32+S32)</f>
        <v>0.70643939393939392</v>
      </c>
      <c r="V32">
        <f>-4.0366-2.6749*U32</f>
        <v>-5.9262547348484844</v>
      </c>
      <c r="W32">
        <f>M32-(SUM(S32:T32)*V32)</f>
        <v>35.875727999999071</v>
      </c>
      <c r="X32">
        <f>W32/(2*P32*R32)</f>
        <v>5.9722609362184598E-2</v>
      </c>
      <c r="Y32">
        <f>X32*16.02</f>
        <v>0.95675620198219724</v>
      </c>
      <c r="AB32" s="10"/>
      <c r="AC32" s="41">
        <v>300</v>
      </c>
      <c r="AD32" s="50">
        <v>600</v>
      </c>
      <c r="AE32" s="50">
        <v>800</v>
      </c>
      <c r="AF32" s="50">
        <v>1000</v>
      </c>
      <c r="AG32" s="50">
        <v>1200</v>
      </c>
      <c r="AH32" s="12"/>
      <c r="AI32" s="12"/>
      <c r="AJ32" s="10"/>
    </row>
    <row r="33" spans="1:36" x14ac:dyDescent="0.2">
      <c r="B33">
        <v>-11868.061723999999</v>
      </c>
      <c r="C33">
        <v>34904.108678999997</v>
      </c>
      <c r="D33">
        <f t="shared" ref="D33:E41" si="7">B33/2000</f>
        <v>-5.9340308619999993</v>
      </c>
      <c r="E33">
        <f t="shared" si="7"/>
        <v>17.452054339499998</v>
      </c>
      <c r="F33">
        <f t="shared" ref="F33:F41" si="8">B33-2000*(H33*$F$5+(1-H33)*E$5)</f>
        <v>135.27814474020124</v>
      </c>
      <c r="G33">
        <f t="shared" ref="G33:G41" si="9">F33/2000</f>
        <v>6.7639072370100625E-2</v>
      </c>
      <c r="H33">
        <f>1462/2000</f>
        <v>0.73099999999999998</v>
      </c>
      <c r="K33">
        <v>100000</v>
      </c>
      <c r="L33">
        <v>557.91465100000005</v>
      </c>
      <c r="M33">
        <v>-18788.158164</v>
      </c>
      <c r="N33">
        <v>55045.122726000001</v>
      </c>
      <c r="O33">
        <v>-0.83943100000000004</v>
      </c>
      <c r="P33">
        <v>23.071984</v>
      </c>
      <c r="Q33">
        <v>183.31431900000001</v>
      </c>
      <c r="R33">
        <v>13.014809</v>
      </c>
      <c r="S33">
        <v>913</v>
      </c>
      <c r="T33">
        <v>2255</v>
      </c>
      <c r="U33">
        <f>T33/(T33+S33)</f>
        <v>0.71180555555555558</v>
      </c>
      <c r="V33">
        <f>-4.0366-2.6749*U33</f>
        <v>-5.940608680555556</v>
      </c>
      <c r="W33">
        <f>M33-(SUM(S33:T33)*V33)</f>
        <v>31.690136000001075</v>
      </c>
      <c r="X33">
        <f>W33/(2*P33*R33)</f>
        <v>5.2768089005337561E-2</v>
      </c>
      <c r="Y33">
        <f>X33*16.02</f>
        <v>0.84534478586550765</v>
      </c>
      <c r="AB33" s="10"/>
      <c r="AC33" s="16">
        <v>0.95286852486021589</v>
      </c>
      <c r="AD33" s="16">
        <v>0.95204359825307083</v>
      </c>
      <c r="AE33" s="16">
        <v>0.9172378128189479</v>
      </c>
      <c r="AF33" s="16">
        <v>0.94628952844789949</v>
      </c>
      <c r="AG33" s="16">
        <v>0.92525349477684382</v>
      </c>
      <c r="AH33" s="12"/>
      <c r="AI33" s="12"/>
      <c r="AJ33" s="10"/>
    </row>
    <row r="34" spans="1:36" x14ac:dyDescent="0.2">
      <c r="B34">
        <v>-11707.142207999999</v>
      </c>
      <c r="C34">
        <v>35190.378118000001</v>
      </c>
      <c r="D34">
        <f t="shared" si="7"/>
        <v>-5.8535711039999994</v>
      </c>
      <c r="E34">
        <f t="shared" si="7"/>
        <v>17.595189058999999</v>
      </c>
      <c r="F34">
        <f t="shared" si="8"/>
        <v>134.95336151420088</v>
      </c>
      <c r="G34">
        <f t="shared" si="9"/>
        <v>6.7476680757100435E-2</v>
      </c>
      <c r="H34">
        <f>1402/2000</f>
        <v>0.70099999999999996</v>
      </c>
      <c r="K34">
        <v>100000</v>
      </c>
      <c r="L34">
        <v>557.68461000000002</v>
      </c>
      <c r="M34">
        <v>-18672.691905</v>
      </c>
      <c r="N34">
        <v>55240.723646999999</v>
      </c>
      <c r="O34">
        <v>-0.88474600000000003</v>
      </c>
      <c r="P34">
        <v>23.096032999999998</v>
      </c>
      <c r="Q34">
        <v>183.58260899999999</v>
      </c>
      <c r="R34">
        <v>13.028389000000001</v>
      </c>
      <c r="S34">
        <v>953</v>
      </c>
      <c r="T34">
        <v>2215</v>
      </c>
      <c r="U34">
        <f>T34/(T34+S34)</f>
        <v>0.69917929292929293</v>
      </c>
      <c r="V34">
        <f>-4.0366-2.6749*U34</f>
        <v>-5.9068346906565656</v>
      </c>
      <c r="W34">
        <f>M34-(SUM(S34:T34)*V34)</f>
        <v>40.160394999998971</v>
      </c>
      <c r="X34">
        <f>W34/(2*P34*R34)</f>
        <v>6.673288050177005E-2</v>
      </c>
      <c r="Y34">
        <f>X34*16.02</f>
        <v>1.0690607456383563</v>
      </c>
      <c r="AB34" s="12"/>
      <c r="AC34" s="16">
        <v>0.95190999715904212</v>
      </c>
      <c r="AD34" s="16">
        <v>0.996790479002861</v>
      </c>
      <c r="AE34" s="16">
        <v>1.0399788001610746</v>
      </c>
      <c r="AF34" s="16">
        <v>0.97109165898669936</v>
      </c>
      <c r="AG34" s="16">
        <v>1.0127401396322067</v>
      </c>
      <c r="AH34" s="10"/>
      <c r="AI34" s="10"/>
    </row>
    <row r="35" spans="1:36" x14ac:dyDescent="0.2">
      <c r="B35">
        <v>-11812.894684999999</v>
      </c>
      <c r="C35">
        <v>34980.810814999997</v>
      </c>
      <c r="D35">
        <f t="shared" si="7"/>
        <v>-5.9064473424999999</v>
      </c>
      <c r="E35">
        <f t="shared" si="7"/>
        <v>17.490405407499999</v>
      </c>
      <c r="F35">
        <f t="shared" si="8"/>
        <v>134.00967901110016</v>
      </c>
      <c r="G35">
        <f t="shared" si="9"/>
        <v>6.7004839505550084E-2</v>
      </c>
      <c r="H35">
        <f>1441/2000</f>
        <v>0.72050000000000003</v>
      </c>
      <c r="K35">
        <v>100000</v>
      </c>
      <c r="L35">
        <v>557.71184900000003</v>
      </c>
      <c r="M35">
        <v>-18829.169848000001</v>
      </c>
      <c r="N35">
        <v>54963.229421999997</v>
      </c>
      <c r="O35">
        <v>-0.79434700000000003</v>
      </c>
      <c r="P35">
        <v>23.076443999999999</v>
      </c>
      <c r="Q35">
        <v>183.17200299999999</v>
      </c>
      <c r="R35">
        <v>13.003028</v>
      </c>
      <c r="S35">
        <v>895</v>
      </c>
      <c r="T35">
        <v>2273</v>
      </c>
      <c r="U35">
        <f>T35/(T35+S35)</f>
        <v>0.7174873737373737</v>
      </c>
      <c r="V35">
        <f>-4.0366-2.6749*U35</f>
        <v>-5.9558069760101011</v>
      </c>
      <c r="W35">
        <f>M35-(SUM(S35:T35)*V35)</f>
        <v>38.82665199999974</v>
      </c>
      <c r="X35">
        <f>W35/(2*P35*R35)</f>
        <v>6.469736058841799E-2</v>
      </c>
      <c r="Y35">
        <f>X35*16.02</f>
        <v>1.0364517166264562</v>
      </c>
      <c r="AB35" s="10"/>
      <c r="AC35" s="16">
        <v>1.1227701272074158</v>
      </c>
      <c r="AD35" s="16">
        <v>1.1860949911349437</v>
      </c>
      <c r="AE35" s="16">
        <v>1.0964497572057499</v>
      </c>
      <c r="AF35" s="16">
        <v>1.24105412500945</v>
      </c>
      <c r="AG35" s="16">
        <v>1.2441824373363599</v>
      </c>
      <c r="AH35" s="10"/>
      <c r="AI35" s="10"/>
    </row>
    <row r="36" spans="1:36" x14ac:dyDescent="0.2">
      <c r="B36">
        <v>-11722.262577</v>
      </c>
      <c r="C36">
        <v>35165.164567</v>
      </c>
      <c r="D36">
        <f t="shared" si="7"/>
        <v>-5.8611312884999993</v>
      </c>
      <c r="E36">
        <f t="shared" si="7"/>
        <v>17.582582283499999</v>
      </c>
      <c r="F36">
        <f t="shared" si="8"/>
        <v>127.89520747549977</v>
      </c>
      <c r="G36">
        <f t="shared" si="9"/>
        <v>6.3947603737749881E-2</v>
      </c>
      <c r="H36">
        <f>1405/2000</f>
        <v>0.70250000000000001</v>
      </c>
      <c r="K36">
        <v>100000</v>
      </c>
      <c r="L36">
        <v>557.78807099999995</v>
      </c>
      <c r="M36">
        <v>-18811.636012999999</v>
      </c>
      <c r="N36">
        <v>55018.501526</v>
      </c>
      <c r="O36">
        <v>-0.91962999999999995</v>
      </c>
      <c r="P36">
        <v>23.056511</v>
      </c>
      <c r="Q36">
        <v>183.40072699999999</v>
      </c>
      <c r="R36">
        <v>13.011111</v>
      </c>
      <c r="S36">
        <v>901</v>
      </c>
      <c r="T36">
        <v>2267</v>
      </c>
      <c r="U36">
        <f>T36/(T36+S36)</f>
        <v>0.71559343434343436</v>
      </c>
      <c r="V36">
        <f>-4.0366-2.6749*U36</f>
        <v>-5.9507408775252522</v>
      </c>
      <c r="W36">
        <f>M36-(SUM(S36:T36)*V36)</f>
        <v>40.311086999998224</v>
      </c>
      <c r="X36">
        <f>W36/(2*P36*R36)</f>
        <v>6.7187200056291391E-2</v>
      </c>
      <c r="Y36">
        <f>X36*16.02</f>
        <v>1.0763389449017879</v>
      </c>
      <c r="Z36" s="1">
        <f>AVERAGE(Y32:Y36)</f>
        <v>0.996790479002861</v>
      </c>
      <c r="AA36" s="1">
        <f>STDEV(Y32:Y36)</f>
        <v>9.7034149842586667E-2</v>
      </c>
      <c r="AB36" s="10"/>
      <c r="AC36" s="16">
        <v>1.1624561370231479</v>
      </c>
      <c r="AD36" s="16">
        <v>1.2904872937924581</v>
      </c>
      <c r="AE36" s="16">
        <v>1.2070478672841891</v>
      </c>
      <c r="AF36" s="16">
        <v>1.1923161116636061</v>
      </c>
      <c r="AG36" s="16">
        <v>1.2833562150386499</v>
      </c>
      <c r="AH36" s="12"/>
      <c r="AI36" s="10"/>
    </row>
    <row r="37" spans="1:36" x14ac:dyDescent="0.2">
      <c r="B37">
        <v>-11850.966162000001</v>
      </c>
      <c r="C37">
        <v>34927.552248</v>
      </c>
      <c r="D37">
        <f t="shared" si="7"/>
        <v>-5.9254830810000003</v>
      </c>
      <c r="E37">
        <f t="shared" si="7"/>
        <v>17.463776123999999</v>
      </c>
      <c r="F37">
        <f t="shared" si="8"/>
        <v>130.87446684339739</v>
      </c>
      <c r="G37">
        <f t="shared" si="9"/>
        <v>6.5437233421698687E-2</v>
      </c>
      <c r="H37">
        <f>1454/2000</f>
        <v>0.72699999999999998</v>
      </c>
      <c r="Z37" s="1"/>
      <c r="AB37" s="10"/>
      <c r="AC37" s="16">
        <v>1.1223298400889736</v>
      </c>
      <c r="AD37" s="16">
        <v>1.1161930657207983</v>
      </c>
      <c r="AE37" s="16">
        <v>1.1722082992079281</v>
      </c>
      <c r="AF37" s="16">
        <v>1.1951579642686965</v>
      </c>
      <c r="AG37" s="16">
        <v>1.2514509050967189</v>
      </c>
      <c r="AH37" s="12"/>
      <c r="AI37" s="10"/>
    </row>
    <row r="38" spans="1:36" x14ac:dyDescent="0.2">
      <c r="B38">
        <v>-11792.968108999999</v>
      </c>
      <c r="C38">
        <v>35045.298921000001</v>
      </c>
      <c r="D38">
        <f t="shared" si="7"/>
        <v>-5.8964840545000001</v>
      </c>
      <c r="E38">
        <f t="shared" si="7"/>
        <v>17.522649460500002</v>
      </c>
      <c r="F38">
        <f t="shared" si="8"/>
        <v>135.12442010139966</v>
      </c>
      <c r="G38">
        <f t="shared" si="9"/>
        <v>6.7562210050699831E-2</v>
      </c>
      <c r="H38">
        <f>1434/2000</f>
        <v>0.71699999999999997</v>
      </c>
      <c r="J38" t="s">
        <v>28</v>
      </c>
      <c r="L38">
        <v>557.82184700000005</v>
      </c>
      <c r="M38">
        <v>-19645.226654999999</v>
      </c>
      <c r="N38">
        <v>57127.933712999999</v>
      </c>
      <c r="O38">
        <v>-0.69235400000000002</v>
      </c>
      <c r="P38">
        <v>33.251761000000002</v>
      </c>
      <c r="Q38">
        <v>132.38946000000001</v>
      </c>
      <c r="R38">
        <v>12.977190999999999</v>
      </c>
      <c r="S38">
        <v>901</v>
      </c>
      <c r="T38">
        <v>2395</v>
      </c>
      <c r="U38">
        <f>T38/(T38+S38)</f>
        <v>0.72663834951456308</v>
      </c>
      <c r="V38">
        <f>-4.0366-2.67498*U38</f>
        <v>-5.980343052184466</v>
      </c>
      <c r="W38">
        <f>M38-(SUM(S38:T38)*V38)</f>
        <v>65.984045000001061</v>
      </c>
      <c r="X38">
        <f>W38/(2*P38*R38)</f>
        <v>7.6456355577502841E-2</v>
      </c>
      <c r="Y38">
        <f>X38*16.02</f>
        <v>1.2248308163515955</v>
      </c>
      <c r="AA38" s="10"/>
      <c r="AB38" s="10"/>
      <c r="AC38" s="16">
        <v>1.3393760721813499</v>
      </c>
      <c r="AD38" s="16">
        <v>1.219975853758744</v>
      </c>
      <c r="AE38" s="16">
        <v>1.3765385861639998</v>
      </c>
      <c r="AF38" s="16">
        <v>1.2768423808695597</v>
      </c>
      <c r="AG38" s="16">
        <v>1.3906156337068265</v>
      </c>
      <c r="AH38" s="12"/>
      <c r="AI38" s="10"/>
    </row>
    <row r="39" spans="1:36" x14ac:dyDescent="0.2">
      <c r="B39">
        <v>-11807.439726000001</v>
      </c>
      <c r="C39">
        <v>35001.892713000001</v>
      </c>
      <c r="D39">
        <f t="shared" si="7"/>
        <v>-5.9037198630000001</v>
      </c>
      <c r="E39">
        <f t="shared" si="7"/>
        <v>17.500946356500002</v>
      </c>
      <c r="F39">
        <f t="shared" si="8"/>
        <v>142.15204299819925</v>
      </c>
      <c r="G39">
        <f t="shared" si="9"/>
        <v>7.1076021499099626E-2</v>
      </c>
      <c r="H39">
        <f>1442/2000</f>
        <v>0.72099999999999997</v>
      </c>
      <c r="L39">
        <v>557.73439099999996</v>
      </c>
      <c r="M39">
        <v>-19668.482595000001</v>
      </c>
      <c r="N39">
        <v>57101.751903999997</v>
      </c>
      <c r="O39">
        <v>-0.67290700000000003</v>
      </c>
      <c r="P39">
        <v>33.225873</v>
      </c>
      <c r="Q39">
        <v>132.32086100000001</v>
      </c>
      <c r="R39">
        <v>12.988079000000001</v>
      </c>
      <c r="S39">
        <v>893</v>
      </c>
      <c r="T39">
        <v>2403</v>
      </c>
      <c r="U39">
        <f>T39/(T39+S39)</f>
        <v>0.72906553398058249</v>
      </c>
      <c r="V39">
        <f>-4.0366-2.67498*U39</f>
        <v>-5.9868357220873785</v>
      </c>
      <c r="W39">
        <f>M39-(SUM(S39:T39)*V39)</f>
        <v>64.127944999996544</v>
      </c>
      <c r="X39">
        <f>W39/(2*P39*R39)</f>
        <v>7.43012303180106E-2</v>
      </c>
      <c r="Y39">
        <f>X39*16.02</f>
        <v>1.1903057096945298</v>
      </c>
      <c r="AA39" s="10"/>
      <c r="AB39" s="12"/>
      <c r="AC39" s="16">
        <v>1.1223789838642317</v>
      </c>
      <c r="AD39" s="16">
        <v>1.1283949581942085</v>
      </c>
      <c r="AE39" s="16">
        <v>1.1602871273920983</v>
      </c>
      <c r="AF39" s="16">
        <v>1.1811295003146394</v>
      </c>
      <c r="AG39" s="16">
        <v>1.1930626695111877</v>
      </c>
      <c r="AH39" s="10"/>
      <c r="AI39" s="10"/>
    </row>
    <row r="40" spans="1:36" x14ac:dyDescent="0.2">
      <c r="B40">
        <v>-11749.726225</v>
      </c>
      <c r="C40">
        <v>35113.046275000001</v>
      </c>
      <c r="D40">
        <f t="shared" si="7"/>
        <v>-5.8748631124999999</v>
      </c>
      <c r="E40">
        <f t="shared" si="7"/>
        <v>17.556523137500001</v>
      </c>
      <c r="F40">
        <f t="shared" si="8"/>
        <v>140.74263428199811</v>
      </c>
      <c r="G40">
        <f t="shared" si="9"/>
        <v>7.0371317140999048E-2</v>
      </c>
      <c r="H40">
        <f>1420/2000</f>
        <v>0.71</v>
      </c>
      <c r="L40">
        <v>557.92213400000003</v>
      </c>
      <c r="M40">
        <v>-19621.938162999999</v>
      </c>
      <c r="N40">
        <v>57154.37558</v>
      </c>
      <c r="O40">
        <v>-0.87648300000000001</v>
      </c>
      <c r="P40">
        <v>33.231777000000001</v>
      </c>
      <c r="Q40">
        <v>132.32896</v>
      </c>
      <c r="R40">
        <v>12.996945</v>
      </c>
      <c r="S40">
        <v>913</v>
      </c>
      <c r="T40">
        <v>2383</v>
      </c>
      <c r="U40">
        <f>T40/(T40+S40)</f>
        <v>0.72299757281553401</v>
      </c>
      <c r="V40">
        <f>-4.0366-2.67498*U40</f>
        <v>-5.970604047330097</v>
      </c>
      <c r="W40">
        <f>M40-(SUM(S40:T40)*V40)</f>
        <v>57.172776999999769</v>
      </c>
      <c r="X40">
        <f>W40/(2*P40*R40)</f>
        <v>6.6185742548469068E-2</v>
      </c>
      <c r="Y40">
        <f>X40*16.02</f>
        <v>1.0602955956264744</v>
      </c>
      <c r="AA40" s="10"/>
      <c r="AB40" s="12"/>
      <c r="AC40" s="16">
        <v>1.2733626437024899</v>
      </c>
      <c r="AD40" s="16">
        <v>1.1388052509623132</v>
      </c>
      <c r="AE40" s="16">
        <v>1.2858402507451263</v>
      </c>
      <c r="AF40" s="16">
        <v>1.288884198722235</v>
      </c>
      <c r="AG40" s="16">
        <v>1.3192780255987073</v>
      </c>
      <c r="AH40" s="10"/>
      <c r="AI40" s="10"/>
    </row>
    <row r="41" spans="1:36" x14ac:dyDescent="0.2">
      <c r="B41">
        <v>-11775.277689</v>
      </c>
      <c r="C41">
        <v>35064.496973000001</v>
      </c>
      <c r="D41">
        <f t="shared" si="7"/>
        <v>-5.8876388445000005</v>
      </c>
      <c r="E41">
        <f t="shared" si="7"/>
        <v>17.532248486500002</v>
      </c>
      <c r="F41">
        <f t="shared" si="8"/>
        <v>139.37781516589894</v>
      </c>
      <c r="G41">
        <f t="shared" si="9"/>
        <v>6.9688907582949475E-2</v>
      </c>
      <c r="H41">
        <f>1429/2000</f>
        <v>0.71450000000000002</v>
      </c>
      <c r="L41">
        <v>557.85726299999999</v>
      </c>
      <c r="M41">
        <v>-19617.777004</v>
      </c>
      <c r="N41">
        <v>57155.336623000003</v>
      </c>
      <c r="O41">
        <v>-0.79328299999999996</v>
      </c>
      <c r="P41">
        <v>33.252139999999997</v>
      </c>
      <c r="Q41">
        <v>132.30420699999999</v>
      </c>
      <c r="R41">
        <v>12.991633999999999</v>
      </c>
      <c r="S41">
        <v>913</v>
      </c>
      <c r="T41">
        <v>2383</v>
      </c>
      <c r="U41">
        <f>T41/(T41+S41)</f>
        <v>0.72299757281553401</v>
      </c>
      <c r="V41">
        <f>-4.0366-2.67498*U41</f>
        <v>-5.970604047330097</v>
      </c>
      <c r="W41">
        <f>M41-(SUM(S41:T41)*V41)</f>
        <v>61.333935999999085</v>
      </c>
      <c r="X41">
        <f>W41/(2*P41*R41)</f>
        <v>7.0988412225398603E-2</v>
      </c>
      <c r="Y41">
        <f>X41*16.02</f>
        <v>1.1372343638508855</v>
      </c>
      <c r="AA41" s="10"/>
      <c r="AB41" s="12"/>
      <c r="AC41" s="16">
        <v>1.058507153580136</v>
      </c>
      <c r="AD41" s="16">
        <v>1.0252675518084264</v>
      </c>
      <c r="AE41" s="16">
        <v>1.0464788064866408</v>
      </c>
      <c r="AF41" s="16">
        <v>1.1394021878737843</v>
      </c>
      <c r="AG41" s="16">
        <v>1.0669187532172741</v>
      </c>
      <c r="AH41" s="10"/>
      <c r="AI41" s="10"/>
    </row>
    <row r="42" spans="1:36" x14ac:dyDescent="0.2">
      <c r="L42">
        <v>557.89439500000003</v>
      </c>
      <c r="M42">
        <v>-19658.917893000002</v>
      </c>
      <c r="N42">
        <v>57111.078973000003</v>
      </c>
      <c r="O42">
        <v>-0.95413499999999996</v>
      </c>
      <c r="P42">
        <v>33.237645999999998</v>
      </c>
      <c r="Q42">
        <v>132.30432099999999</v>
      </c>
      <c r="R42">
        <v>12.987225</v>
      </c>
      <c r="S42">
        <v>894</v>
      </c>
      <c r="T42">
        <v>2402</v>
      </c>
      <c r="U42">
        <f>T42/(T42+S42)</f>
        <v>0.72876213592233008</v>
      </c>
      <c r="V42">
        <f>-4.0366-2.67498*U42</f>
        <v>-5.9860241383495145</v>
      </c>
      <c r="W42">
        <f>M42-(SUM(S42:T42)*V42)</f>
        <v>71.017666999996436</v>
      </c>
      <c r="X42">
        <f>W42/(2*P42*R42)</f>
        <v>8.2260204129290471E-2</v>
      </c>
      <c r="Y42">
        <f>X42*16.02</f>
        <v>1.3178084701512334</v>
      </c>
      <c r="Z42" s="1">
        <f>AVERAGE(Y38:Y42)</f>
        <v>1.1860949911349437</v>
      </c>
      <c r="AA42" s="1">
        <f>STDEV(Y38:Y42)</f>
        <v>9.6280168868601343E-2</v>
      </c>
      <c r="AB42" s="10"/>
      <c r="AC42" s="16">
        <v>0.95485673354545209</v>
      </c>
      <c r="AD42" s="16">
        <v>0.96316953173895947</v>
      </c>
      <c r="AE42" s="16">
        <v>0.93303132987024218</v>
      </c>
      <c r="AF42" s="16">
        <v>0.9677911591286712</v>
      </c>
      <c r="AG42" s="16">
        <v>0.93149005594949708</v>
      </c>
      <c r="AH42" s="10"/>
      <c r="AI42" s="10"/>
    </row>
    <row r="43" spans="1:36" x14ac:dyDescent="0.2">
      <c r="B43" t="s">
        <v>5</v>
      </c>
      <c r="C43" t="s">
        <v>7</v>
      </c>
      <c r="D43" t="s">
        <v>6</v>
      </c>
      <c r="E43" t="s">
        <v>8</v>
      </c>
      <c r="F43" t="s">
        <v>12</v>
      </c>
      <c r="G43" t="s">
        <v>14</v>
      </c>
      <c r="H43" t="s">
        <v>13</v>
      </c>
      <c r="Z43" s="1"/>
      <c r="AA43" s="10"/>
      <c r="AB43" s="10" t="s">
        <v>147</v>
      </c>
      <c r="AC43" s="10">
        <f>AVERAGE(AC33:AC42)</f>
        <v>1.1060816213212454</v>
      </c>
      <c r="AD43" s="10">
        <f t="shared" ref="AD43:AG43" si="10">AVERAGE(AD33:AD42)</f>
        <v>1.1017222574366783</v>
      </c>
      <c r="AE43" s="10">
        <f t="shared" si="10"/>
        <v>1.1235098637336001</v>
      </c>
      <c r="AF43" s="10">
        <f t="shared" si="10"/>
        <v>1.1399958815285243</v>
      </c>
      <c r="AG43" s="10">
        <f t="shared" si="10"/>
        <v>1.1618348329864274</v>
      </c>
      <c r="AH43" s="10"/>
      <c r="AI43" s="10"/>
      <c r="AJ43" s="10"/>
    </row>
    <row r="44" spans="1:36" x14ac:dyDescent="0.2">
      <c r="A44">
        <v>1200</v>
      </c>
      <c r="B44">
        <v>-11804.005944</v>
      </c>
      <c r="C44">
        <v>35118.245818000003</v>
      </c>
      <c r="D44">
        <f>B44/2000</f>
        <v>-5.902002972</v>
      </c>
      <c r="E44">
        <f>C44/2000</f>
        <v>17.559122909000003</v>
      </c>
      <c r="F44">
        <f>B44-2000*(H44*$F$2+(1-H44)*E$2)</f>
        <v>367.84187319288503</v>
      </c>
      <c r="G44">
        <f>F44/2000</f>
        <v>0.18392093659644251</v>
      </c>
      <c r="H44">
        <f>1460/2000</f>
        <v>0.73</v>
      </c>
      <c r="J44" t="s">
        <v>134</v>
      </c>
      <c r="K44">
        <v>100000</v>
      </c>
      <c r="L44">
        <v>557.53939000000003</v>
      </c>
      <c r="M44">
        <v>-19120.684075000001</v>
      </c>
      <c r="N44">
        <v>56263.826261000002</v>
      </c>
      <c r="O44">
        <v>-0.79225400000000001</v>
      </c>
      <c r="P44">
        <v>26.908866</v>
      </c>
      <c r="Q44">
        <v>160.620958</v>
      </c>
      <c r="R44">
        <v>13.01763</v>
      </c>
      <c r="S44">
        <v>941</v>
      </c>
      <c r="T44">
        <v>2291</v>
      </c>
      <c r="U44">
        <f>T44/(T44+S44)</f>
        <v>0.70884900990099009</v>
      </c>
      <c r="V44">
        <f>-4.0366-2.6749*U44</f>
        <v>-5.9327002165841582</v>
      </c>
      <c r="W44">
        <f>M44-(SUM(S44:T44)*V44)</f>
        <v>53.803024999997433</v>
      </c>
      <c r="X44">
        <f>W44/(2*P44*R44)</f>
        <v>7.6797906051749604E-2</v>
      </c>
      <c r="Y44">
        <f>X44*16.02</f>
        <v>1.2303024549490287</v>
      </c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x14ac:dyDescent="0.2">
      <c r="B45">
        <v>-11805.287237</v>
      </c>
      <c r="C45">
        <v>35114.981940999998</v>
      </c>
      <c r="D45">
        <f t="shared" ref="D45:E53" si="11">B45/2000</f>
        <v>-5.9026436185</v>
      </c>
      <c r="E45">
        <f t="shared" si="11"/>
        <v>17.557490970499998</v>
      </c>
      <c r="F45">
        <f t="shared" ref="F45:F53" si="12">B45-2000*(H45*$F$2+(1-H45)*E$2)</f>
        <v>371.94630076876638</v>
      </c>
      <c r="G45">
        <f t="shared" ref="G45:G53" si="13">F45/2000</f>
        <v>0.1859731503843832</v>
      </c>
      <c r="H45">
        <f>1462/2000</f>
        <v>0.73099999999999998</v>
      </c>
      <c r="K45">
        <v>100000</v>
      </c>
      <c r="L45">
        <v>557.60752400000001</v>
      </c>
      <c r="M45">
        <v>-19177.462329999998</v>
      </c>
      <c r="N45">
        <v>56145.0164</v>
      </c>
      <c r="O45">
        <v>-0.93371800000000005</v>
      </c>
      <c r="P45">
        <v>26.885427</v>
      </c>
      <c r="Q45">
        <v>160.66365099999999</v>
      </c>
      <c r="R45">
        <v>12.998011</v>
      </c>
      <c r="S45">
        <v>918</v>
      </c>
      <c r="T45">
        <v>2314</v>
      </c>
      <c r="U45">
        <f>T45/(T45+S45)</f>
        <v>0.71596534653465349</v>
      </c>
      <c r="V45">
        <f>-4.0366-2.6749*U45</f>
        <v>-5.9517357054455449</v>
      </c>
      <c r="W45">
        <f>M45-(SUM(S45:T45)*V45)</f>
        <v>58.54747000000134</v>
      </c>
      <c r="X45">
        <f>W45/(2*P45*R45)</f>
        <v>8.3769186604124565E-2</v>
      </c>
      <c r="Y45">
        <f>X45*16.02</f>
        <v>1.3419823693980755</v>
      </c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x14ac:dyDescent="0.2">
      <c r="B46">
        <v>-11644.793621999999</v>
      </c>
      <c r="C46">
        <v>35405.083299999998</v>
      </c>
      <c r="D46">
        <f t="shared" si="11"/>
        <v>-5.8223968109999999</v>
      </c>
      <c r="E46">
        <f t="shared" si="11"/>
        <v>17.702541650000001</v>
      </c>
      <c r="F46">
        <f t="shared" si="12"/>
        <v>370.86829849234528</v>
      </c>
      <c r="G46">
        <f t="shared" si="13"/>
        <v>0.18543414924617263</v>
      </c>
      <c r="H46">
        <f>1402/2000</f>
        <v>0.70099999999999996</v>
      </c>
      <c r="K46">
        <v>100000</v>
      </c>
      <c r="L46">
        <v>558.02061200000003</v>
      </c>
      <c r="M46">
        <v>-19136.164416</v>
      </c>
      <c r="N46">
        <v>56237.338292</v>
      </c>
      <c r="O46">
        <v>-0.77600400000000003</v>
      </c>
      <c r="P46">
        <v>26.913654000000001</v>
      </c>
      <c r="Q46">
        <v>160.62668300000001</v>
      </c>
      <c r="R46">
        <v>13.008722000000001</v>
      </c>
      <c r="S46">
        <v>934</v>
      </c>
      <c r="T46">
        <v>2298</v>
      </c>
      <c r="U46">
        <f>T46/(T46+S46)</f>
        <v>0.71101485148514854</v>
      </c>
      <c r="V46">
        <f>-4.0366-2.6749*U46</f>
        <v>-5.9384936262376238</v>
      </c>
      <c r="W46">
        <f>M46-(SUM(S46:T46)*V46)</f>
        <v>57.046984000000521</v>
      </c>
      <c r="X46">
        <f>W46/(2*P46*R46)</f>
        <v>8.1469564630296559E-2</v>
      </c>
      <c r="Y46">
        <f>X46*16.02</f>
        <v>1.3051424253773509</v>
      </c>
    </row>
    <row r="47" spans="1:36" x14ac:dyDescent="0.2">
      <c r="B47">
        <v>-11751.31603</v>
      </c>
      <c r="C47">
        <v>35190.690091999997</v>
      </c>
      <c r="D47">
        <f t="shared" si="11"/>
        <v>-5.875658015</v>
      </c>
      <c r="E47">
        <f t="shared" si="11"/>
        <v>17.595345045999998</v>
      </c>
      <c r="F47">
        <f t="shared" si="12"/>
        <v>369.36744172201907</v>
      </c>
      <c r="G47">
        <f t="shared" si="13"/>
        <v>0.18468372086100954</v>
      </c>
      <c r="H47">
        <f>1441/2000</f>
        <v>0.72050000000000003</v>
      </c>
      <c r="K47">
        <v>100000</v>
      </c>
      <c r="L47">
        <v>557.93386699999996</v>
      </c>
      <c r="M47">
        <v>-19019.434700999998</v>
      </c>
      <c r="N47">
        <v>56447.740319999997</v>
      </c>
      <c r="O47">
        <v>-0.91186199999999995</v>
      </c>
      <c r="P47">
        <v>26.933187</v>
      </c>
      <c r="Q47">
        <v>160.874222</v>
      </c>
      <c r="R47">
        <v>13.027846</v>
      </c>
      <c r="S47">
        <v>978</v>
      </c>
      <c r="T47">
        <v>2254</v>
      </c>
      <c r="U47">
        <f>T47/(T47+S47)</f>
        <v>0.69740099009900991</v>
      </c>
      <c r="V47">
        <f>-4.0366-2.6749*U47</f>
        <v>-5.9020779084158415</v>
      </c>
      <c r="W47">
        <f>M47-(SUM(S47:T47)*V47)</f>
        <v>56.081099000002723</v>
      </c>
      <c r="X47">
        <f>W47/(2*P47*R47)</f>
        <v>7.9914605046191647E-2</v>
      </c>
      <c r="Y47">
        <f>X47*16.02</f>
        <v>1.2802319728399902</v>
      </c>
    </row>
    <row r="48" spans="1:36" x14ac:dyDescent="0.2">
      <c r="B48">
        <v>-11659.465811</v>
      </c>
      <c r="C48">
        <v>35378.880839999998</v>
      </c>
      <c r="D48">
        <f t="shared" si="11"/>
        <v>-5.8297329055000002</v>
      </c>
      <c r="E48">
        <f t="shared" si="11"/>
        <v>17.68944042</v>
      </c>
      <c r="F48">
        <f t="shared" si="12"/>
        <v>364.27469035616923</v>
      </c>
      <c r="G48">
        <f t="shared" si="13"/>
        <v>0.18213734517808461</v>
      </c>
      <c r="H48">
        <f>1405/2000</f>
        <v>0.70250000000000001</v>
      </c>
      <c r="K48">
        <v>100000</v>
      </c>
      <c r="L48">
        <v>557.85169199999996</v>
      </c>
      <c r="M48">
        <v>-19072.365411999999</v>
      </c>
      <c r="N48">
        <v>56342.080489</v>
      </c>
      <c r="O48">
        <v>-0.90278000000000003</v>
      </c>
      <c r="P48">
        <v>26.941922000000002</v>
      </c>
      <c r="Q48">
        <v>160.77115800000001</v>
      </c>
      <c r="R48">
        <v>13.007578000000001</v>
      </c>
      <c r="S48">
        <v>958</v>
      </c>
      <c r="T48">
        <v>2274</v>
      </c>
      <c r="U48">
        <f>T48/(T48+S48)</f>
        <v>0.7035891089108911</v>
      </c>
      <c r="V48">
        <f>-4.0366-2.6749*U48</f>
        <v>-5.9186305074257426</v>
      </c>
      <c r="W48">
        <f>M48-(SUM(S48:T48)*V48)</f>
        <v>56.648388000001432</v>
      </c>
      <c r="X48">
        <f>W48/(2*P48*R48)</f>
        <v>8.0822549712724359E-2</v>
      </c>
      <c r="Y48">
        <f>X48*16.02</f>
        <v>1.2947772463978442</v>
      </c>
      <c r="Z48" s="1">
        <f>AVERAGE(Y44:Y48)</f>
        <v>1.2904872937924581</v>
      </c>
      <c r="AA48" s="1">
        <f>STDEV(Y44:Y48)</f>
        <v>4.0658042934956083E-2</v>
      </c>
    </row>
    <row r="49" spans="1:31" x14ac:dyDescent="0.2">
      <c r="B49">
        <v>-11789.10802</v>
      </c>
      <c r="C49">
        <v>35134.905536999999</v>
      </c>
      <c r="D49">
        <f t="shared" si="11"/>
        <v>-5.8945540100000002</v>
      </c>
      <c r="E49">
        <f t="shared" si="11"/>
        <v>17.567452768500001</v>
      </c>
      <c r="F49">
        <f t="shared" si="12"/>
        <v>366.58263546524358</v>
      </c>
      <c r="G49">
        <f t="shared" si="13"/>
        <v>0.18329131773262181</v>
      </c>
      <c r="H49">
        <f>1454/2000</f>
        <v>0.72699999999999998</v>
      </c>
      <c r="M49">
        <f>AVERAGE(M44:M48)</f>
        <v>-19105.222186799998</v>
      </c>
      <c r="Z49" s="1"/>
      <c r="AA49" s="10"/>
    </row>
    <row r="50" spans="1:31" x14ac:dyDescent="0.2">
      <c r="B50">
        <v>-11730.928372</v>
      </c>
      <c r="C50">
        <v>35253.227228000003</v>
      </c>
      <c r="D50">
        <f t="shared" si="11"/>
        <v>-5.8654641860000005</v>
      </c>
      <c r="E50">
        <f t="shared" si="11"/>
        <v>17.626613614</v>
      </c>
      <c r="F50">
        <f t="shared" si="12"/>
        <v>370.90507770643671</v>
      </c>
      <c r="G50">
        <f t="shared" si="13"/>
        <v>0.18545253885321836</v>
      </c>
      <c r="H50">
        <f>1434/2000</f>
        <v>0.71699999999999997</v>
      </c>
      <c r="J50" t="s">
        <v>27</v>
      </c>
      <c r="L50">
        <v>557.73015799999996</v>
      </c>
      <c r="M50">
        <v>-17093.811170000001</v>
      </c>
      <c r="N50">
        <v>50018.525259000002</v>
      </c>
      <c r="O50">
        <v>-0.97782500000000006</v>
      </c>
      <c r="P50">
        <v>30.932202</v>
      </c>
      <c r="Q50">
        <v>124.48533</v>
      </c>
      <c r="R50">
        <v>12.989789999999999</v>
      </c>
      <c r="S50">
        <v>817</v>
      </c>
      <c r="T50">
        <v>2063</v>
      </c>
      <c r="U50">
        <f>T50/(T50+S50)</f>
        <v>0.7163194444444444</v>
      </c>
      <c r="V50">
        <f>-4.0366-2.67498*U50</f>
        <v>-5.9527401874999999</v>
      </c>
      <c r="W50">
        <f>M50-(SUM(S50:T50)*V50)</f>
        <v>50.080569999998261</v>
      </c>
      <c r="X50">
        <f>W50/(2*P50*R50)</f>
        <v>6.2319835720111696E-2</v>
      </c>
      <c r="Y50">
        <f>X50*16.02</f>
        <v>0.99836376823618933</v>
      </c>
      <c r="AD50" t="s">
        <v>204</v>
      </c>
    </row>
    <row r="51" spans="1:31" x14ac:dyDescent="0.2">
      <c r="B51">
        <v>-11745.354003</v>
      </c>
      <c r="C51">
        <v>35212.244302999999</v>
      </c>
      <c r="D51">
        <f t="shared" si="11"/>
        <v>-5.8726770015000005</v>
      </c>
      <c r="E51">
        <f t="shared" si="11"/>
        <v>17.606122151499999</v>
      </c>
      <c r="F51">
        <f t="shared" si="12"/>
        <v>378.02232900995841</v>
      </c>
      <c r="G51">
        <f t="shared" si="13"/>
        <v>0.18901116450497921</v>
      </c>
      <c r="H51">
        <f>1442/2000</f>
        <v>0.72099999999999997</v>
      </c>
      <c r="L51">
        <v>557.74959899999999</v>
      </c>
      <c r="M51">
        <v>-17162.590390000001</v>
      </c>
      <c r="N51">
        <v>49861.030083999998</v>
      </c>
      <c r="O51">
        <v>-0.94292399999999998</v>
      </c>
      <c r="P51">
        <v>30.89292</v>
      </c>
      <c r="Q51">
        <v>124.27367099999999</v>
      </c>
      <c r="R51">
        <v>12.987436000000001</v>
      </c>
      <c r="S51">
        <v>788</v>
      </c>
      <c r="T51">
        <v>2092</v>
      </c>
      <c r="U51">
        <f>T51/(T51+S51)</f>
        <v>0.72638888888888886</v>
      </c>
      <c r="V51">
        <f>-4.0366-2.67498*U51</f>
        <v>-5.9796757500000002</v>
      </c>
      <c r="W51">
        <f>M51-(SUM(S51:T51)*V51)</f>
        <v>58.875769999998738</v>
      </c>
      <c r="X51">
        <f>W51/(2*P51*R51)</f>
        <v>7.3370963829054225E-2</v>
      </c>
      <c r="Y51">
        <f>X51*16.02</f>
        <v>1.1754028405414487</v>
      </c>
    </row>
    <row r="52" spans="1:31" x14ac:dyDescent="0.2">
      <c r="B52">
        <v>-11687.931076999999</v>
      </c>
      <c r="C52">
        <v>35326.001955</v>
      </c>
      <c r="D52">
        <f t="shared" si="11"/>
        <v>-5.8439655385</v>
      </c>
      <c r="E52">
        <f t="shared" si="11"/>
        <v>17.663000977500001</v>
      </c>
      <c r="F52">
        <f t="shared" si="12"/>
        <v>376.20232867527193</v>
      </c>
      <c r="G52">
        <f t="shared" si="13"/>
        <v>0.18810116433763596</v>
      </c>
      <c r="H52">
        <f>1420/2000</f>
        <v>0.71</v>
      </c>
      <c r="L52">
        <v>557.561553</v>
      </c>
      <c r="M52">
        <v>-17091.291375000001</v>
      </c>
      <c r="N52">
        <v>50048.767476000001</v>
      </c>
      <c r="O52">
        <v>-0.73930099999999999</v>
      </c>
      <c r="P52">
        <v>30.919262</v>
      </c>
      <c r="Q52">
        <v>124.498363</v>
      </c>
      <c r="R52">
        <v>13.001723</v>
      </c>
      <c r="S52">
        <v>813</v>
      </c>
      <c r="T52">
        <v>2067</v>
      </c>
      <c r="U52">
        <f>T52/(T52+S52)</f>
        <v>0.71770833333333328</v>
      </c>
      <c r="V52">
        <f>-4.0366-2.67498*U52</f>
        <v>-5.9564554374999998</v>
      </c>
      <c r="W52">
        <f>M52-(SUM(S52:T52)*V52)</f>
        <v>63.30028499999753</v>
      </c>
      <c r="X52">
        <f>W52/(2*P52*R52)</f>
        <v>7.8730977061660462E-2</v>
      </c>
      <c r="Y52">
        <f>X52*16.02</f>
        <v>1.2612702525278006</v>
      </c>
      <c r="AA52" s="10"/>
    </row>
    <row r="53" spans="1:31" x14ac:dyDescent="0.2">
      <c r="B53">
        <v>-11712.415134000001</v>
      </c>
      <c r="C53">
        <v>35277.189111</v>
      </c>
      <c r="D53">
        <f t="shared" si="11"/>
        <v>-5.8562075670000002</v>
      </c>
      <c r="E53">
        <f t="shared" si="11"/>
        <v>17.638594555499999</v>
      </c>
      <c r="F53">
        <f t="shared" si="12"/>
        <v>375.95401426673379</v>
      </c>
      <c r="G53">
        <f t="shared" si="13"/>
        <v>0.1879770071333669</v>
      </c>
      <c r="H53">
        <f>1429/2000</f>
        <v>0.71450000000000002</v>
      </c>
      <c r="L53">
        <v>557.76684499999999</v>
      </c>
      <c r="M53">
        <v>-17133.990967000002</v>
      </c>
      <c r="N53">
        <v>49943.854259</v>
      </c>
      <c r="O53">
        <v>-0.94725599999999999</v>
      </c>
      <c r="P53">
        <v>30.878646</v>
      </c>
      <c r="Q53">
        <v>124.468908</v>
      </c>
      <c r="R53">
        <v>12.994607999999999</v>
      </c>
      <c r="S53">
        <v>802</v>
      </c>
      <c r="T53">
        <v>2078</v>
      </c>
      <c r="U53">
        <f>T53/(T53+S53)</f>
        <v>0.72152777777777777</v>
      </c>
      <c r="V53">
        <f>-4.0366-2.67498*U53</f>
        <v>-5.9666723749999999</v>
      </c>
      <c r="W53">
        <f>M53-(SUM(S53:T53)*V53)</f>
        <v>50.025472999997874</v>
      </c>
      <c r="X53">
        <f>W53/(2*P53*R53)</f>
        <v>6.2336121359852358E-2</v>
      </c>
      <c r="Y53">
        <f>X53*16.02</f>
        <v>0.99862466418483475</v>
      </c>
      <c r="AA53" s="10"/>
      <c r="AD53">
        <v>600</v>
      </c>
      <c r="AE53">
        <v>-19105.222186799998</v>
      </c>
    </row>
    <row r="54" spans="1:31" x14ac:dyDescent="0.2">
      <c r="L54">
        <v>557.76379299999996</v>
      </c>
      <c r="M54">
        <v>-17110.47709</v>
      </c>
      <c r="N54">
        <v>49976.329727999997</v>
      </c>
      <c r="O54">
        <v>-1.045277</v>
      </c>
      <c r="P54">
        <v>30.906015</v>
      </c>
      <c r="Q54">
        <v>124.515159</v>
      </c>
      <c r="R54">
        <v>12.986717000000001</v>
      </c>
      <c r="S54">
        <v>808</v>
      </c>
      <c r="T54">
        <v>2072</v>
      </c>
      <c r="U54">
        <f>T54/(T54+S54)</f>
        <v>0.71944444444444444</v>
      </c>
      <c r="V54">
        <f>-4.0366-2.67498*U54</f>
        <v>-5.9610994999999996</v>
      </c>
      <c r="W54">
        <f>M54-(SUM(S54:T54)*V54)</f>
        <v>57.4894699999968</v>
      </c>
      <c r="X54">
        <f>W54/(2*P54*R54)</f>
        <v>7.1616966486499289E-2</v>
      </c>
      <c r="Y54">
        <f>X54*16.02</f>
        <v>1.1473038031137186</v>
      </c>
      <c r="Z54" s="1">
        <f>AVERAGE(Y50:Y54)</f>
        <v>1.1161930657207983</v>
      </c>
      <c r="AA54" s="1">
        <f>STDEV(Y50:Y54)</f>
        <v>0.11535503666151214</v>
      </c>
      <c r="AD54">
        <v>800</v>
      </c>
      <c r="AE54">
        <v>-19031.7689206</v>
      </c>
    </row>
    <row r="55" spans="1:31" x14ac:dyDescent="0.2">
      <c r="B55" t="s">
        <v>5</v>
      </c>
      <c r="C55" t="s">
        <v>7</v>
      </c>
      <c r="D55" t="s">
        <v>6</v>
      </c>
      <c r="E55" t="s">
        <v>8</v>
      </c>
      <c r="F55" t="s">
        <v>12</v>
      </c>
      <c r="G55" t="s">
        <v>14</v>
      </c>
      <c r="H55" t="s">
        <v>13</v>
      </c>
      <c r="AA55" s="10"/>
      <c r="AD55">
        <v>1000</v>
      </c>
      <c r="AE55">
        <v>-18894.180952800001</v>
      </c>
    </row>
    <row r="56" spans="1:31" x14ac:dyDescent="0.2">
      <c r="A56">
        <v>300</v>
      </c>
      <c r="B56">
        <v>-12098.479809</v>
      </c>
      <c r="C56">
        <v>34198.908188000001</v>
      </c>
      <c r="D56">
        <f>B56/2000</f>
        <v>-6.0492399045000003</v>
      </c>
      <c r="E56">
        <f>C56/2000</f>
        <v>17.099454094000002</v>
      </c>
      <c r="F56">
        <f>B56-2000*(H56*$F$2+(1-H56)*E$2)</f>
        <v>113.76091251198886</v>
      </c>
      <c r="G56">
        <f>F56/2000</f>
        <v>5.688045625599443E-2</v>
      </c>
      <c r="H56">
        <f>1475/2000</f>
        <v>0.73750000000000004</v>
      </c>
      <c r="J56" t="s">
        <v>172</v>
      </c>
      <c r="K56">
        <v>100000</v>
      </c>
      <c r="L56">
        <v>557.83701599999995</v>
      </c>
      <c r="M56">
        <v>-21770.123517</v>
      </c>
      <c r="N56">
        <v>64067.305042</v>
      </c>
      <c r="O56">
        <v>-0.77445399999999998</v>
      </c>
      <c r="P56">
        <v>24.841065</v>
      </c>
      <c r="Q56">
        <v>198.094742</v>
      </c>
      <c r="R56">
        <v>13.019475999999999</v>
      </c>
      <c r="S56">
        <v>1078</v>
      </c>
      <c r="T56">
        <v>2602</v>
      </c>
      <c r="U56">
        <f>T56/(T56+S56)</f>
        <v>0.70706521739130435</v>
      </c>
      <c r="V56">
        <f>-4.0366-2.6749*U56</f>
        <v>-5.9279287499999995</v>
      </c>
      <c r="W56">
        <f>M56-(SUM(S56:T56)*V56)</f>
        <v>44.65428299999985</v>
      </c>
      <c r="X56">
        <f>W56/(2*P56*R56)</f>
        <v>6.9035012556861702E-2</v>
      </c>
      <c r="Y56">
        <f>X56*16.02</f>
        <v>1.1059409011609245</v>
      </c>
      <c r="AD56">
        <v>1200</v>
      </c>
      <c r="AE56">
        <v>-18793.084009599999</v>
      </c>
    </row>
    <row r="57" spans="1:31" x14ac:dyDescent="0.2">
      <c r="B57">
        <v>-12082.220133999999</v>
      </c>
      <c r="C57">
        <v>34253.480243999998</v>
      </c>
      <c r="D57">
        <f t="shared" ref="D57:D65" si="14">B57/2000</f>
        <v>-6.041110067</v>
      </c>
      <c r="E57">
        <f t="shared" ref="E57:E65" si="15">C57/2000</f>
        <v>17.126740121999998</v>
      </c>
      <c r="F57">
        <f t="shared" ref="F57:F65" si="16">B57-2000*(H57*$F$2+(1-H57)*E$2)</f>
        <v>111.17056549640984</v>
      </c>
      <c r="G57">
        <f t="shared" ref="G57:G65" si="17">F57/2000</f>
        <v>5.5585282748204914E-2</v>
      </c>
      <c r="H57">
        <f>1468/2000</f>
        <v>0.73399999999999999</v>
      </c>
      <c r="K57">
        <v>100000</v>
      </c>
      <c r="L57">
        <v>557.65979900000002</v>
      </c>
      <c r="M57">
        <v>-21840.007392</v>
      </c>
      <c r="N57">
        <v>63936.740835999997</v>
      </c>
      <c r="O57">
        <v>-0.83938500000000005</v>
      </c>
      <c r="P57">
        <v>24.834126000000001</v>
      </c>
      <c r="Q57">
        <v>197.815642</v>
      </c>
      <c r="R57">
        <v>13.01491</v>
      </c>
      <c r="S57">
        <v>1050</v>
      </c>
      <c r="T57">
        <v>2630</v>
      </c>
      <c r="U57">
        <f>T57/(T57+S57)</f>
        <v>0.71467391304347827</v>
      </c>
      <c r="V57">
        <f>-4.0366-2.6749*U57</f>
        <v>-5.94828125</v>
      </c>
      <c r="W57">
        <f>M57-(SUM(S57:T57)*V57)</f>
        <v>49.667607999999746</v>
      </c>
      <c r="X57">
        <f>W57/(2*P57*R57)</f>
        <v>7.6833956897966293E-2</v>
      </c>
      <c r="Y57">
        <f>X57*16.02</f>
        <v>1.2308799895054199</v>
      </c>
    </row>
    <row r="58" spans="1:31" x14ac:dyDescent="0.2">
      <c r="B58">
        <v>-11918.308825</v>
      </c>
      <c r="C58">
        <v>34496.720453000002</v>
      </c>
      <c r="D58">
        <f t="shared" si="14"/>
        <v>-5.9591544125000002</v>
      </c>
      <c r="E58">
        <f t="shared" si="15"/>
        <v>17.248360226500001</v>
      </c>
      <c r="F58">
        <f t="shared" si="16"/>
        <v>113.51025721999031</v>
      </c>
      <c r="G58">
        <f t="shared" si="17"/>
        <v>5.6755128609995154E-2</v>
      </c>
      <c r="H58">
        <f>1408/2000</f>
        <v>0.70399999999999996</v>
      </c>
      <c r="K58">
        <v>100000</v>
      </c>
      <c r="L58">
        <v>557.72533099999998</v>
      </c>
      <c r="M58">
        <v>-21626.793860999998</v>
      </c>
      <c r="N58">
        <v>64298.244788999997</v>
      </c>
      <c r="O58">
        <v>-0.911887</v>
      </c>
      <c r="P58">
        <v>24.896481999999999</v>
      </c>
      <c r="Q58">
        <v>198.13793899999999</v>
      </c>
      <c r="R58">
        <v>13.03448</v>
      </c>
      <c r="S58">
        <v>1129</v>
      </c>
      <c r="T58">
        <v>2551</v>
      </c>
      <c r="U58">
        <f>T58/(T58+S58)</f>
        <v>0.69320652173913044</v>
      </c>
      <c r="V58">
        <f>-4.0366-2.6749*U58</f>
        <v>-5.8908581250000003</v>
      </c>
      <c r="W58">
        <f>M58-(SUM(S58:T58)*V58)</f>
        <v>51.564039000004414</v>
      </c>
      <c r="X58">
        <f>W58/(2*P58*R58)</f>
        <v>7.94484153077301E-2</v>
      </c>
      <c r="Y58">
        <f>X58*16.02</f>
        <v>1.2727636132298361</v>
      </c>
    </row>
    <row r="59" spans="1:31" x14ac:dyDescent="0.2">
      <c r="B59">
        <v>-12012.436143999999</v>
      </c>
      <c r="C59">
        <v>34351.078533</v>
      </c>
      <c r="D59">
        <f t="shared" si="14"/>
        <v>-6.0062180719999994</v>
      </c>
      <c r="E59">
        <f t="shared" si="15"/>
        <v>17.1755392665</v>
      </c>
      <c r="F59">
        <f t="shared" si="16"/>
        <v>110.94018800995946</v>
      </c>
      <c r="G59">
        <f t="shared" si="17"/>
        <v>5.5470094004979729E-2</v>
      </c>
      <c r="H59">
        <f>1442/2000</f>
        <v>0.72099999999999997</v>
      </c>
      <c r="K59">
        <v>100000</v>
      </c>
      <c r="L59">
        <v>557.93027500000005</v>
      </c>
      <c r="M59">
        <v>-21747.672614999999</v>
      </c>
      <c r="N59">
        <v>64090.618308999998</v>
      </c>
      <c r="O59">
        <v>-0.64141400000000004</v>
      </c>
      <c r="P59">
        <v>24.872042</v>
      </c>
      <c r="Q59">
        <v>197.92603700000001</v>
      </c>
      <c r="R59">
        <v>13.019080000000001</v>
      </c>
      <c r="S59">
        <v>1086</v>
      </c>
      <c r="T59">
        <v>2594</v>
      </c>
      <c r="U59">
        <f>T59/(T59+S59)</f>
        <v>0.7048913043478261</v>
      </c>
      <c r="V59">
        <f>-4.0366-2.6749*U59</f>
        <v>-5.9221137500000003</v>
      </c>
      <c r="W59">
        <f>M59-(SUM(S59:T59)*V59)</f>
        <v>45.70598500000051</v>
      </c>
      <c r="X59">
        <f>W59/(2*P59*R59)</f>
        <v>7.0575073485998271E-2</v>
      </c>
      <c r="Y59">
        <f>X59*16.02</f>
        <v>1.1306126772456924</v>
      </c>
    </row>
    <row r="60" spans="1:31" x14ac:dyDescent="0.2">
      <c r="B60">
        <v>-12015.773042999999</v>
      </c>
      <c r="C60">
        <v>34357.705614999999</v>
      </c>
      <c r="D60">
        <f t="shared" si="14"/>
        <v>-6.0078865214999997</v>
      </c>
      <c r="E60">
        <f t="shared" si="15"/>
        <v>17.1788528075</v>
      </c>
      <c r="F60">
        <f t="shared" si="16"/>
        <v>107.60328900995955</v>
      </c>
      <c r="G60">
        <f t="shared" si="17"/>
        <v>5.3801644504979776E-2</v>
      </c>
      <c r="H60">
        <f>1442/2000</f>
        <v>0.72099999999999997</v>
      </c>
      <c r="K60">
        <v>100000</v>
      </c>
      <c r="L60">
        <v>557.58889899999997</v>
      </c>
      <c r="M60">
        <v>-21647.319213999999</v>
      </c>
      <c r="N60">
        <v>64260.387187</v>
      </c>
      <c r="O60">
        <v>-0.63323099999999999</v>
      </c>
      <c r="P60">
        <v>24.910034</v>
      </c>
      <c r="Q60">
        <v>197.92289600000001</v>
      </c>
      <c r="R60">
        <v>13.033863999999999</v>
      </c>
      <c r="S60">
        <v>1120</v>
      </c>
      <c r="T60">
        <v>2560</v>
      </c>
      <c r="U60">
        <f>T60/(T60+S60)</f>
        <v>0.69565217391304346</v>
      </c>
      <c r="V60">
        <f>-4.0366-2.6749*U60</f>
        <v>-5.8974000000000002</v>
      </c>
      <c r="W60">
        <f>M60-(SUM(S60:T60)*V60)</f>
        <v>55.112786000001506</v>
      </c>
      <c r="X60">
        <f>W60/(2*P60*R60)</f>
        <v>8.4874037930826873E-2</v>
      </c>
      <c r="Y60">
        <f>X60*16.02</f>
        <v>1.3596820876518465</v>
      </c>
      <c r="Z60" s="1">
        <f>AVERAGE(Y56:Y60)</f>
        <v>1.219975853758744</v>
      </c>
      <c r="AA60" s="1">
        <f>STDEV(Y56:Y60)</f>
        <v>0.1041789653018351</v>
      </c>
    </row>
    <row r="61" spans="1:31" x14ac:dyDescent="0.2">
      <c r="B61">
        <v>-11969.955021</v>
      </c>
      <c r="C61">
        <v>34414.700087999998</v>
      </c>
      <c r="D61">
        <f t="shared" si="14"/>
        <v>-5.9849775105000003</v>
      </c>
      <c r="E61">
        <f t="shared" si="15"/>
        <v>17.207350043999998</v>
      </c>
      <c r="F61">
        <f t="shared" si="16"/>
        <v>113.02840669085526</v>
      </c>
      <c r="G61">
        <f t="shared" si="17"/>
        <v>5.651420334542763E-2</v>
      </c>
      <c r="H61">
        <f>1427/2000</f>
        <v>0.71350000000000002</v>
      </c>
    </row>
    <row r="62" spans="1:31" x14ac:dyDescent="0.2">
      <c r="B62">
        <v>-12018.161266999999</v>
      </c>
      <c r="C62">
        <v>34329.832807999999</v>
      </c>
      <c r="D62">
        <f t="shared" si="14"/>
        <v>-6.0090806335</v>
      </c>
      <c r="E62">
        <f t="shared" si="15"/>
        <v>17.164916404</v>
      </c>
      <c r="F62">
        <f t="shared" si="16"/>
        <v>105.21506500995929</v>
      </c>
      <c r="G62">
        <f t="shared" si="17"/>
        <v>5.2607532504979647E-2</v>
      </c>
      <c r="H62">
        <f>1442/2000</f>
        <v>0.72099999999999997</v>
      </c>
      <c r="J62" t="s">
        <v>17</v>
      </c>
      <c r="L62">
        <v>520.46391500000004</v>
      </c>
      <c r="M62">
        <v>-22704.698908999999</v>
      </c>
      <c r="N62">
        <v>65974.739925000002</v>
      </c>
      <c r="O62">
        <v>-0.44370700000000002</v>
      </c>
      <c r="P62">
        <v>29.153936000000002</v>
      </c>
      <c r="Q62">
        <v>174.18365800000001</v>
      </c>
      <c r="R62">
        <v>12.991918</v>
      </c>
      <c r="S62">
        <v>1049</v>
      </c>
      <c r="T62">
        <v>2759</v>
      </c>
      <c r="U62">
        <f>T62/(T62+S62)</f>
        <v>0.72452731092436973</v>
      </c>
      <c r="V62">
        <f>-4.0366-2.6749*U62</f>
        <v>-5.9746381039915963</v>
      </c>
      <c r="W62">
        <f>M62-(SUM(S62:T62)*V62)</f>
        <v>46.722990999998729</v>
      </c>
      <c r="X62">
        <f>W62/(2*P62*R62)</f>
        <v>6.1677984583186782E-2</v>
      </c>
      <c r="Y62">
        <f>X62*16.02</f>
        <v>0.98808131302265223</v>
      </c>
    </row>
    <row r="63" spans="1:31" x14ac:dyDescent="0.2">
      <c r="B63">
        <v>-11914.207001999999</v>
      </c>
      <c r="C63">
        <v>34499.523879</v>
      </c>
      <c r="D63">
        <f t="shared" si="14"/>
        <v>-5.9571035009999997</v>
      </c>
      <c r="E63">
        <f t="shared" si="15"/>
        <v>17.249761939500001</v>
      </c>
      <c r="F63">
        <f t="shared" si="16"/>
        <v>109.53349935617007</v>
      </c>
      <c r="G63">
        <f t="shared" si="17"/>
        <v>5.4766749678085036E-2</v>
      </c>
      <c r="H63">
        <f>1405/2000</f>
        <v>0.70250000000000001</v>
      </c>
      <c r="L63">
        <v>520.43827099999999</v>
      </c>
      <c r="M63">
        <v>-22744.868151999999</v>
      </c>
      <c r="N63">
        <v>65913.099054000006</v>
      </c>
      <c r="O63">
        <v>-0.45212599999999997</v>
      </c>
      <c r="P63">
        <v>29.147392</v>
      </c>
      <c r="Q63">
        <v>174.11565300000001</v>
      </c>
      <c r="R63">
        <v>12.987764</v>
      </c>
      <c r="S63">
        <v>1033</v>
      </c>
      <c r="T63">
        <v>2775</v>
      </c>
      <c r="U63">
        <f>T63/(T63+S63)</f>
        <v>0.72872899159663862</v>
      </c>
      <c r="V63">
        <f>-4.0366-2.6749*U63</f>
        <v>-5.9858771796218484</v>
      </c>
      <c r="W63">
        <f>M63-(SUM(S63:T63)*V63)</f>
        <v>49.352147999998124</v>
      </c>
      <c r="X63">
        <f>W63/(2*P63*R63)</f>
        <v>6.5184145045187603E-2</v>
      </c>
      <c r="Y63">
        <f>X63*16.02</f>
        <v>1.0442500036239053</v>
      </c>
    </row>
    <row r="64" spans="1:31" x14ac:dyDescent="0.2">
      <c r="B64">
        <v>-12005.565737999999</v>
      </c>
      <c r="C64">
        <v>34347.810798999999</v>
      </c>
      <c r="D64">
        <f t="shared" si="14"/>
        <v>-6.0027828689999998</v>
      </c>
      <c r="E64">
        <f t="shared" si="15"/>
        <v>17.173905399500001</v>
      </c>
      <c r="F64">
        <f t="shared" si="16"/>
        <v>112.42487343407993</v>
      </c>
      <c r="G64">
        <f t="shared" si="17"/>
        <v>5.6212436717039967E-2</v>
      </c>
      <c r="H64">
        <f>1440/2000</f>
        <v>0.72</v>
      </c>
      <c r="L64">
        <v>520.28376400000002</v>
      </c>
      <c r="M64">
        <v>-22734.910934</v>
      </c>
      <c r="N64">
        <v>65914.683564999999</v>
      </c>
      <c r="O64">
        <v>-0.44915100000000002</v>
      </c>
      <c r="P64">
        <v>29.116289999999999</v>
      </c>
      <c r="Q64">
        <v>174.25202100000001</v>
      </c>
      <c r="R64">
        <v>12.991775000000001</v>
      </c>
      <c r="S64">
        <v>1033</v>
      </c>
      <c r="T64">
        <v>2775</v>
      </c>
      <c r="U64">
        <f>T64/(T64+S64)</f>
        <v>0.72872899159663862</v>
      </c>
      <c r="V64">
        <f>-4.0366-2.6749*U64</f>
        <v>-5.9858771796218484</v>
      </c>
      <c r="W64">
        <f>M64-(SUM(S64:T64)*V64)</f>
        <v>59.309365999997681</v>
      </c>
      <c r="X64">
        <f>W64/(2*P64*R64)</f>
        <v>7.8395071223522919E-2</v>
      </c>
      <c r="Y64">
        <f>X64*16.02</f>
        <v>1.2558890410008372</v>
      </c>
    </row>
    <row r="65" spans="2:27" x14ac:dyDescent="0.2">
      <c r="B65">
        <v>-11968.945191999999</v>
      </c>
      <c r="C65">
        <v>34428.120422</v>
      </c>
      <c r="D65">
        <f t="shared" si="14"/>
        <v>-5.9844725959999998</v>
      </c>
      <c r="E65">
        <f t="shared" si="15"/>
        <v>17.214060211</v>
      </c>
      <c r="F65">
        <f t="shared" si="16"/>
        <v>116.73109597879557</v>
      </c>
      <c r="G65">
        <f t="shared" si="17"/>
        <v>5.8365547989397783E-2</v>
      </c>
      <c r="H65">
        <f>1428/2000</f>
        <v>0.71399999999999997</v>
      </c>
      <c r="L65">
        <v>520.39227200000005</v>
      </c>
      <c r="M65">
        <v>-22700.412834999999</v>
      </c>
      <c r="N65">
        <v>65954.604433</v>
      </c>
      <c r="O65">
        <v>-0.34818300000000002</v>
      </c>
      <c r="P65">
        <v>29.124136</v>
      </c>
      <c r="Q65">
        <v>174.22903500000001</v>
      </c>
      <c r="R65">
        <v>12.997856000000001</v>
      </c>
      <c r="S65">
        <v>1048</v>
      </c>
      <c r="T65">
        <v>2760</v>
      </c>
      <c r="U65">
        <f>T65/(T65+S65)</f>
        <v>0.72478991596638653</v>
      </c>
      <c r="V65">
        <f>-4.0366-2.6749*U65</f>
        <v>-5.9753405462184874</v>
      </c>
      <c r="W65">
        <f>M65-(SUM(S65:T65)*V65)</f>
        <v>53.683965000000171</v>
      </c>
      <c r="X65">
        <f>W65/(2*P65*R65)</f>
        <v>7.0907115275736315E-2</v>
      </c>
      <c r="Y65">
        <f>X65*16.02</f>
        <v>1.1359319867172957</v>
      </c>
    </row>
    <row r="66" spans="2:27" x14ac:dyDescent="0.2">
      <c r="L66">
        <v>520.42473199999995</v>
      </c>
      <c r="M66">
        <v>-22744.688847000001</v>
      </c>
      <c r="N66">
        <v>65913.035736999998</v>
      </c>
      <c r="O66">
        <v>-0.48849799999999999</v>
      </c>
      <c r="P66">
        <v>29.135280000000002</v>
      </c>
      <c r="Q66">
        <v>174.112988</v>
      </c>
      <c r="R66">
        <v>12.993349</v>
      </c>
      <c r="S66">
        <v>1030</v>
      </c>
      <c r="T66">
        <v>2778</v>
      </c>
      <c r="U66">
        <f>T66/(T66+S66)</f>
        <v>0.72951680672268904</v>
      </c>
      <c r="V66">
        <f>-4.0366-2.6749*U66</f>
        <v>-5.9879845063025208</v>
      </c>
      <c r="W66">
        <f>M66-(SUM(S66:T66)*V66)</f>
        <v>57.556152999997721</v>
      </c>
      <c r="X66">
        <f>W66/(2*P66*R66)</f>
        <v>7.6018879313754811E-2</v>
      </c>
      <c r="Y66">
        <f>X66*16.02</f>
        <v>1.2178224466063521</v>
      </c>
      <c r="Z66" s="1">
        <f>AVERAGE(Y62:Y66)</f>
        <v>1.1283949581942085</v>
      </c>
      <c r="AA66" s="1">
        <f>STDEV(Y62:Y66)</f>
        <v>0.11300123454450973</v>
      </c>
    </row>
    <row r="68" spans="2:27" x14ac:dyDescent="0.2">
      <c r="J68" t="s">
        <v>173</v>
      </c>
      <c r="K68">
        <v>100000</v>
      </c>
      <c r="L68">
        <v>557.83654200000001</v>
      </c>
      <c r="M68">
        <v>-38247.680382999999</v>
      </c>
      <c r="N68">
        <v>113114.567568</v>
      </c>
      <c r="O68">
        <v>-0.31271500000000002</v>
      </c>
      <c r="P68">
        <v>38.093057999999999</v>
      </c>
      <c r="Q68">
        <v>227.93285800000001</v>
      </c>
      <c r="R68">
        <v>13.027642999999999</v>
      </c>
      <c r="S68">
        <v>1949</v>
      </c>
      <c r="T68">
        <v>4539</v>
      </c>
      <c r="U68">
        <f>T68/(T68+S68)</f>
        <v>0.69959926017262641</v>
      </c>
      <c r="V68">
        <f>-4.0366-2.6749*U68</f>
        <v>-5.9079580610357585</v>
      </c>
      <c r="W68">
        <f>M68-(SUM(S68:T68)*V68)</f>
        <v>83.151517000005697</v>
      </c>
      <c r="X68">
        <f>W68/(2*P68*R68)</f>
        <v>8.3777711763622115E-2</v>
      </c>
      <c r="Y68">
        <f>X68*16.02</f>
        <v>1.3421189424532263</v>
      </c>
    </row>
    <row r="69" spans="2:27" x14ac:dyDescent="0.2">
      <c r="K69">
        <v>100000</v>
      </c>
      <c r="L69">
        <v>557.70789400000001</v>
      </c>
      <c r="M69">
        <v>-38265.072260000001</v>
      </c>
      <c r="N69">
        <v>113088.022625</v>
      </c>
      <c r="O69">
        <v>-0.318415</v>
      </c>
      <c r="P69">
        <v>38.089309999999998</v>
      </c>
      <c r="Q69">
        <v>227.89150599999999</v>
      </c>
      <c r="R69">
        <v>13.028231999999999</v>
      </c>
      <c r="S69">
        <v>1949</v>
      </c>
      <c r="T69">
        <v>4539</v>
      </c>
      <c r="U69">
        <f>T69/(T69+S69)</f>
        <v>0.69959926017262641</v>
      </c>
      <c r="V69">
        <f>-4.0366-2.6749*U69</f>
        <v>-5.9079580610357585</v>
      </c>
      <c r="W69">
        <f>M69-(SUM(S69:T69)*V69)</f>
        <v>65.759640000003856</v>
      </c>
      <c r="X69">
        <f>W69/(2*P69*R69)</f>
        <v>6.6258384431352818E-2</v>
      </c>
      <c r="Y69">
        <f>X69*16.02</f>
        <v>1.0614593185902721</v>
      </c>
    </row>
    <row r="70" spans="2:27" x14ac:dyDescent="0.2">
      <c r="K70">
        <v>100000</v>
      </c>
      <c r="L70">
        <v>557.88223600000003</v>
      </c>
      <c r="M70">
        <v>-38429.509784000002</v>
      </c>
      <c r="N70">
        <v>112817.79454800001</v>
      </c>
      <c r="O70">
        <v>-0.42093999999999998</v>
      </c>
      <c r="P70">
        <v>38.065024999999999</v>
      </c>
      <c r="Q70">
        <v>227.62452400000001</v>
      </c>
      <c r="R70">
        <v>13.020645999999999</v>
      </c>
      <c r="S70">
        <v>1887</v>
      </c>
      <c r="T70">
        <v>4601</v>
      </c>
      <c r="U70">
        <f>T70/(T70+S70)</f>
        <v>0.70915536374845867</v>
      </c>
      <c r="V70">
        <f>-4.0366-2.6749*U70</f>
        <v>-5.9335196824907523</v>
      </c>
      <c r="W70">
        <f>M70-(SUM(S70:T70)*V70)</f>
        <v>67.165915999998106</v>
      </c>
      <c r="X70">
        <f>W70/(2*P70*R70)</f>
        <v>6.7757955813383078E-2</v>
      </c>
      <c r="Y70">
        <f>X70*16.02</f>
        <v>1.085482452130397</v>
      </c>
    </row>
    <row r="71" spans="2:27" x14ac:dyDescent="0.2">
      <c r="K71">
        <v>100000</v>
      </c>
      <c r="L71">
        <v>557.75954899999999</v>
      </c>
      <c r="M71">
        <v>-38528.037480999999</v>
      </c>
      <c r="N71">
        <v>112618.69491400001</v>
      </c>
      <c r="O71">
        <v>-0.42597800000000002</v>
      </c>
      <c r="P71">
        <v>38.042836000000001</v>
      </c>
      <c r="Q71">
        <v>227.54966899999999</v>
      </c>
      <c r="R71">
        <v>13.009525999999999</v>
      </c>
      <c r="S71">
        <v>1848</v>
      </c>
      <c r="T71">
        <v>4640</v>
      </c>
      <c r="U71">
        <f>T71/(T71+S71)</f>
        <v>0.71516646115906291</v>
      </c>
      <c r="V71">
        <f>-4.0366-2.6749*U71</f>
        <v>-5.9495987669543773</v>
      </c>
      <c r="W71">
        <f>M71-(SUM(S71:T71)*V71)</f>
        <v>72.959319000001415</v>
      </c>
      <c r="X71">
        <f>W71/(2*P71*R71)</f>
        <v>7.3708303857601506E-2</v>
      </c>
      <c r="Y71">
        <f>X71*16.02</f>
        <v>1.1808070277987761</v>
      </c>
    </row>
    <row r="72" spans="2:27" x14ac:dyDescent="0.2">
      <c r="K72">
        <v>100000</v>
      </c>
      <c r="L72">
        <v>557.79556100000002</v>
      </c>
      <c r="M72">
        <v>-38460.060552000003</v>
      </c>
      <c r="N72">
        <v>112789.790006</v>
      </c>
      <c r="O72">
        <v>-0.45865099999999998</v>
      </c>
      <c r="P72">
        <v>38.053866999999997</v>
      </c>
      <c r="Q72">
        <v>227.59406899999999</v>
      </c>
      <c r="R72">
        <v>13.022973</v>
      </c>
      <c r="S72">
        <v>1877</v>
      </c>
      <c r="T72">
        <v>4611</v>
      </c>
      <c r="U72">
        <f>T72/(T72+S72)</f>
        <v>0.71069667077681875</v>
      </c>
      <c r="V72">
        <f>-4.0366-2.6749*U72</f>
        <v>-5.9376425246609124</v>
      </c>
      <c r="W72">
        <f>M72-(SUM(S72:T72)*V72)</f>
        <v>63.364147999993293</v>
      </c>
      <c r="X72">
        <f>W72/(2*P72*R72)</f>
        <v>6.3929994621653843E-2</v>
      </c>
      <c r="Y72">
        <f>X72*16.02</f>
        <v>1.0241585138388944</v>
      </c>
      <c r="Z72" s="1">
        <f>AVERAGE(Y68:Y72)</f>
        <v>1.1388052509623132</v>
      </c>
      <c r="AA72" s="1">
        <f>STDEV(Y68:Y72)</f>
        <v>0.12754430099763167</v>
      </c>
    </row>
    <row r="74" spans="2:27" x14ac:dyDescent="0.2">
      <c r="J74" t="s">
        <v>174</v>
      </c>
      <c r="K74">
        <v>100000</v>
      </c>
      <c r="L74">
        <v>557.98619399999995</v>
      </c>
      <c r="M74">
        <v>-19429.875387</v>
      </c>
      <c r="N74">
        <v>57477.802227</v>
      </c>
      <c r="O74">
        <v>-0.85066799999999998</v>
      </c>
      <c r="P74">
        <v>23.561159</v>
      </c>
      <c r="Q74">
        <v>187.28305800000001</v>
      </c>
      <c r="R74">
        <v>13.025823000000001</v>
      </c>
      <c r="S74">
        <v>990</v>
      </c>
      <c r="T74">
        <v>2306</v>
      </c>
      <c r="U74">
        <f>T74/(T74+S74)</f>
        <v>0.69963592233009708</v>
      </c>
      <c r="V74">
        <f>-4.0366-2.6749*U74</f>
        <v>-5.9080561286407764</v>
      </c>
      <c r="W74">
        <f>M74-(SUM(S74:T74)*V74)</f>
        <v>43.077612999997655</v>
      </c>
      <c r="X74">
        <f>W74/(2*P74*R74)</f>
        <v>7.0181042007559341E-2</v>
      </c>
      <c r="Y74">
        <f>X74*16.02</f>
        <v>1.1243002929611006</v>
      </c>
    </row>
    <row r="75" spans="2:27" x14ac:dyDescent="0.2">
      <c r="K75">
        <v>100000</v>
      </c>
      <c r="L75">
        <v>557.77443900000003</v>
      </c>
      <c r="M75">
        <v>-19402.838392000001</v>
      </c>
      <c r="N75">
        <v>57493.941228000003</v>
      </c>
      <c r="O75">
        <v>-0.74558199999999997</v>
      </c>
      <c r="P75">
        <v>23.563227000000001</v>
      </c>
      <c r="Q75">
        <v>187.33067199999999</v>
      </c>
      <c r="R75">
        <v>13.025027</v>
      </c>
      <c r="S75">
        <v>1001</v>
      </c>
      <c r="T75">
        <v>2295</v>
      </c>
      <c r="U75">
        <f>T75/(T75+S75)</f>
        <v>0.69629854368932043</v>
      </c>
      <c r="V75">
        <f>-4.0366-2.6749*U75</f>
        <v>-5.8991289745145634</v>
      </c>
      <c r="W75">
        <f>M75-(SUM(S75:T75)*V75)</f>
        <v>40.690707999998267</v>
      </c>
      <c r="X75">
        <f>W75/(2*P75*R75)</f>
        <v>6.6290584976433253E-2</v>
      </c>
      <c r="Y75">
        <f>X75*16.02</f>
        <v>1.0619751713224608</v>
      </c>
    </row>
    <row r="76" spans="2:27" x14ac:dyDescent="0.2">
      <c r="K76">
        <v>100000</v>
      </c>
      <c r="L76">
        <v>557.74323900000002</v>
      </c>
      <c r="M76">
        <v>-19532.300846999999</v>
      </c>
      <c r="N76">
        <v>57285.905117000002</v>
      </c>
      <c r="O76">
        <v>-0.831484</v>
      </c>
      <c r="P76">
        <v>23.543358999999999</v>
      </c>
      <c r="Q76">
        <v>187.06644</v>
      </c>
      <c r="R76">
        <v>13.007196</v>
      </c>
      <c r="S76">
        <v>954</v>
      </c>
      <c r="T76">
        <v>2342</v>
      </c>
      <c r="U76">
        <f>T76/(T76+S76)</f>
        <v>0.71055825242718451</v>
      </c>
      <c r="V76">
        <f>-4.0366-2.6749*U76</f>
        <v>-5.937272269417476</v>
      </c>
      <c r="W76">
        <f>M76-(SUM(S76:T76)*V76)</f>
        <v>36.948553000001993</v>
      </c>
      <c r="X76">
        <f>W76/(2*P76*R76)</f>
        <v>6.0327500208919083E-2</v>
      </c>
      <c r="Y76">
        <f>X76*16.02</f>
        <v>0.96644655334688367</v>
      </c>
    </row>
    <row r="77" spans="2:27" x14ac:dyDescent="0.2">
      <c r="K77">
        <v>100000</v>
      </c>
      <c r="L77">
        <v>557.77488100000005</v>
      </c>
      <c r="M77">
        <v>-19527.903997000001</v>
      </c>
      <c r="N77">
        <v>57332.869115000001</v>
      </c>
      <c r="O77">
        <v>-0.77723600000000004</v>
      </c>
      <c r="P77">
        <v>23.537804999999999</v>
      </c>
      <c r="Q77">
        <v>187.22604899999999</v>
      </c>
      <c r="R77">
        <v>13.009831</v>
      </c>
      <c r="S77">
        <v>955</v>
      </c>
      <c r="T77">
        <v>2341</v>
      </c>
      <c r="U77">
        <f>T77/(T77+S77)</f>
        <v>0.71025485436893199</v>
      </c>
      <c r="V77">
        <f>-4.0366-2.6749*U77</f>
        <v>-5.9364607099514561</v>
      </c>
      <c r="W77">
        <f>M77-(SUM(S77:T77)*V77)</f>
        <v>38.670502999997552</v>
      </c>
      <c r="X77">
        <f>W77/(2*P77*R77)</f>
        <v>6.3141109628883849E-2</v>
      </c>
      <c r="Y77">
        <f>X77*16.02</f>
        <v>1.0115205762547193</v>
      </c>
    </row>
    <row r="78" spans="2:27" x14ac:dyDescent="0.2">
      <c r="K78">
        <v>100000</v>
      </c>
      <c r="L78">
        <v>557.82074999999998</v>
      </c>
      <c r="M78">
        <v>-19521.760757</v>
      </c>
      <c r="N78">
        <v>57305.161086</v>
      </c>
      <c r="O78">
        <v>-0.80187900000000001</v>
      </c>
      <c r="P78">
        <v>23.538125000000001</v>
      </c>
      <c r="Q78">
        <v>187.09447900000001</v>
      </c>
      <c r="R78">
        <v>13.012511</v>
      </c>
      <c r="S78">
        <v>958</v>
      </c>
      <c r="T78">
        <v>2338</v>
      </c>
      <c r="U78">
        <f>T78/(T78+S78)</f>
        <v>0.70934466019417475</v>
      </c>
      <c r="V78">
        <f>-4.0366-2.6749*U78</f>
        <v>-5.9340260315533984</v>
      </c>
      <c r="W78">
        <f>M78-(SUM(S78:T78)*V78)</f>
        <v>36.789043000000675</v>
      </c>
      <c r="X78">
        <f>W78/(2*P78*R78)</f>
        <v>6.005587797484193E-2</v>
      </c>
      <c r="Y78">
        <f>X78*16.02</f>
        <v>0.96209516515696769</v>
      </c>
      <c r="Z78" s="1">
        <f>AVERAGE(Y74:Y78)</f>
        <v>1.0252675518084264</v>
      </c>
      <c r="AA78" s="1">
        <f>STDEV(Y74:Y78)</f>
        <v>6.854664977722856E-2</v>
      </c>
    </row>
    <row r="80" spans="2:27" x14ac:dyDescent="0.2">
      <c r="J80" t="s">
        <v>175</v>
      </c>
      <c r="K80">
        <v>100000</v>
      </c>
      <c r="L80">
        <v>557.60612300000003</v>
      </c>
      <c r="M80">
        <v>-28133.359967</v>
      </c>
      <c r="N80">
        <v>82656.313188999993</v>
      </c>
      <c r="O80">
        <v>-0.45990599999999998</v>
      </c>
      <c r="P80">
        <v>32.656402999999997</v>
      </c>
      <c r="Q80">
        <v>194.419194</v>
      </c>
      <c r="R80">
        <v>13.018731000000001</v>
      </c>
      <c r="S80">
        <v>1385</v>
      </c>
      <c r="T80">
        <v>3367</v>
      </c>
      <c r="U80">
        <f>T80/(T80+S80)</f>
        <v>0.70854377104377109</v>
      </c>
      <c r="V80">
        <f>-4.0366-2.6749*U80</f>
        <v>-5.931883733164983</v>
      </c>
      <c r="W80">
        <f>M80-(SUM(S80:T80)*V80)</f>
        <v>54.951532999999472</v>
      </c>
      <c r="X80">
        <f>W80/(2*P80*R80)</f>
        <v>6.4626824440879624E-2</v>
      </c>
      <c r="Y80">
        <f>X80*16.02</f>
        <v>1.0353217275428916</v>
      </c>
    </row>
    <row r="81" spans="10:30" x14ac:dyDescent="0.2">
      <c r="K81">
        <v>100000</v>
      </c>
      <c r="L81">
        <v>557.86373200000003</v>
      </c>
      <c r="M81">
        <v>-28131.866787999999</v>
      </c>
      <c r="N81">
        <v>82650.577179999993</v>
      </c>
      <c r="O81">
        <v>-0.62587499999999996</v>
      </c>
      <c r="P81">
        <v>32.667819000000001</v>
      </c>
      <c r="Q81">
        <v>194.325639</v>
      </c>
      <c r="R81">
        <v>13.019544</v>
      </c>
      <c r="S81">
        <v>1387</v>
      </c>
      <c r="T81">
        <v>3365</v>
      </c>
      <c r="U81">
        <f>T81/(T81+S81)</f>
        <v>0.70812289562289565</v>
      </c>
      <c r="V81">
        <f>-4.0366-2.6749*U81</f>
        <v>-5.9307579335016838</v>
      </c>
      <c r="W81">
        <f>M81-(SUM(S81:T81)*V81)</f>
        <v>51.094912000000477</v>
      </c>
      <c r="X81">
        <f>W81/(2*P81*R81)</f>
        <v>6.0066419593790193E-2</v>
      </c>
      <c r="Y81">
        <f>X81*16.02</f>
        <v>0.96226404189251891</v>
      </c>
    </row>
    <row r="82" spans="10:30" x14ac:dyDescent="0.2">
      <c r="K82">
        <v>100000</v>
      </c>
      <c r="L82">
        <v>557.73638500000004</v>
      </c>
      <c r="M82">
        <v>-28065.893152000001</v>
      </c>
      <c r="N82">
        <v>82782.108548000004</v>
      </c>
      <c r="O82">
        <v>-0.48982399999999998</v>
      </c>
      <c r="P82">
        <v>32.679189999999998</v>
      </c>
      <c r="Q82">
        <v>194.60002700000001</v>
      </c>
      <c r="R82">
        <v>13.017345000000001</v>
      </c>
      <c r="S82">
        <v>1413</v>
      </c>
      <c r="T82">
        <v>3339</v>
      </c>
      <c r="U82">
        <f>T82/(T82+S82)</f>
        <v>0.70265151515151514</v>
      </c>
      <c r="V82">
        <f>-4.0366-2.6749*U82</f>
        <v>-5.9161225378787883</v>
      </c>
      <c r="W82">
        <f>M82-(SUM(S82:T82)*V82)</f>
        <v>47.521147999999812</v>
      </c>
      <c r="X82">
        <f>W82/(2*P82*R82)</f>
        <v>5.5855150897646172E-2</v>
      </c>
      <c r="Y82">
        <f>X82*16.02</f>
        <v>0.89479951738029162</v>
      </c>
    </row>
    <row r="83" spans="10:30" x14ac:dyDescent="0.2">
      <c r="K83">
        <v>100000</v>
      </c>
      <c r="L83">
        <v>557.796516</v>
      </c>
      <c r="M83">
        <v>-28037.884182999998</v>
      </c>
      <c r="N83">
        <v>82817.692337999993</v>
      </c>
      <c r="O83">
        <v>-0.444353</v>
      </c>
      <c r="P83">
        <v>32.665990999999998</v>
      </c>
      <c r="Q83">
        <v>194.587512</v>
      </c>
      <c r="R83">
        <v>13.029040999999999</v>
      </c>
      <c r="S83">
        <v>1423</v>
      </c>
      <c r="T83">
        <v>3329</v>
      </c>
      <c r="U83">
        <f>T83/(T83+S83)</f>
        <v>0.70054713804713808</v>
      </c>
      <c r="V83">
        <f>-4.0366-2.6749*U83</f>
        <v>-5.9104935395622897</v>
      </c>
      <c r="W83">
        <f>M83-(SUM(S83:T83)*V83)</f>
        <v>48.781117000002268</v>
      </c>
      <c r="X83">
        <f>W83/(2*P83*R83)</f>
        <v>5.730776300259504E-2</v>
      </c>
      <c r="Y83">
        <f>X83*16.02</f>
        <v>0.91807036330157255</v>
      </c>
    </row>
    <row r="84" spans="10:30" x14ac:dyDescent="0.2">
      <c r="K84">
        <v>100000</v>
      </c>
      <c r="L84">
        <v>557.753739</v>
      </c>
      <c r="M84">
        <v>-27998.430602</v>
      </c>
      <c r="N84">
        <v>82865.644136999996</v>
      </c>
      <c r="O84">
        <v>-0.62647600000000003</v>
      </c>
      <c r="P84">
        <v>32.699725999999998</v>
      </c>
      <c r="Q84">
        <v>194.55414500000001</v>
      </c>
      <c r="R84">
        <v>13.025369</v>
      </c>
      <c r="S84">
        <v>1436</v>
      </c>
      <c r="T84">
        <v>3316</v>
      </c>
      <c r="U84">
        <f>T84/(T84+S84)</f>
        <v>0.69781144781144777</v>
      </c>
      <c r="V84">
        <f>-4.0366-2.6749*U84</f>
        <v>-5.9031758417508415</v>
      </c>
      <c r="W84">
        <f>M84-(SUM(S84:T84)*V84)</f>
        <v>53.460997999998654</v>
      </c>
      <c r="X84">
        <f>W84/(2*P84*R84)</f>
        <v>6.2758552345663104E-2</v>
      </c>
      <c r="Y84">
        <f>X84*16.02</f>
        <v>1.005392008577523</v>
      </c>
      <c r="Z84" s="1">
        <f>AVERAGE(Y80:Y84)</f>
        <v>0.96316953173895947</v>
      </c>
      <c r="AA84" s="1">
        <f>STDEV(Y80:Y84)</f>
        <v>5.8518994093205011E-2</v>
      </c>
    </row>
    <row r="86" spans="10:30" x14ac:dyDescent="0.2">
      <c r="J86" t="s">
        <v>111</v>
      </c>
      <c r="L86">
        <v>520.33385999999996</v>
      </c>
      <c r="M86">
        <v>-22794.702958000002</v>
      </c>
      <c r="N86">
        <v>66290.580453000002</v>
      </c>
      <c r="O86">
        <v>-0.46860299999999999</v>
      </c>
      <c r="P86">
        <v>29.254304999999999</v>
      </c>
      <c r="Q86">
        <v>174.352329</v>
      </c>
      <c r="R86">
        <v>12.996741999999999</v>
      </c>
      <c r="S86">
        <v>1049</v>
      </c>
      <c r="T86">
        <v>2775</v>
      </c>
      <c r="U86">
        <f>T86/(T86+S86)</f>
        <v>0.72567991631799167</v>
      </c>
      <c r="V86">
        <f>-4.0366-2.67498*U86</f>
        <v>-5.9777792625523016</v>
      </c>
      <c r="W86">
        <f>M86-(SUM(S86:T86)*V86)</f>
        <v>64.324941999999282</v>
      </c>
      <c r="X86">
        <f>W86/(2*P86*R86)</f>
        <v>8.459118812561521E-2</v>
      </c>
      <c r="Y86">
        <f>X86*16.02</f>
        <v>1.3551508337723557</v>
      </c>
    </row>
    <row r="87" spans="10:30" x14ac:dyDescent="0.2">
      <c r="L87">
        <v>520.46325899999999</v>
      </c>
      <c r="M87">
        <v>-22830.648206000002</v>
      </c>
      <c r="N87">
        <v>66141.096684999997</v>
      </c>
      <c r="O87">
        <v>-0.514297</v>
      </c>
      <c r="P87">
        <v>29.217724</v>
      </c>
      <c r="Q87">
        <v>174.19772900000001</v>
      </c>
      <c r="R87">
        <v>12.995193</v>
      </c>
      <c r="S87">
        <v>1035</v>
      </c>
      <c r="T87">
        <v>2787</v>
      </c>
      <c r="U87">
        <f>T87/(T87+S87)</f>
        <v>0.72919937205651486</v>
      </c>
      <c r="V87">
        <f>-4.0366-2.67498*U87</f>
        <v>-5.9871937362637357</v>
      </c>
      <c r="W87">
        <f>M87-(SUM(S87:T87)*V87)</f>
        <v>52.406253999997716</v>
      </c>
      <c r="X87">
        <f>W87/(2*P87*R87)</f>
        <v>6.9011903381168596E-2</v>
      </c>
      <c r="Y87">
        <f>X87*16.02</f>
        <v>1.1055706921663209</v>
      </c>
    </row>
    <row r="88" spans="10:30" x14ac:dyDescent="0.2">
      <c r="L88">
        <v>520.25409999999999</v>
      </c>
      <c r="M88">
        <v>-22809.485260000001</v>
      </c>
      <c r="N88">
        <v>66185.578611000004</v>
      </c>
      <c r="O88">
        <v>-0.55800700000000003</v>
      </c>
      <c r="P88">
        <v>29.226837</v>
      </c>
      <c r="Q88">
        <v>174.21469500000001</v>
      </c>
      <c r="R88">
        <v>12.998612</v>
      </c>
      <c r="S88">
        <v>1040</v>
      </c>
      <c r="T88">
        <v>2782</v>
      </c>
      <c r="U88">
        <f>T88/(T88+S88)</f>
        <v>0.72789115646258506</v>
      </c>
      <c r="V88">
        <f>-4.0366-2.67498*U88</f>
        <v>-5.9836942857142859</v>
      </c>
      <c r="W88">
        <f>M88-(SUM(S88:T88)*V88)</f>
        <v>60.194299999999203</v>
      </c>
      <c r="X88">
        <f>W88/(2*P88*R88)</f>
        <v>7.9222140919234921E-2</v>
      </c>
      <c r="Y88">
        <f>X88*16.02</f>
        <v>1.2691386975261434</v>
      </c>
    </row>
    <row r="89" spans="10:30" x14ac:dyDescent="0.2">
      <c r="L89">
        <v>520.329747</v>
      </c>
      <c r="M89">
        <v>-22774.81192</v>
      </c>
      <c r="N89">
        <v>66204.725252999997</v>
      </c>
      <c r="O89">
        <v>-0.50380800000000003</v>
      </c>
      <c r="P89">
        <v>29.215056000000001</v>
      </c>
      <c r="Q89">
        <v>174.311789</v>
      </c>
      <c r="R89">
        <v>13.00037</v>
      </c>
      <c r="S89">
        <v>1053</v>
      </c>
      <c r="T89">
        <v>2769</v>
      </c>
      <c r="U89">
        <f>T89/(T89+S89)</f>
        <v>0.72448979591836737</v>
      </c>
      <c r="V89">
        <f>-4.0366-2.67498*U89</f>
        <v>-5.974595714285714</v>
      </c>
      <c r="W89">
        <f>M89-(SUM(S89:T89)*V89)</f>
        <v>60.092899999999645</v>
      </c>
      <c r="X89">
        <f>W89/(2*P89*R89)</f>
        <v>7.9109881025692372E-2</v>
      </c>
      <c r="Y89">
        <f>X89*16.02</f>
        <v>1.2673402940315917</v>
      </c>
      <c r="AB89" s="1"/>
      <c r="AC89" s="1"/>
      <c r="AD89" s="1"/>
    </row>
    <row r="90" spans="10:30" x14ac:dyDescent="0.2">
      <c r="L90">
        <v>520.36502399999995</v>
      </c>
      <c r="M90">
        <v>-22837.82531</v>
      </c>
      <c r="N90">
        <v>66140.091969000001</v>
      </c>
      <c r="O90">
        <v>-0.54351499999999997</v>
      </c>
      <c r="P90">
        <v>29.227827999999999</v>
      </c>
      <c r="Q90">
        <v>174.268563</v>
      </c>
      <c r="R90">
        <v>12.985223</v>
      </c>
      <c r="S90">
        <v>1028</v>
      </c>
      <c r="T90">
        <v>2794</v>
      </c>
      <c r="U90">
        <f>T90/(T90+S90)</f>
        <v>0.7310308738880168</v>
      </c>
      <c r="V90">
        <f>-4.0366-2.67498*U90</f>
        <v>-5.992092967032967</v>
      </c>
      <c r="W90">
        <f>M90-(SUM(S90:T90)*V90)</f>
        <v>63.95401000000129</v>
      </c>
      <c r="X90">
        <f>W90/(2*P90*R90)</f>
        <v>8.4254252433501514E-2</v>
      </c>
      <c r="Y90">
        <f>X90*16.02</f>
        <v>1.3497531239846943</v>
      </c>
      <c r="Z90" s="1">
        <f>AVERAGE(Y86:Y90)</f>
        <v>1.2693907282962211</v>
      </c>
      <c r="AA90" s="1">
        <f>STDEV(Y86:Y90)</f>
        <v>0.10081441163079428</v>
      </c>
      <c r="AB90" s="1"/>
      <c r="AC90" s="1"/>
      <c r="AD90" s="1"/>
    </row>
    <row r="91" spans="10:30" x14ac:dyDescent="0.2">
      <c r="AB91" s="1"/>
      <c r="AC91" s="1"/>
      <c r="AD91" s="1"/>
    </row>
    <row r="92" spans="10:30" x14ac:dyDescent="0.2">
      <c r="J92">
        <v>800</v>
      </c>
      <c r="L92" t="s">
        <v>18</v>
      </c>
      <c r="M92" t="s">
        <v>5</v>
      </c>
      <c r="N92" t="s">
        <v>7</v>
      </c>
      <c r="O92" t="s">
        <v>19</v>
      </c>
      <c r="P92" t="s">
        <v>20</v>
      </c>
      <c r="Q92" t="s">
        <v>21</v>
      </c>
      <c r="R92" t="s">
        <v>22</v>
      </c>
      <c r="S92" t="s">
        <v>4</v>
      </c>
      <c r="T92" t="s">
        <v>10</v>
      </c>
      <c r="U92" t="s">
        <v>13</v>
      </c>
      <c r="V92" t="s">
        <v>26</v>
      </c>
      <c r="W92" t="s">
        <v>12</v>
      </c>
      <c r="X92" t="s">
        <v>23</v>
      </c>
      <c r="Y92" t="s">
        <v>23</v>
      </c>
      <c r="AB92" s="1"/>
      <c r="AC92" s="1"/>
      <c r="AD92" s="1"/>
    </row>
    <row r="93" spans="10:30" x14ac:dyDescent="0.2">
      <c r="J93" t="s">
        <v>55</v>
      </c>
      <c r="L93">
        <v>693.77911300000005</v>
      </c>
      <c r="M93">
        <v>-23192.427501999999</v>
      </c>
      <c r="N93">
        <v>67920.904924000002</v>
      </c>
      <c r="O93">
        <v>-0.85398499999999999</v>
      </c>
      <c r="P93">
        <v>29.592995999999999</v>
      </c>
      <c r="Q93">
        <v>176.29077799999999</v>
      </c>
      <c r="R93">
        <v>13.019228999999999</v>
      </c>
      <c r="S93">
        <v>1068</v>
      </c>
      <c r="T93">
        <v>2836</v>
      </c>
      <c r="U93">
        <f>T93/(T93+S93)</f>
        <v>0.72643442622950816</v>
      </c>
      <c r="V93">
        <f>-4.0083-2.6747*U93</f>
        <v>-5.951294159836066</v>
      </c>
      <c r="W93">
        <f>M93-(SUM(S93:T93)*V93)</f>
        <v>41.42489800000476</v>
      </c>
      <c r="X93">
        <f>W93/(2*P93*R93)</f>
        <v>5.3759751257867326E-2</v>
      </c>
      <c r="Y93">
        <f>X93*16.02</f>
        <v>0.86123121515103451</v>
      </c>
      <c r="AB93" s="1"/>
      <c r="AC93" s="1"/>
      <c r="AD93" s="1"/>
    </row>
    <row r="94" spans="10:30" x14ac:dyDescent="0.2">
      <c r="L94">
        <v>693.72344999999996</v>
      </c>
      <c r="M94">
        <v>-23217.076375000001</v>
      </c>
      <c r="N94">
        <v>67899.240432000006</v>
      </c>
      <c r="O94">
        <v>-0.78356099999999995</v>
      </c>
      <c r="P94">
        <v>29.53698</v>
      </c>
      <c r="Q94">
        <v>176.54102499999999</v>
      </c>
      <c r="R94">
        <v>13.021276</v>
      </c>
      <c r="S94">
        <v>1062</v>
      </c>
      <c r="T94">
        <v>2842</v>
      </c>
      <c r="U94">
        <f>T94/(T94+S94)</f>
        <v>0.72797131147540983</v>
      </c>
      <c r="V94">
        <f>-4.0083-2.6747*U94</f>
        <v>-5.9554048668032786</v>
      </c>
      <c r="W94">
        <f>M94-(SUM(S94:T94)*V94)</f>
        <v>32.824225000000297</v>
      </c>
      <c r="X94">
        <f>W94/(2*P94*R94)</f>
        <v>4.2672182131756491E-2</v>
      </c>
      <c r="Y94">
        <f>X94*16.02</f>
        <v>0.68360835775073892</v>
      </c>
      <c r="AB94" s="1"/>
      <c r="AC94" s="1"/>
      <c r="AD94" s="1"/>
    </row>
    <row r="95" spans="10:30" x14ac:dyDescent="0.2">
      <c r="L95">
        <v>693.79883199999995</v>
      </c>
      <c r="M95">
        <v>-23128.896806000001</v>
      </c>
      <c r="N95">
        <v>68014.206598999997</v>
      </c>
      <c r="O95">
        <v>-0.86691499999999999</v>
      </c>
      <c r="P95">
        <v>29.569575</v>
      </c>
      <c r="Q95">
        <v>176.39985999999999</v>
      </c>
      <c r="R95">
        <v>13.039372</v>
      </c>
      <c r="S95">
        <v>1087</v>
      </c>
      <c r="T95">
        <v>2817</v>
      </c>
      <c r="U95">
        <f>T95/(T95+S95)</f>
        <v>0.72156762295081966</v>
      </c>
      <c r="V95">
        <f>-4.0083-2.6747*U95</f>
        <v>-5.9382769211065574</v>
      </c>
      <c r="W95">
        <f>M95-(SUM(S95:T95)*V95)</f>
        <v>54.136293999999907</v>
      </c>
      <c r="X95">
        <f>W95/(2*P95*R95)</f>
        <v>7.0203177334915212E-2</v>
      </c>
      <c r="Y95">
        <f>X95*16.02</f>
        <v>1.1246549009053417</v>
      </c>
      <c r="AB95" s="1"/>
      <c r="AC95" s="1"/>
      <c r="AD95" s="1"/>
    </row>
    <row r="96" spans="10:30" x14ac:dyDescent="0.2">
      <c r="L96">
        <v>693.63352099999997</v>
      </c>
      <c r="M96">
        <v>-23195.524945000001</v>
      </c>
      <c r="N96">
        <v>67931.481125000006</v>
      </c>
      <c r="O96">
        <v>-0.79649499999999995</v>
      </c>
      <c r="P96">
        <v>29.560898000000002</v>
      </c>
      <c r="Q96">
        <v>176.439663</v>
      </c>
      <c r="R96">
        <v>13.024395999999999</v>
      </c>
      <c r="S96">
        <v>1065</v>
      </c>
      <c r="T96">
        <v>2839</v>
      </c>
      <c r="U96">
        <f>T96/(T96+S96)</f>
        <v>0.72720286885245899</v>
      </c>
      <c r="V96">
        <f>-4.0083-2.6747*U96</f>
        <v>-5.9533495133196723</v>
      </c>
      <c r="W96">
        <f>M96-(SUM(S96:T96)*V96)</f>
        <v>46.351555000001099</v>
      </c>
      <c r="X96">
        <f>W96/(2*P96*R96)</f>
        <v>6.0194816878364858E-2</v>
      </c>
      <c r="Y96">
        <f>X96*16.02</f>
        <v>0.96432096639140497</v>
      </c>
    </row>
    <row r="97" spans="10:25" x14ac:dyDescent="0.2">
      <c r="L97">
        <v>693.82840899999997</v>
      </c>
      <c r="M97">
        <v>-23142.589435000002</v>
      </c>
      <c r="N97">
        <v>68030.920868999994</v>
      </c>
      <c r="O97">
        <v>-0.89491900000000002</v>
      </c>
      <c r="P97">
        <v>29.562840000000001</v>
      </c>
      <c r="Q97">
        <v>176.637067</v>
      </c>
      <c r="R97">
        <v>13.028029</v>
      </c>
      <c r="S97">
        <v>1085</v>
      </c>
      <c r="T97">
        <v>2819</v>
      </c>
      <c r="U97">
        <f>T97/(T97+S97)</f>
        <v>0.72207991803278693</v>
      </c>
      <c r="V97">
        <f>-4.0083-2.6747*U97</f>
        <v>-5.9396471567622955</v>
      </c>
      <c r="W97">
        <f>M97-(SUM(S97:T97)*V97)</f>
        <v>45.793065000001661</v>
      </c>
      <c r="X97">
        <f>W97/(2*P97*R97)</f>
        <v>5.9449040193272129E-2</v>
      </c>
      <c r="Y97">
        <f>X97*16.02</f>
        <v>0.95237362389621949</v>
      </c>
    </row>
    <row r="98" spans="10:25" x14ac:dyDescent="0.2">
      <c r="Y98" s="1">
        <f>AVERAGE(Y93:Y97)</f>
        <v>0.9172378128189479</v>
      </c>
    </row>
    <row r="99" spans="10:25" x14ac:dyDescent="0.2">
      <c r="J99" t="s">
        <v>133</v>
      </c>
      <c r="K99">
        <v>100000</v>
      </c>
      <c r="L99">
        <v>743.62433299999998</v>
      </c>
      <c r="M99">
        <v>-18586.171605</v>
      </c>
      <c r="N99">
        <v>55568.587755</v>
      </c>
      <c r="O99">
        <v>-1.065796</v>
      </c>
      <c r="P99">
        <v>23.140350999999999</v>
      </c>
      <c r="Q99">
        <v>183.941991</v>
      </c>
      <c r="R99">
        <v>13.055063000000001</v>
      </c>
      <c r="S99">
        <v>951</v>
      </c>
      <c r="T99">
        <v>2217</v>
      </c>
      <c r="U99">
        <f>T99/(T99+S99)</f>
        <v>0.69981060606060608</v>
      </c>
      <c r="V99">
        <f>-4.0083-2.6747*U99</f>
        <v>-5.8800834280303036</v>
      </c>
      <c r="W99">
        <f>M99-(SUM(S99:T99)*V99)</f>
        <v>41.93269500000315</v>
      </c>
      <c r="X99">
        <f>W99/(2*P99*R99)</f>
        <v>6.9402300353161334E-2</v>
      </c>
      <c r="Y99">
        <f>X99*16.02</f>
        <v>1.1118248516576446</v>
      </c>
    </row>
    <row r="100" spans="10:25" x14ac:dyDescent="0.2">
      <c r="K100">
        <v>100000</v>
      </c>
      <c r="L100">
        <v>743.703487</v>
      </c>
      <c r="M100">
        <v>-18811.962018999999</v>
      </c>
      <c r="N100">
        <v>55112.102359999997</v>
      </c>
      <c r="O100">
        <v>-1.2561599999999999</v>
      </c>
      <c r="P100">
        <v>23.087007</v>
      </c>
      <c r="Q100">
        <v>183.511798</v>
      </c>
      <c r="R100">
        <v>13.008156</v>
      </c>
      <c r="S100">
        <v>871</v>
      </c>
      <c r="T100">
        <v>2297</v>
      </c>
      <c r="U100">
        <f>T100/(T100+S100)</f>
        <v>0.72506313131313127</v>
      </c>
      <c r="V100">
        <f>-4.0083-2.6747*U100</f>
        <v>-5.947626357323232</v>
      </c>
      <c r="W100">
        <f>M100-(SUM(S100:T100)*V100)</f>
        <v>30.118280999999115</v>
      </c>
      <c r="X100">
        <f>W100/(2*P100*R100)</f>
        <v>5.0143750520877217E-2</v>
      </c>
      <c r="Y100">
        <f>X100*16.02</f>
        <v>0.80330288334445299</v>
      </c>
    </row>
    <row r="101" spans="10:25" x14ac:dyDescent="0.2">
      <c r="K101">
        <v>100000</v>
      </c>
      <c r="L101">
        <v>743.75139000000001</v>
      </c>
      <c r="M101">
        <v>-18776.471162999998</v>
      </c>
      <c r="N101">
        <v>55218.752109000001</v>
      </c>
      <c r="O101">
        <v>-1.354209</v>
      </c>
      <c r="P101">
        <v>23.102014</v>
      </c>
      <c r="Q101">
        <v>183.55015499999999</v>
      </c>
      <c r="R101">
        <v>13.022141</v>
      </c>
      <c r="S101">
        <v>881</v>
      </c>
      <c r="T101">
        <v>2287</v>
      </c>
      <c r="U101">
        <f>T101/(T101+S101)</f>
        <v>0.72190656565656564</v>
      </c>
      <c r="V101">
        <f>-4.0083-2.6747*U101</f>
        <v>-5.9391834911616161</v>
      </c>
      <c r="W101">
        <f>M101-(SUM(S101:T101)*V101)</f>
        <v>38.862137000000075</v>
      </c>
      <c r="X101">
        <f>W101/(2*P101*R101)</f>
        <v>6.4589875382418505E-2</v>
      </c>
      <c r="Y101">
        <f>X101*16.02</f>
        <v>1.0347298036263444</v>
      </c>
    </row>
    <row r="102" spans="10:25" x14ac:dyDescent="0.2">
      <c r="K102">
        <v>100000</v>
      </c>
      <c r="L102">
        <v>743.61406699999998</v>
      </c>
      <c r="M102">
        <v>-18524.266275999998</v>
      </c>
      <c r="N102">
        <v>55646.514843999998</v>
      </c>
      <c r="O102">
        <v>-1.2324729999999999</v>
      </c>
      <c r="P102">
        <v>23.155239999999999</v>
      </c>
      <c r="Q102">
        <v>184.131902</v>
      </c>
      <c r="R102">
        <v>13.051489</v>
      </c>
      <c r="S102">
        <v>973</v>
      </c>
      <c r="T102">
        <v>2195</v>
      </c>
      <c r="U102">
        <f>T102/(T102+S102)</f>
        <v>0.69286616161616166</v>
      </c>
      <c r="V102">
        <f>-4.0083-2.6747*U102</f>
        <v>-5.8615091224747475</v>
      </c>
      <c r="W102">
        <f>M102-(SUM(S102:T102)*V102)</f>
        <v>44.994624000002659</v>
      </c>
      <c r="X102">
        <f>W102/(2*P102*R102)</f>
        <v>7.4442557126960379E-2</v>
      </c>
      <c r="Y102">
        <f>X102*16.02</f>
        <v>1.1925697651739053</v>
      </c>
    </row>
    <row r="103" spans="10:25" x14ac:dyDescent="0.2">
      <c r="K103">
        <v>100000</v>
      </c>
      <c r="L103">
        <v>743.61072799999999</v>
      </c>
      <c r="M103">
        <v>-18641.809984</v>
      </c>
      <c r="N103">
        <v>55400.955285000004</v>
      </c>
      <c r="O103">
        <v>-1.112142</v>
      </c>
      <c r="P103">
        <v>23.128032999999999</v>
      </c>
      <c r="Q103">
        <v>183.82149799999999</v>
      </c>
      <c r="R103">
        <v>13.031148</v>
      </c>
      <c r="S103">
        <v>931</v>
      </c>
      <c r="T103">
        <v>2237</v>
      </c>
      <c r="U103">
        <f>T103/(T103+S103)</f>
        <v>0.70612373737373735</v>
      </c>
      <c r="V103">
        <f>-4.0083-2.6747*U103</f>
        <v>-5.8969691603535352</v>
      </c>
      <c r="W103">
        <f>M103-(SUM(S103:T103)*V103)</f>
        <v>39.788315999998304</v>
      </c>
      <c r="X103">
        <f>W103/(2*P103*R103)</f>
        <v>6.6009157116293751E-2</v>
      </c>
      <c r="Y103">
        <f>X103*16.02</f>
        <v>1.0574666970030258</v>
      </c>
    </row>
    <row r="104" spans="10:25" x14ac:dyDescent="0.2">
      <c r="Y104" s="1">
        <f>AVERAGE(Y99:Y103)</f>
        <v>1.0399788001610746</v>
      </c>
    </row>
    <row r="105" spans="10:25" x14ac:dyDescent="0.2">
      <c r="J105" t="s">
        <v>28</v>
      </c>
      <c r="L105">
        <v>743.64865199999997</v>
      </c>
      <c r="M105">
        <v>-19569.658533000002</v>
      </c>
      <c r="N105">
        <v>57383.250409</v>
      </c>
      <c r="O105">
        <v>-1.2434419999999999</v>
      </c>
      <c r="P105">
        <v>33.320777</v>
      </c>
      <c r="Q105">
        <v>132.527174</v>
      </c>
      <c r="R105">
        <v>12.994678</v>
      </c>
      <c r="S105">
        <v>897</v>
      </c>
      <c r="T105">
        <v>2399</v>
      </c>
      <c r="U105">
        <f>T105/(T105+S105)</f>
        <v>0.72785194174757284</v>
      </c>
      <c r="V105">
        <f>-4.0083-2.6747*U105</f>
        <v>-5.9550855885922331</v>
      </c>
      <c r="W105">
        <f>M105-(SUM(S105:T105)*V105)</f>
        <v>58.30356699999902</v>
      </c>
      <c r="X105">
        <f>W105/(2*P105*R105)</f>
        <v>6.7326259619640269E-2</v>
      </c>
      <c r="Y105">
        <f>X105*16.02</f>
        <v>1.0785666791066371</v>
      </c>
    </row>
    <row r="106" spans="10:25" x14ac:dyDescent="0.2">
      <c r="L106">
        <v>743.63408300000003</v>
      </c>
      <c r="M106">
        <v>-19620.422275000001</v>
      </c>
      <c r="N106">
        <v>57318.183831000002</v>
      </c>
      <c r="O106">
        <v>-1.1685369999999999</v>
      </c>
      <c r="P106">
        <v>33.258566999999999</v>
      </c>
      <c r="Q106">
        <v>132.66869700000001</v>
      </c>
      <c r="R106">
        <v>12.990349</v>
      </c>
      <c r="S106">
        <v>878</v>
      </c>
      <c r="T106">
        <v>2418</v>
      </c>
      <c r="U106">
        <f>T106/(T106+S106)</f>
        <v>0.73361650485436891</v>
      </c>
      <c r="V106">
        <f>-4.0083-2.6747*U106</f>
        <v>-5.9705040655339809</v>
      </c>
      <c r="W106">
        <f>M106-(SUM(S106:T106)*V106)</f>
        <v>58.35912499999904</v>
      </c>
      <c r="X106">
        <f>W106/(2*P106*R106)</f>
        <v>6.7538968582155648E-2</v>
      </c>
      <c r="Y106">
        <f>X106*16.02</f>
        <v>1.0819742766861336</v>
      </c>
    </row>
    <row r="107" spans="10:25" x14ac:dyDescent="0.2">
      <c r="L107">
        <v>743.65211699999998</v>
      </c>
      <c r="M107">
        <v>-19572.699248000001</v>
      </c>
      <c r="N107">
        <v>57403.081471999998</v>
      </c>
      <c r="O107">
        <v>-1.19008</v>
      </c>
      <c r="P107">
        <v>33.300539000000001</v>
      </c>
      <c r="Q107">
        <v>132.57515699999999</v>
      </c>
      <c r="R107">
        <v>13.002359999999999</v>
      </c>
      <c r="S107">
        <v>896</v>
      </c>
      <c r="T107">
        <v>2400</v>
      </c>
      <c r="U107">
        <f>T107/(T107+S107)</f>
        <v>0.72815533980582525</v>
      </c>
      <c r="V107">
        <f>-4.0083-2.6747*U107</f>
        <v>-5.9558970873786414</v>
      </c>
      <c r="W107">
        <f>M107-(SUM(S107:T107)*V107)</f>
        <v>57.937552000003052</v>
      </c>
      <c r="X107">
        <f>W107/(2*P107*R107)</f>
        <v>6.6904710571020404E-2</v>
      </c>
      <c r="Y107">
        <f>X107*16.02</f>
        <v>1.0718134633477467</v>
      </c>
    </row>
    <row r="108" spans="10:25" x14ac:dyDescent="0.2">
      <c r="L108">
        <v>743.65211699999998</v>
      </c>
      <c r="M108">
        <v>-19572.699248000001</v>
      </c>
      <c r="N108">
        <v>57403.081471999998</v>
      </c>
      <c r="O108">
        <v>-1.19008</v>
      </c>
      <c r="P108">
        <v>33.300539000000001</v>
      </c>
      <c r="Q108">
        <v>132.57515699999999</v>
      </c>
      <c r="R108">
        <v>13.002359999999999</v>
      </c>
      <c r="S108">
        <v>896</v>
      </c>
      <c r="T108">
        <v>2400</v>
      </c>
      <c r="U108">
        <f>T108/(T108+S108)</f>
        <v>0.72815533980582525</v>
      </c>
      <c r="V108">
        <f>-4.0083-2.6747*U108</f>
        <v>-5.9558970873786414</v>
      </c>
      <c r="W108">
        <f>M108-(SUM(S108:T108)*V108)</f>
        <v>57.937552000003052</v>
      </c>
      <c r="X108">
        <f>W108/(2*P108*R108)</f>
        <v>6.6904710571020404E-2</v>
      </c>
      <c r="Y108">
        <f>X108*16.02</f>
        <v>1.0718134633477467</v>
      </c>
    </row>
    <row r="109" spans="10:25" x14ac:dyDescent="0.2">
      <c r="L109">
        <v>743.96622600000001</v>
      </c>
      <c r="M109">
        <v>-19486.604501999998</v>
      </c>
      <c r="N109">
        <v>57577.665718999997</v>
      </c>
      <c r="O109">
        <v>-0.96767199999999998</v>
      </c>
      <c r="P109">
        <v>33.318973999999997</v>
      </c>
      <c r="Q109">
        <v>132.750338</v>
      </c>
      <c r="R109">
        <v>13.017488999999999</v>
      </c>
      <c r="S109">
        <v>926</v>
      </c>
      <c r="T109">
        <v>2370</v>
      </c>
      <c r="U109">
        <f>T109/(T109+S109)</f>
        <v>0.71905339805825241</v>
      </c>
      <c r="V109">
        <f>-4.0083-2.6747*U109</f>
        <v>-5.9315521237864077</v>
      </c>
      <c r="W109">
        <f>M109-(SUM(S109:T109)*V109)</f>
        <v>63.791298000000097</v>
      </c>
      <c r="X109">
        <f>W109/(2*P109*R109)</f>
        <v>7.3538133804025407E-2</v>
      </c>
      <c r="Y109">
        <f>X109*16.02</f>
        <v>1.1780809035404869</v>
      </c>
    </row>
    <row r="110" spans="10:25" x14ac:dyDescent="0.2">
      <c r="Y110" s="1">
        <f>AVERAGE(Y105:Y109)</f>
        <v>1.0964497572057499</v>
      </c>
    </row>
    <row r="111" spans="10:25" x14ac:dyDescent="0.2">
      <c r="J111" t="s">
        <v>134</v>
      </c>
      <c r="K111">
        <v>100000</v>
      </c>
      <c r="L111">
        <v>743.76723500000003</v>
      </c>
      <c r="M111">
        <v>-19061.325396</v>
      </c>
      <c r="N111">
        <v>56503.615096000001</v>
      </c>
      <c r="O111">
        <v>-1.3204629999999999</v>
      </c>
      <c r="P111">
        <v>26.957155</v>
      </c>
      <c r="Q111">
        <v>160.993788</v>
      </c>
      <c r="R111">
        <v>13.019474000000001</v>
      </c>
      <c r="S111">
        <v>926</v>
      </c>
      <c r="T111">
        <v>2306</v>
      </c>
      <c r="U111">
        <f>T111/(T111+S111)</f>
        <v>0.71349009900990101</v>
      </c>
      <c r="V111">
        <f>-4.0083-2.6747*U111</f>
        <v>-5.9166719678217827</v>
      </c>
      <c r="W111">
        <f>M111-(SUM(S111:T111)*V111)</f>
        <v>61.358404000002338</v>
      </c>
      <c r="X111">
        <f>W111/(2*P111*R111)</f>
        <v>8.7413108509760806E-2</v>
      </c>
      <c r="Y111">
        <f>X111*16.02</f>
        <v>1.4003579983263681</v>
      </c>
    </row>
    <row r="112" spans="10:25" x14ac:dyDescent="0.2">
      <c r="K112">
        <v>100000</v>
      </c>
      <c r="L112">
        <v>743.77106600000002</v>
      </c>
      <c r="M112">
        <v>-19130.731081999998</v>
      </c>
      <c r="N112">
        <v>56381.055467999999</v>
      </c>
      <c r="O112">
        <v>-1.149132</v>
      </c>
      <c r="P112">
        <v>26.935426</v>
      </c>
      <c r="Q112">
        <v>160.81763900000001</v>
      </c>
      <c r="R112">
        <v>13.015955999999999</v>
      </c>
      <c r="S112">
        <v>906</v>
      </c>
      <c r="T112">
        <v>2326</v>
      </c>
      <c r="U112">
        <f>T112/(T112+S112)</f>
        <v>0.71967821782178221</v>
      </c>
      <c r="V112">
        <f>-4.0083-2.6747*U112</f>
        <v>-5.9332233292079213</v>
      </c>
      <c r="W112">
        <f>M112-(SUM(S112:T112)*V112)</f>
        <v>45.446718000002875</v>
      </c>
      <c r="X112">
        <f>W112/(2*P112*R112)</f>
        <v>6.48145648237414E-2</v>
      </c>
      <c r="Y112">
        <f>X112*16.02</f>
        <v>1.0383293284763373</v>
      </c>
    </row>
    <row r="113" spans="10:30" x14ac:dyDescent="0.2">
      <c r="K113">
        <v>100000</v>
      </c>
      <c r="L113">
        <v>743.58643800000004</v>
      </c>
      <c r="M113">
        <v>-19006.127064</v>
      </c>
      <c r="N113">
        <v>56610.248594999997</v>
      </c>
      <c r="O113">
        <v>-1.1206860000000001</v>
      </c>
      <c r="P113">
        <v>26.984031000000002</v>
      </c>
      <c r="Q113">
        <v>160.92018200000001</v>
      </c>
      <c r="R113">
        <v>13.037013999999999</v>
      </c>
      <c r="S113">
        <v>952</v>
      </c>
      <c r="T113">
        <v>2280</v>
      </c>
      <c r="U113">
        <f>T113/(T113+S113)</f>
        <v>0.70544554455445541</v>
      </c>
      <c r="V113">
        <f>-4.0083-2.6747*U113</f>
        <v>-5.8951551980198023</v>
      </c>
      <c r="W113">
        <f>M113-(SUM(S113:T113)*V113)</f>
        <v>47.014536000002408</v>
      </c>
      <c r="X113">
        <f>W113/(2*P113*R113)</f>
        <v>6.6821650664752208E-2</v>
      </c>
      <c r="Y113">
        <f>X113*16.02</f>
        <v>1.0704828436493303</v>
      </c>
    </row>
    <row r="114" spans="10:30" x14ac:dyDescent="0.2">
      <c r="K114">
        <v>100000</v>
      </c>
      <c r="L114">
        <v>743.52673200000004</v>
      </c>
      <c r="M114">
        <v>-18960.188957999999</v>
      </c>
      <c r="N114">
        <v>56694.672545000001</v>
      </c>
      <c r="O114">
        <v>-1.158482</v>
      </c>
      <c r="P114">
        <v>26.964531000000001</v>
      </c>
      <c r="Q114">
        <v>161.30958899999999</v>
      </c>
      <c r="R114">
        <v>13.034357</v>
      </c>
      <c r="S114">
        <v>966</v>
      </c>
      <c r="T114">
        <v>2266</v>
      </c>
      <c r="U114">
        <f>T114/(T114+S114)</f>
        <v>0.70111386138613863</v>
      </c>
      <c r="V114">
        <f>-4.0083-2.6747*U114</f>
        <v>-5.8835692450495056</v>
      </c>
      <c r="W114">
        <f>M114-(SUM(S114:T114)*V114)</f>
        <v>55.506842000002507</v>
      </c>
      <c r="X114">
        <f>W114/(2*P114*R114)</f>
        <v>7.8964891136873869E-2</v>
      </c>
      <c r="Y114">
        <f>X114*16.02</f>
        <v>1.2650175560127193</v>
      </c>
    </row>
    <row r="115" spans="10:30" x14ac:dyDescent="0.2">
      <c r="K115">
        <v>100000</v>
      </c>
      <c r="L115">
        <v>743.86440800000003</v>
      </c>
      <c r="M115">
        <v>-19000.472103</v>
      </c>
      <c r="N115">
        <v>56625.487799000002</v>
      </c>
      <c r="O115">
        <v>-1.028934</v>
      </c>
      <c r="P115">
        <v>26.981579</v>
      </c>
      <c r="Q115">
        <v>161.079632</v>
      </c>
      <c r="R115">
        <v>13.028798999999999</v>
      </c>
      <c r="S115">
        <v>951</v>
      </c>
      <c r="T115">
        <v>2281</v>
      </c>
      <c r="U115">
        <f>T115/(T115+S115)</f>
        <v>0.70575495049504955</v>
      </c>
      <c r="V115">
        <f>-4.0083-2.6747*U115</f>
        <v>-5.8959827660891095</v>
      </c>
      <c r="W115">
        <f>M115-(SUM(S115:T115)*V115)</f>
        <v>55.344197000002168</v>
      </c>
      <c r="X115">
        <f>W115/(2*P115*R115)</f>
        <v>7.8717328961060651E-2</v>
      </c>
      <c r="Y115">
        <f>X115*16.02</f>
        <v>1.2610516099561917</v>
      </c>
    </row>
    <row r="116" spans="10:30" x14ac:dyDescent="0.2">
      <c r="M116">
        <f>AVERAGE(M111:M115)</f>
        <v>-19031.7689206</v>
      </c>
      <c r="Y116" s="1">
        <f>AVERAGE(Y111:Y115)</f>
        <v>1.2070478672841891</v>
      </c>
    </row>
    <row r="117" spans="10:30" x14ac:dyDescent="0.2">
      <c r="J117" t="s">
        <v>27</v>
      </c>
      <c r="L117">
        <v>743.81845399999997</v>
      </c>
      <c r="M117">
        <v>-17075.681521999999</v>
      </c>
      <c r="N117">
        <v>50166.243839000002</v>
      </c>
      <c r="O117">
        <v>-1.24421</v>
      </c>
      <c r="P117">
        <v>30.970414999999999</v>
      </c>
      <c r="Q117">
        <v>124.585061</v>
      </c>
      <c r="R117">
        <v>13.001666</v>
      </c>
      <c r="S117">
        <v>791</v>
      </c>
      <c r="T117">
        <v>2089</v>
      </c>
      <c r="U117">
        <f>T117/(T117+S117)</f>
        <v>0.72534722222222225</v>
      </c>
      <c r="V117">
        <f>-4.0083-2.6747*U117</f>
        <v>-5.948386215277778</v>
      </c>
      <c r="W117">
        <f>M117-(SUM(S117:T117)*V117)</f>
        <v>55.670778000003338</v>
      </c>
      <c r="X117">
        <f>W117/(2*P117*R117)</f>
        <v>6.9127565886881973E-2</v>
      </c>
      <c r="Y117">
        <f>X117*16.02</f>
        <v>1.1074236055078492</v>
      </c>
    </row>
    <row r="118" spans="10:30" x14ac:dyDescent="0.2">
      <c r="L118">
        <v>743.78542200000004</v>
      </c>
      <c r="M118">
        <v>-17080.732467000002</v>
      </c>
      <c r="N118">
        <v>50176.281080000001</v>
      </c>
      <c r="O118">
        <v>-1.378922</v>
      </c>
      <c r="P118">
        <v>30.963996000000002</v>
      </c>
      <c r="Q118">
        <v>124.640417</v>
      </c>
      <c r="R118">
        <v>13.001186000000001</v>
      </c>
      <c r="S118">
        <v>788</v>
      </c>
      <c r="T118">
        <v>2092</v>
      </c>
      <c r="U118">
        <f>T118/(T118+S118)</f>
        <v>0.72638888888888886</v>
      </c>
      <c r="V118">
        <f>-4.0083-2.6747*U118</f>
        <v>-5.9511723611111114</v>
      </c>
      <c r="W118">
        <f>M118-(SUM(S118:T118)*V118)</f>
        <v>58.643932999999379</v>
      </c>
      <c r="X118">
        <f>W118/(2*P118*R118)</f>
        <v>7.2837179319904716E-2</v>
      </c>
      <c r="Y118">
        <f>X118*16.02</f>
        <v>1.1668516127048736</v>
      </c>
    </row>
    <row r="119" spans="10:30" x14ac:dyDescent="0.2">
      <c r="L119">
        <v>743.76028899999994</v>
      </c>
      <c r="M119">
        <v>-17058.977389</v>
      </c>
      <c r="N119">
        <v>50216.801895999997</v>
      </c>
      <c r="O119">
        <v>-1.3785909999999999</v>
      </c>
      <c r="P119">
        <v>30.928636999999998</v>
      </c>
      <c r="Q119">
        <v>124.719166</v>
      </c>
      <c r="R119">
        <v>13.018336</v>
      </c>
      <c r="S119">
        <v>798</v>
      </c>
      <c r="T119">
        <v>2082</v>
      </c>
      <c r="U119">
        <f>T119/(T119+S119)</f>
        <v>0.72291666666666665</v>
      </c>
      <c r="V119">
        <f>-4.0083-2.6747*U119</f>
        <v>-5.9418852083333338</v>
      </c>
      <c r="W119">
        <f>M119-(SUM(S119:T119)*V119)</f>
        <v>53.652011000001949</v>
      </c>
      <c r="X119">
        <f>W119/(2*P119*R119)</f>
        <v>6.6625388044464384E-2</v>
      </c>
      <c r="Y119">
        <f>X119*16.02</f>
        <v>1.0673387164723194</v>
      </c>
    </row>
    <row r="120" spans="10:30" x14ac:dyDescent="0.2">
      <c r="L120">
        <v>743.92530599999998</v>
      </c>
      <c r="M120">
        <v>-17062.114507999999</v>
      </c>
      <c r="N120">
        <v>50201.123385999999</v>
      </c>
      <c r="O120">
        <v>-1.336128</v>
      </c>
      <c r="P120">
        <v>30.932911000000001</v>
      </c>
      <c r="Q120">
        <v>124.699179</v>
      </c>
      <c r="R120">
        <v>13.014559</v>
      </c>
      <c r="S120">
        <v>793</v>
      </c>
      <c r="T120">
        <v>2087</v>
      </c>
      <c r="U120">
        <f>T120/(T120+S120)</f>
        <v>0.72465277777777781</v>
      </c>
      <c r="V120">
        <f>-4.0083-2.6747*U120</f>
        <v>-5.9465287847222221</v>
      </c>
      <c r="W120">
        <f>M120-(SUM(S120:T120)*V120)</f>
        <v>63.888392000000749</v>
      </c>
      <c r="X120">
        <f>W120/(2*P120*R120)</f>
        <v>7.9349046661764691E-2</v>
      </c>
      <c r="Y120">
        <f>X120*16.02</f>
        <v>1.2711717275214702</v>
      </c>
    </row>
    <row r="121" spans="10:30" x14ac:dyDescent="0.2">
      <c r="L121">
        <v>743.74944500000004</v>
      </c>
      <c r="M121">
        <v>-16980.259974000001</v>
      </c>
      <c r="N121">
        <v>50360.840156999999</v>
      </c>
      <c r="O121">
        <v>-1.351065</v>
      </c>
      <c r="P121">
        <v>30.952324000000001</v>
      </c>
      <c r="Q121">
        <v>124.915572</v>
      </c>
      <c r="R121">
        <v>13.025174</v>
      </c>
      <c r="S121">
        <v>824</v>
      </c>
      <c r="T121">
        <v>2056</v>
      </c>
      <c r="U121">
        <f>T121/(T121+S121)</f>
        <v>0.71388888888888891</v>
      </c>
      <c r="V121">
        <f>-4.0083-2.6747*U121</f>
        <v>-5.9177386111111119</v>
      </c>
      <c r="W121">
        <f>M121-(SUM(S121:T121)*V121)</f>
        <v>62.827226000001247</v>
      </c>
      <c r="X121">
        <f>W121/(2*P121*R121)</f>
        <v>7.7918591375351343E-2</v>
      </c>
      <c r="Y121">
        <f>X121*16.02</f>
        <v>1.2482558338331284</v>
      </c>
      <c r="AB121" s="1"/>
      <c r="AC121" s="1"/>
      <c r="AD121" s="1"/>
    </row>
    <row r="122" spans="10:30" x14ac:dyDescent="0.2">
      <c r="Y122" s="1">
        <f>AVERAGE(Y117:Y121)</f>
        <v>1.1722082992079281</v>
      </c>
      <c r="AB122" s="1"/>
      <c r="AC122" s="1"/>
      <c r="AD122" s="1"/>
    </row>
    <row r="123" spans="10:30" x14ac:dyDescent="0.2">
      <c r="J123" t="s">
        <v>172</v>
      </c>
      <c r="K123">
        <v>100000</v>
      </c>
      <c r="L123">
        <v>744.00032399999998</v>
      </c>
      <c r="M123">
        <v>-21729.768866999999</v>
      </c>
      <c r="N123">
        <v>64277.619319999998</v>
      </c>
      <c r="O123">
        <v>-1.1487019999999999</v>
      </c>
      <c r="P123">
        <v>24.882211000000002</v>
      </c>
      <c r="Q123">
        <v>198.38996700000001</v>
      </c>
      <c r="R123">
        <v>13.021212999999999</v>
      </c>
      <c r="S123">
        <v>1047</v>
      </c>
      <c r="T123">
        <v>2633</v>
      </c>
      <c r="U123">
        <f>T123/(T123+S123)</f>
        <v>0.71548913043478257</v>
      </c>
      <c r="V123">
        <f>-4.0083-2.6747*U123</f>
        <v>-5.9220187771739132</v>
      </c>
      <c r="W123">
        <f>M123-(SUM(S123:T123)*V123)</f>
        <v>63.260233000000881</v>
      </c>
      <c r="X123">
        <f>W123/(2*P123*R123)</f>
        <v>9.7624850053947027E-2</v>
      </c>
      <c r="Y123">
        <f>X123*16.02</f>
        <v>1.5639500978642313</v>
      </c>
      <c r="AB123" s="1"/>
      <c r="AC123" s="1"/>
      <c r="AD123" s="1"/>
    </row>
    <row r="124" spans="10:30" x14ac:dyDescent="0.2">
      <c r="K124">
        <v>100000</v>
      </c>
      <c r="L124">
        <v>743.45766500000002</v>
      </c>
      <c r="M124">
        <v>-21720.267358000001</v>
      </c>
      <c r="N124">
        <v>64296.270971999998</v>
      </c>
      <c r="O124">
        <v>-1.048489</v>
      </c>
      <c r="P124">
        <v>24.898354000000001</v>
      </c>
      <c r="Q124">
        <v>198.242088</v>
      </c>
      <c r="R124">
        <v>13.026255000000001</v>
      </c>
      <c r="S124">
        <v>1055</v>
      </c>
      <c r="T124">
        <v>2625</v>
      </c>
      <c r="U124">
        <f>T124/(T124+S124)</f>
        <v>0.71331521739130432</v>
      </c>
      <c r="V124">
        <f>-4.0083-2.6747*U124</f>
        <v>-5.9162042119565221</v>
      </c>
      <c r="W124">
        <f>M124-(SUM(S124:T124)*V124)</f>
        <v>51.364142000002175</v>
      </c>
      <c r="X124">
        <f>W124/(2*P124*R124)</f>
        <v>7.9184436283453216E-2</v>
      </c>
      <c r="Y124">
        <f>X124*16.02</f>
        <v>1.2685346692609205</v>
      </c>
      <c r="AB124" s="1"/>
      <c r="AC124" s="1"/>
      <c r="AD124" s="1"/>
    </row>
    <row r="125" spans="10:30" x14ac:dyDescent="0.2">
      <c r="K125">
        <v>100000</v>
      </c>
      <c r="L125">
        <v>743.52605600000004</v>
      </c>
      <c r="M125">
        <v>-21455.419130999999</v>
      </c>
      <c r="N125">
        <v>64764.960311000003</v>
      </c>
      <c r="O125">
        <v>-1.087356</v>
      </c>
      <c r="P125">
        <v>24.945927000000001</v>
      </c>
      <c r="Q125">
        <v>198.832641</v>
      </c>
      <c r="R125">
        <v>13.057292</v>
      </c>
      <c r="S125">
        <v>1152</v>
      </c>
      <c r="T125">
        <v>2528</v>
      </c>
      <c r="U125">
        <f>T125/(T125+S125)</f>
        <v>0.68695652173913047</v>
      </c>
      <c r="V125">
        <f>-4.0083-2.6747*U125</f>
        <v>-5.8457026086956523</v>
      </c>
      <c r="W125">
        <f>M125-(SUM(S125:T125)*V125)</f>
        <v>56.766469000001962</v>
      </c>
      <c r="X125">
        <f>W125/(2*P125*R125)</f>
        <v>8.7138307809876164E-2</v>
      </c>
      <c r="Y125">
        <f>X125*16.02</f>
        <v>1.3959556911142161</v>
      </c>
      <c r="AB125" s="1"/>
      <c r="AC125" s="1"/>
      <c r="AD125" s="1"/>
    </row>
    <row r="126" spans="10:30" x14ac:dyDescent="0.2">
      <c r="K126">
        <v>100000</v>
      </c>
      <c r="L126">
        <v>743.69439599999998</v>
      </c>
      <c r="M126">
        <v>-21750.229232000002</v>
      </c>
      <c r="N126">
        <v>64256.530747999997</v>
      </c>
      <c r="O126">
        <v>-0.84330300000000002</v>
      </c>
      <c r="P126">
        <v>24.888725000000001</v>
      </c>
      <c r="Q126">
        <v>198.10108</v>
      </c>
      <c r="R126">
        <v>13.032511</v>
      </c>
      <c r="S126">
        <v>1044</v>
      </c>
      <c r="T126">
        <v>2636</v>
      </c>
      <c r="U126">
        <f>T126/(T126+S126)</f>
        <v>0.71630434782608698</v>
      </c>
      <c r="V126">
        <f>-4.0083-2.6747*U126</f>
        <v>-5.9241992391304352</v>
      </c>
      <c r="W126">
        <f>M126-(SUM(S126:T126)*V126)</f>
        <v>50.823968000000605</v>
      </c>
      <c r="X126">
        <f>W126/(2*P126*R126)</f>
        <v>7.8344375657617274E-2</v>
      </c>
      <c r="Y126">
        <f>X126*16.02</f>
        <v>1.2550768980350286</v>
      </c>
      <c r="AB126" s="1"/>
      <c r="AC126" s="1"/>
      <c r="AD126" s="1"/>
    </row>
    <row r="127" spans="10:30" x14ac:dyDescent="0.2">
      <c r="K127">
        <v>100000</v>
      </c>
      <c r="L127">
        <v>743.53339100000005</v>
      </c>
      <c r="M127">
        <v>-21631.931049999999</v>
      </c>
      <c r="N127">
        <v>64474.88192</v>
      </c>
      <c r="O127">
        <v>-0.80648500000000001</v>
      </c>
      <c r="P127">
        <v>24.928495999999999</v>
      </c>
      <c r="Q127">
        <v>198.334757</v>
      </c>
      <c r="R127">
        <v>13.040551000000001</v>
      </c>
      <c r="S127">
        <v>1086</v>
      </c>
      <c r="T127">
        <v>2594</v>
      </c>
      <c r="U127">
        <f>T127/(T127+S127)</f>
        <v>0.7048913043478261</v>
      </c>
      <c r="V127">
        <f>-4.0083-2.6747*U127</f>
        <v>-5.8936727717391308</v>
      </c>
      <c r="W127">
        <f>M127-(SUM(S127:T127)*V127)</f>
        <v>56.784750000002532</v>
      </c>
      <c r="X127">
        <f>W127/(2*P127*R127)</f>
        <v>8.733929928499394E-2</v>
      </c>
      <c r="Y127">
        <f>X127*16.02</f>
        <v>1.3991755745456029</v>
      </c>
      <c r="AB127" s="1"/>
      <c r="AC127" s="1"/>
      <c r="AD127" s="1"/>
    </row>
    <row r="128" spans="10:30" x14ac:dyDescent="0.2">
      <c r="Y128" s="1">
        <f>AVERAGE(Y123:Y127)</f>
        <v>1.3765385861639998</v>
      </c>
    </row>
    <row r="129" spans="10:25" x14ac:dyDescent="0.2">
      <c r="J129" t="s">
        <v>17</v>
      </c>
      <c r="L129">
        <v>693.69216400000005</v>
      </c>
      <c r="M129">
        <v>-22615.274108000001</v>
      </c>
      <c r="N129">
        <v>66291.016206</v>
      </c>
      <c r="O129">
        <v>-0.58143400000000001</v>
      </c>
      <c r="P129">
        <v>29.195363</v>
      </c>
      <c r="Q129">
        <v>174.57644199999999</v>
      </c>
      <c r="R129">
        <v>13.006349999999999</v>
      </c>
      <c r="S129">
        <v>1041</v>
      </c>
      <c r="T129">
        <v>2767</v>
      </c>
      <c r="U129">
        <f>T129/(T129+S129)</f>
        <v>0.72662815126050417</v>
      </c>
      <c r="V129">
        <f>-4.0083-2.6747*U129</f>
        <v>-5.9518123161764702</v>
      </c>
      <c r="W129">
        <f>M129-(SUM(S129:T129)*V129)</f>
        <v>49.227191999998468</v>
      </c>
      <c r="X129">
        <f>W129/(2*P129*R129)</f>
        <v>6.481951122179061E-2</v>
      </c>
      <c r="Y129">
        <f>X129*16.02</f>
        <v>1.0384085697730856</v>
      </c>
    </row>
    <row r="130" spans="10:25" x14ac:dyDescent="0.2">
      <c r="L130">
        <v>693.77102400000001</v>
      </c>
      <c r="M130">
        <v>-22629.551692000001</v>
      </c>
      <c r="N130">
        <v>66267.346590000001</v>
      </c>
      <c r="O130">
        <v>-0.72305299999999995</v>
      </c>
      <c r="P130">
        <v>29.17811</v>
      </c>
      <c r="Q130">
        <v>174.492142</v>
      </c>
      <c r="R130">
        <v>13.015677999999999</v>
      </c>
      <c r="S130">
        <v>1033</v>
      </c>
      <c r="T130">
        <v>2775</v>
      </c>
      <c r="U130">
        <f>T130/(T130+S130)</f>
        <v>0.72872899159663862</v>
      </c>
      <c r="V130">
        <f>-4.0083-2.6747*U130</f>
        <v>-5.9574314338235297</v>
      </c>
      <c r="W130">
        <f>M130-(SUM(S130:T130)*V130)</f>
        <v>56.347207999999227</v>
      </c>
      <c r="X130">
        <f>W130/(2*P130*R130)</f>
        <v>7.4185401740501672E-2</v>
      </c>
      <c r="Y130">
        <f>X130*16.02</f>
        <v>1.1884501358828368</v>
      </c>
    </row>
    <row r="131" spans="10:25" x14ac:dyDescent="0.2">
      <c r="L131">
        <v>693.696776</v>
      </c>
      <c r="M131">
        <v>-22548.702275</v>
      </c>
      <c r="N131">
        <v>66415.985402000006</v>
      </c>
      <c r="O131">
        <v>-0.78055699999999995</v>
      </c>
      <c r="P131">
        <v>29.210853</v>
      </c>
      <c r="Q131">
        <v>174.58793700000001</v>
      </c>
      <c r="R131">
        <v>13.023101</v>
      </c>
      <c r="S131">
        <v>1063</v>
      </c>
      <c r="T131">
        <v>2745</v>
      </c>
      <c r="U131">
        <f>T131/(T131+S131)</f>
        <v>0.72085084033613445</v>
      </c>
      <c r="V131">
        <f>-4.0083-2.6747*U131</f>
        <v>-5.9363597426470589</v>
      </c>
      <c r="W131">
        <f>M131-(SUM(S131:T131)*V131)</f>
        <v>56.955625000002328</v>
      </c>
      <c r="X131">
        <f>W131/(2*P131*R131)</f>
        <v>7.4859682073775802E-2</v>
      </c>
      <c r="Y131">
        <f>X131*16.02</f>
        <v>1.1992521068218882</v>
      </c>
    </row>
    <row r="132" spans="10:25" x14ac:dyDescent="0.2">
      <c r="L132">
        <v>693.82293900000002</v>
      </c>
      <c r="M132">
        <v>-22618.121294</v>
      </c>
      <c r="N132">
        <v>66315.827294000002</v>
      </c>
      <c r="O132">
        <v>-0.75007400000000002</v>
      </c>
      <c r="P132">
        <v>29.190560000000001</v>
      </c>
      <c r="Q132">
        <v>174.58871199999999</v>
      </c>
      <c r="R132">
        <v>13.012445</v>
      </c>
      <c r="S132">
        <v>1038</v>
      </c>
      <c r="T132">
        <v>2770</v>
      </c>
      <c r="U132">
        <f>T132/(T132+S132)</f>
        <v>0.72741596638655459</v>
      </c>
      <c r="V132">
        <f>-4.0083-2.6747*U132</f>
        <v>-5.9539194852941177</v>
      </c>
      <c r="W132">
        <f>M132-(SUM(S132:T132)*V132)</f>
        <v>54.404105999998137</v>
      </c>
      <c r="X132">
        <f>W132/(2*P132*R132)</f>
        <v>7.1614398549945446E-2</v>
      </c>
      <c r="Y132">
        <f>X132*16.02</f>
        <v>1.1472626647701261</v>
      </c>
    </row>
    <row r="133" spans="10:25" x14ac:dyDescent="0.2">
      <c r="L133">
        <v>693.75588300000004</v>
      </c>
      <c r="M133">
        <v>-22555.373265999999</v>
      </c>
      <c r="N133">
        <v>66374.713128000003</v>
      </c>
      <c r="O133">
        <v>-0.82584500000000005</v>
      </c>
      <c r="P133">
        <v>29.223621999999999</v>
      </c>
      <c r="Q133">
        <v>174.52480700000001</v>
      </c>
      <c r="R133">
        <v>13.014028</v>
      </c>
      <c r="S133">
        <v>1060</v>
      </c>
      <c r="T133">
        <v>2748</v>
      </c>
      <c r="U133">
        <f>T133/(T133+S133)</f>
        <v>0.72163865546218486</v>
      </c>
      <c r="V133">
        <f>-4.0083-2.6747*U133</f>
        <v>-5.9384669117647064</v>
      </c>
      <c r="W133">
        <f>M133-(SUM(S133:T133)*V133)</f>
        <v>58.308734000002005</v>
      </c>
      <c r="X133">
        <f>W133/(2*P133*R133)</f>
        <v>7.6658062404029614E-2</v>
      </c>
      <c r="Y133">
        <f>X133*16.02</f>
        <v>1.2280621597125543</v>
      </c>
    </row>
    <row r="134" spans="10:25" x14ac:dyDescent="0.2">
      <c r="Y134" s="1">
        <f>AVERAGE(Y129:Y133)</f>
        <v>1.1602871273920983</v>
      </c>
    </row>
    <row r="135" spans="10:25" x14ac:dyDescent="0.2">
      <c r="J135" t="s">
        <v>173</v>
      </c>
      <c r="K135">
        <v>100000</v>
      </c>
      <c r="L135">
        <v>743.89364499999999</v>
      </c>
      <c r="M135">
        <v>-38130.816460000002</v>
      </c>
      <c r="N135">
        <v>113621.06692</v>
      </c>
      <c r="O135">
        <v>-0.54952900000000005</v>
      </c>
      <c r="P135">
        <v>38.176304999999999</v>
      </c>
      <c r="Q135">
        <v>228.18773300000001</v>
      </c>
      <c r="R135">
        <v>13.042859999999999</v>
      </c>
      <c r="S135">
        <v>1926</v>
      </c>
      <c r="T135">
        <v>4562</v>
      </c>
      <c r="U135">
        <f>T135/(T135+S135)</f>
        <v>0.70314426633785454</v>
      </c>
      <c r="V135">
        <f>-4.0083-2.6747*U135</f>
        <v>-5.8889999691738595</v>
      </c>
      <c r="W135">
        <f>M135-(SUM(S135:T135)*V135)</f>
        <v>77.015339999998105</v>
      </c>
      <c r="X135">
        <f>W135/(2*P135*R135)</f>
        <v>7.733578835107352E-2</v>
      </c>
      <c r="Y135">
        <f>X135*16.02</f>
        <v>1.2389193293841978</v>
      </c>
    </row>
    <row r="136" spans="10:25" x14ac:dyDescent="0.2">
      <c r="K136">
        <v>100000</v>
      </c>
      <c r="L136">
        <v>743.61194699999999</v>
      </c>
      <c r="M136">
        <v>-38284.128687999997</v>
      </c>
      <c r="N136">
        <v>113327.070401</v>
      </c>
      <c r="O136">
        <v>-0.59475500000000003</v>
      </c>
      <c r="P136">
        <v>38.107284999999997</v>
      </c>
      <c r="Q136">
        <v>228.058865</v>
      </c>
      <c r="R136">
        <v>13.040037999999999</v>
      </c>
      <c r="S136">
        <v>1865</v>
      </c>
      <c r="T136">
        <v>4623</v>
      </c>
      <c r="U136">
        <f>T136/(T136+S136)</f>
        <v>0.71254623921085081</v>
      </c>
      <c r="V136">
        <f>-4.0083-2.6747*U136</f>
        <v>-5.9141474260172631</v>
      </c>
      <c r="W136">
        <f>M136-(SUM(S136:T136)*V136)</f>
        <v>86.859812000002421</v>
      </c>
      <c r="X136">
        <f>W136/(2*P136*R136)</f>
        <v>8.7398106644063084E-2</v>
      </c>
      <c r="Y136">
        <f>X136*16.02</f>
        <v>1.4001176684378907</v>
      </c>
    </row>
    <row r="137" spans="10:25" x14ac:dyDescent="0.2">
      <c r="K137">
        <v>100000</v>
      </c>
      <c r="L137">
        <v>743.69846600000005</v>
      </c>
      <c r="M137">
        <v>-38213.178453</v>
      </c>
      <c r="N137">
        <v>113467.02762199999</v>
      </c>
      <c r="O137">
        <v>-0.60530200000000001</v>
      </c>
      <c r="P137">
        <v>38.136516</v>
      </c>
      <c r="Q137">
        <v>228.08592899999999</v>
      </c>
      <c r="R137">
        <v>13.044587</v>
      </c>
      <c r="S137">
        <v>1896</v>
      </c>
      <c r="T137">
        <v>4592</v>
      </c>
      <c r="U137">
        <f>T137/(T137+S137)</f>
        <v>0.70776818742293468</v>
      </c>
      <c r="V137">
        <f>-4.0083-2.6747*U137</f>
        <v>-5.9013675709001241</v>
      </c>
      <c r="W137">
        <f>M137-(SUM(S137:T137)*V137)</f>
        <v>74.894347000001289</v>
      </c>
      <c r="X137">
        <f>W137/(2*P137*R137)</f>
        <v>7.527446788161557E-2</v>
      </c>
      <c r="Y137">
        <f>X137*16.02</f>
        <v>1.2058969754634814</v>
      </c>
    </row>
    <row r="138" spans="10:25" x14ac:dyDescent="0.2">
      <c r="K138">
        <v>100000</v>
      </c>
      <c r="L138">
        <v>743.85249499999998</v>
      </c>
      <c r="M138">
        <v>-38208.100035000003</v>
      </c>
      <c r="N138">
        <v>113490.423117</v>
      </c>
      <c r="O138">
        <v>-0.59269799999999995</v>
      </c>
      <c r="P138">
        <v>38.152934999999999</v>
      </c>
      <c r="Q138">
        <v>228.25608600000001</v>
      </c>
      <c r="R138">
        <v>13.031940000000001</v>
      </c>
      <c r="S138">
        <v>1897</v>
      </c>
      <c r="T138">
        <v>4591</v>
      </c>
      <c r="U138">
        <f>T138/(T138+S138)</f>
        <v>0.70761405672009869</v>
      </c>
      <c r="V138">
        <f>-4.0083-2.6747*U138</f>
        <v>-5.900955317509248</v>
      </c>
      <c r="W138">
        <f>M138-(SUM(S138:T138)*V138)</f>
        <v>77.298064999995404</v>
      </c>
      <c r="X138">
        <f>W138/(2*P138*R138)</f>
        <v>7.7732315063264515E-2</v>
      </c>
      <c r="Y138">
        <f>X138*16.02</f>
        <v>1.2452716873134975</v>
      </c>
    </row>
    <row r="139" spans="10:25" x14ac:dyDescent="0.2">
      <c r="K139">
        <v>100000</v>
      </c>
      <c r="L139">
        <v>743.64159099999995</v>
      </c>
      <c r="M139">
        <v>-38183.513005000001</v>
      </c>
      <c r="N139">
        <v>113547.448625</v>
      </c>
      <c r="O139">
        <v>-0.49491000000000002</v>
      </c>
      <c r="P139">
        <v>38.143504999999998</v>
      </c>
      <c r="Q139">
        <v>228.24339000000001</v>
      </c>
      <c r="R139">
        <v>13.042436</v>
      </c>
      <c r="S139">
        <v>1904</v>
      </c>
      <c r="T139">
        <v>4584</v>
      </c>
      <c r="U139">
        <f>T139/(T139+S139)</f>
        <v>0.70653514180024657</v>
      </c>
      <c r="V139">
        <f>-4.0083-2.6747*U139</f>
        <v>-5.8980695437731194</v>
      </c>
      <c r="W139">
        <f>M139-(SUM(S139:T139)*V139)</f>
        <v>83.162194999997155</v>
      </c>
      <c r="X139">
        <f>W139/(2*P139*R139)</f>
        <v>8.3582746137738126E-2</v>
      </c>
      <c r="Y139">
        <f>X139*16.02</f>
        <v>1.3389955931265647</v>
      </c>
    </row>
    <row r="140" spans="10:25" x14ac:dyDescent="0.2">
      <c r="Y140" s="1">
        <f>AVERAGE(Y135:Y139)</f>
        <v>1.2858402507451263</v>
      </c>
    </row>
    <row r="141" spans="10:25" x14ac:dyDescent="0.2">
      <c r="J141" t="s">
        <v>174</v>
      </c>
      <c r="K141">
        <v>100000</v>
      </c>
      <c r="L141">
        <v>743.62835299999995</v>
      </c>
      <c r="M141">
        <v>-19309.819240000001</v>
      </c>
      <c r="N141">
        <v>57831.357895000001</v>
      </c>
      <c r="O141">
        <v>-1.085753</v>
      </c>
      <c r="P141">
        <v>23.602862999999999</v>
      </c>
      <c r="Q141">
        <v>187.709384</v>
      </c>
      <c r="R141">
        <v>13.053081000000001</v>
      </c>
      <c r="S141">
        <v>1001</v>
      </c>
      <c r="T141">
        <v>2295</v>
      </c>
      <c r="U141">
        <f>T141/(T141+S141)</f>
        <v>0.69629854368932043</v>
      </c>
      <c r="V141">
        <f>-4.0083-2.6747*U141</f>
        <v>-5.8706897148058257</v>
      </c>
      <c r="W141">
        <f>M141-(SUM(S141:T141)*V141)</f>
        <v>39.974060000000463</v>
      </c>
      <c r="X141">
        <f>W141/(2*P141*R141)</f>
        <v>6.4873980470956813E-2</v>
      </c>
      <c r="Y141">
        <f>X141*16.02</f>
        <v>1.0392811671447282</v>
      </c>
    </row>
    <row r="142" spans="10:25" x14ac:dyDescent="0.2">
      <c r="K142">
        <v>100000</v>
      </c>
      <c r="L142">
        <v>743.87167699999998</v>
      </c>
      <c r="M142">
        <v>-19443.602621000002</v>
      </c>
      <c r="N142">
        <v>57604.479798</v>
      </c>
      <c r="O142">
        <v>-0.98368599999999995</v>
      </c>
      <c r="P142">
        <v>23.583476000000001</v>
      </c>
      <c r="Q142">
        <v>187.37922399999999</v>
      </c>
      <c r="R142">
        <v>13.035488000000001</v>
      </c>
      <c r="S142">
        <v>950</v>
      </c>
      <c r="T142">
        <v>2346</v>
      </c>
      <c r="U142">
        <f>T142/(T142+S142)</f>
        <v>0.71177184466019416</v>
      </c>
      <c r="V142">
        <f>-4.0083-2.6747*U142</f>
        <v>-5.912076152912622</v>
      </c>
      <c r="W142">
        <f>M142-(SUM(S142:T142)*V142)</f>
        <v>42.600378999999521</v>
      </c>
      <c r="X142">
        <f>W142/(2*P142*R142)</f>
        <v>6.9286457367203375E-2</v>
      </c>
      <c r="Y142">
        <f>X142*16.02</f>
        <v>1.109969047022598</v>
      </c>
    </row>
    <row r="143" spans="10:25" x14ac:dyDescent="0.2">
      <c r="K143">
        <v>100000</v>
      </c>
      <c r="L143">
        <v>743.74640599999998</v>
      </c>
      <c r="M143">
        <v>-19357.985701000001</v>
      </c>
      <c r="N143">
        <v>57735.835830999997</v>
      </c>
      <c r="O143">
        <v>-1.0948830000000001</v>
      </c>
      <c r="P143">
        <v>23.599961</v>
      </c>
      <c r="Q143">
        <v>187.66019600000001</v>
      </c>
      <c r="R143">
        <v>13.036538999999999</v>
      </c>
      <c r="S143">
        <v>982</v>
      </c>
      <c r="T143">
        <v>2314</v>
      </c>
      <c r="U143">
        <f>T143/(T143+S143)</f>
        <v>0.7020631067961165</v>
      </c>
      <c r="V143">
        <f>-4.0083-2.6747*U143</f>
        <v>-5.8861081917475726</v>
      </c>
      <c r="W143">
        <f>M143-(SUM(S143:T143)*V143)</f>
        <v>42.626898999998957</v>
      </c>
      <c r="X143">
        <f>W143/(2*P143*R143)</f>
        <v>6.9275576852329088E-2</v>
      </c>
      <c r="Y143">
        <f>X143*16.02</f>
        <v>1.1097947411743119</v>
      </c>
    </row>
    <row r="144" spans="10:25" x14ac:dyDescent="0.2">
      <c r="K144">
        <v>100000</v>
      </c>
      <c r="L144">
        <v>743.76271799999995</v>
      </c>
      <c r="M144">
        <v>-19274.584198</v>
      </c>
      <c r="N144">
        <v>57882.487669000002</v>
      </c>
      <c r="O144">
        <v>-1.0565580000000001</v>
      </c>
      <c r="P144">
        <v>23.628226999999999</v>
      </c>
      <c r="Q144">
        <v>187.701616</v>
      </c>
      <c r="R144">
        <v>13.051138</v>
      </c>
      <c r="S144">
        <v>1014</v>
      </c>
      <c r="T144">
        <v>2282</v>
      </c>
      <c r="U144">
        <f>T144/(T144+S144)</f>
        <v>0.69235436893203883</v>
      </c>
      <c r="V144">
        <f>-4.0083-2.6747*U144</f>
        <v>-5.860140230582525</v>
      </c>
      <c r="W144">
        <f>M144-(SUM(S144:T144)*V144)</f>
        <v>40.438002000002598</v>
      </c>
      <c r="X144">
        <f>W144/(2*P144*R144)</f>
        <v>6.556622464539448E-2</v>
      </c>
      <c r="Y144">
        <f>X144*16.02</f>
        <v>1.0503709188192196</v>
      </c>
    </row>
    <row r="145" spans="10:33" x14ac:dyDescent="0.2">
      <c r="K145">
        <v>100000</v>
      </c>
      <c r="L145">
        <v>743.85384299999998</v>
      </c>
      <c r="M145">
        <v>-19370.510741999999</v>
      </c>
      <c r="N145">
        <v>57719.448082000003</v>
      </c>
      <c r="O145">
        <v>-0.97290399999999999</v>
      </c>
      <c r="P145">
        <v>23.586604000000001</v>
      </c>
      <c r="Q145">
        <v>187.607291</v>
      </c>
      <c r="R145">
        <v>13.043896</v>
      </c>
      <c r="S145">
        <v>980</v>
      </c>
      <c r="T145">
        <v>2316</v>
      </c>
      <c r="U145">
        <f>T145/(T145+S145)</f>
        <v>0.70266990291262132</v>
      </c>
      <c r="V145">
        <f>-4.0083-2.6747*U145</f>
        <v>-5.8877311893203883</v>
      </c>
      <c r="W145">
        <f>M145-(SUM(S145:T145)*V145)</f>
        <v>35.451258000000962</v>
      </c>
      <c r="X145">
        <f>W145/(2*P145*R145)</f>
        <v>5.7614117245464794E-2</v>
      </c>
      <c r="Y145">
        <f>X145*16.02</f>
        <v>0.92297815827234597</v>
      </c>
    </row>
    <row r="146" spans="10:33" x14ac:dyDescent="0.2">
      <c r="Y146" s="1">
        <f>AVERAGE(Y141:Y145)</f>
        <v>1.0464788064866408</v>
      </c>
    </row>
    <row r="147" spans="10:33" x14ac:dyDescent="0.2">
      <c r="J147" t="s">
        <v>175</v>
      </c>
      <c r="K147">
        <v>100000</v>
      </c>
      <c r="L147">
        <v>743.55945999999994</v>
      </c>
      <c r="M147">
        <v>-28107.848985000001</v>
      </c>
      <c r="N147">
        <v>82907.168128999998</v>
      </c>
      <c r="O147">
        <v>-0.54364800000000002</v>
      </c>
      <c r="P147">
        <v>32.694926000000002</v>
      </c>
      <c r="Q147">
        <v>194.684898</v>
      </c>
      <c r="R147">
        <v>13.025057</v>
      </c>
      <c r="S147">
        <v>1347</v>
      </c>
      <c r="T147">
        <v>3405</v>
      </c>
      <c r="U147">
        <f>T147/(T147+S147)</f>
        <v>0.71654040404040409</v>
      </c>
      <c r="V147">
        <f>-4.0083-2.6747*U147</f>
        <v>-5.9248306186868689</v>
      </c>
      <c r="W147">
        <f>M147-(SUM(S147:T147)*V147)</f>
        <v>46.946114999998827</v>
      </c>
      <c r="X147">
        <f>W147/(2*P147*R147)</f>
        <v>5.5120058694359278E-2</v>
      </c>
      <c r="Y147">
        <f>X147*16.02</f>
        <v>0.8830233402836356</v>
      </c>
    </row>
    <row r="148" spans="10:33" x14ac:dyDescent="0.2">
      <c r="K148">
        <v>100000</v>
      </c>
      <c r="L148">
        <v>743.61087099999997</v>
      </c>
      <c r="M148">
        <v>-27852.088333</v>
      </c>
      <c r="N148">
        <v>83308.600261</v>
      </c>
      <c r="O148">
        <v>-0.62413399999999997</v>
      </c>
      <c r="P148">
        <v>32.743392999999998</v>
      </c>
      <c r="Q148">
        <v>194.99284700000001</v>
      </c>
      <c r="R148">
        <v>13.048112</v>
      </c>
      <c r="S148">
        <v>1441</v>
      </c>
      <c r="T148">
        <v>3311</v>
      </c>
      <c r="U148">
        <f>T148/(T148+S148)</f>
        <v>0.6967592592592593</v>
      </c>
      <c r="V148">
        <f>-4.0083-2.6747*U148</f>
        <v>-5.8719219907407414</v>
      </c>
      <c r="W148">
        <f>M148-(SUM(S148:T148)*V148)</f>
        <v>51.284967000003235</v>
      </c>
      <c r="X148">
        <f>W148/(2*P148*R148)</f>
        <v>6.0018996261668574E-2</v>
      </c>
      <c r="Y148">
        <f>X148*16.02</f>
        <v>0.96150432011193054</v>
      </c>
    </row>
    <row r="149" spans="10:33" x14ac:dyDescent="0.2">
      <c r="K149">
        <v>100000</v>
      </c>
      <c r="L149">
        <v>743.65237000000002</v>
      </c>
      <c r="M149">
        <v>-27916.092935000001</v>
      </c>
      <c r="N149">
        <v>83236.019276999999</v>
      </c>
      <c r="O149">
        <v>-0.68628599999999995</v>
      </c>
      <c r="P149">
        <v>32.762880000000003</v>
      </c>
      <c r="Q149">
        <v>194.76635099999999</v>
      </c>
      <c r="R149">
        <v>13.044142000000001</v>
      </c>
      <c r="S149">
        <v>1416</v>
      </c>
      <c r="T149">
        <v>3336</v>
      </c>
      <c r="U149">
        <f>T149/(T149+S149)</f>
        <v>0.70202020202020199</v>
      </c>
      <c r="V149">
        <f>-4.0083-2.6747*U149</f>
        <v>-5.885993434343435</v>
      </c>
      <c r="W149">
        <f>M149-(SUM(S149:T149)*V149)</f>
        <v>54.147865000002639</v>
      </c>
      <c r="X149">
        <f>W149/(2*P149*R149)</f>
        <v>6.335104056402617E-2</v>
      </c>
      <c r="Y149">
        <f>X149*16.02</f>
        <v>1.0148836698356993</v>
      </c>
    </row>
    <row r="150" spans="10:33" x14ac:dyDescent="0.2">
      <c r="K150">
        <v>100000</v>
      </c>
      <c r="L150">
        <v>743.81232999999997</v>
      </c>
      <c r="M150">
        <v>-28031.764253000001</v>
      </c>
      <c r="N150">
        <v>83028.066269000003</v>
      </c>
      <c r="O150">
        <v>-0.87708799999999998</v>
      </c>
      <c r="P150">
        <v>32.693342999999999</v>
      </c>
      <c r="Q150">
        <v>194.876182</v>
      </c>
      <c r="R150">
        <v>13.031879</v>
      </c>
      <c r="S150">
        <v>1376</v>
      </c>
      <c r="T150">
        <v>3376</v>
      </c>
      <c r="U150">
        <f>T150/(T150+S150)</f>
        <v>0.71043771043771042</v>
      </c>
      <c r="V150">
        <f>-4.0083-2.6747*U150</f>
        <v>-5.9085077441077445</v>
      </c>
      <c r="W150">
        <f>M150-(SUM(S150:T150)*V150)</f>
        <v>45.464546999999584</v>
      </c>
      <c r="X150">
        <f>W150/(2*P150*R150)</f>
        <v>5.3355169357441293E-2</v>
      </c>
      <c r="Y150">
        <f>X150*16.02</f>
        <v>0.85474981310620946</v>
      </c>
    </row>
    <row r="151" spans="10:33" x14ac:dyDescent="0.2">
      <c r="K151">
        <v>100000</v>
      </c>
      <c r="L151">
        <v>743.78001099999994</v>
      </c>
      <c r="M151">
        <v>-28064.099735</v>
      </c>
      <c r="N151">
        <v>82960.806872000001</v>
      </c>
      <c r="O151">
        <v>-0.87338899999999997</v>
      </c>
      <c r="P151">
        <v>32.687685999999999</v>
      </c>
      <c r="Q151">
        <v>194.75310899999999</v>
      </c>
      <c r="R151">
        <v>13.031806</v>
      </c>
      <c r="S151">
        <v>1362</v>
      </c>
      <c r="T151">
        <v>3390</v>
      </c>
      <c r="U151">
        <f>T151/(T151+S151)</f>
        <v>0.71338383838383834</v>
      </c>
      <c r="V151">
        <f>-4.0083-2.6747*U151</f>
        <v>-5.9163877525252531</v>
      </c>
      <c r="W151">
        <f>M151-(SUM(S151:T151)*V151)</f>
        <v>50.574865000002319</v>
      </c>
      <c r="X151">
        <f>W151/(2*P151*R151)</f>
        <v>5.9363015356662691E-2</v>
      </c>
      <c r="Y151">
        <f>X151*16.02</f>
        <v>0.95099550601373628</v>
      </c>
    </row>
    <row r="152" spans="10:33" x14ac:dyDescent="0.2">
      <c r="Y152" s="1">
        <f>AVERAGE(Y147:Y151)</f>
        <v>0.93303132987024218</v>
      </c>
    </row>
    <row r="153" spans="10:33" x14ac:dyDescent="0.2">
      <c r="J153" t="s">
        <v>111</v>
      </c>
      <c r="L153">
        <v>693.92517499999997</v>
      </c>
      <c r="M153">
        <v>-22661.776365000002</v>
      </c>
      <c r="N153">
        <v>66573.129327999995</v>
      </c>
      <c r="O153">
        <v>-0.77519800000000005</v>
      </c>
      <c r="P153">
        <v>29.286345000000001</v>
      </c>
      <c r="Q153">
        <v>174.68961200000001</v>
      </c>
      <c r="R153">
        <v>13.012689</v>
      </c>
      <c r="S153">
        <v>1054</v>
      </c>
      <c r="T153">
        <v>2768</v>
      </c>
      <c r="U153">
        <f>T153/(T153+S153)</f>
        <v>0.72422815279958141</v>
      </c>
      <c r="V153">
        <f>-4.0083-2.6747*U153</f>
        <v>-5.9453930402930411</v>
      </c>
      <c r="W153">
        <f>M153-(SUM(S153:T153)*V153)</f>
        <v>61.515835000001971</v>
      </c>
      <c r="X153">
        <f>W153/(2*P153*R153)</f>
        <v>8.0709508611830502E-2</v>
      </c>
      <c r="Y153">
        <f>X153*16.02</f>
        <v>1.2929663279615247</v>
      </c>
    </row>
    <row r="154" spans="10:33" x14ac:dyDescent="0.2">
      <c r="L154">
        <v>693.82923000000005</v>
      </c>
      <c r="M154">
        <v>-22712.103449999999</v>
      </c>
      <c r="N154">
        <v>66505.304350999999</v>
      </c>
      <c r="O154">
        <v>-0.86420699999999995</v>
      </c>
      <c r="P154">
        <v>29.291212000000002</v>
      </c>
      <c r="Q154">
        <v>174.58766399999999</v>
      </c>
      <c r="R154">
        <v>13.004860000000001</v>
      </c>
      <c r="S154">
        <v>1037</v>
      </c>
      <c r="T154">
        <v>2785</v>
      </c>
      <c r="U154">
        <f>T154/(T154+S154)</f>
        <v>0.72867608581894294</v>
      </c>
      <c r="V154">
        <f>-4.0083-2.6747*U154</f>
        <v>-5.9572899267399269</v>
      </c>
      <c r="W154">
        <f>M154-(SUM(S154:T154)*V154)</f>
        <v>56.658650000001217</v>
      </c>
      <c r="X154">
        <f>W154/(2*P154*R154)</f>
        <v>7.4369216028821072E-2</v>
      </c>
      <c r="Y154">
        <f>X154*16.02</f>
        <v>1.1913948407817136</v>
      </c>
      <c r="AD154" t="s">
        <v>153</v>
      </c>
    </row>
    <row r="155" spans="10:33" x14ac:dyDescent="0.2">
      <c r="L155">
        <v>693.798991</v>
      </c>
      <c r="M155">
        <v>-22654.380351</v>
      </c>
      <c r="N155">
        <v>66636.954486000002</v>
      </c>
      <c r="O155">
        <v>-0.67100599999999999</v>
      </c>
      <c r="P155">
        <v>29.292508999999999</v>
      </c>
      <c r="Q155">
        <v>174.74723399999999</v>
      </c>
      <c r="R155">
        <v>13.018129</v>
      </c>
      <c r="S155">
        <v>1061</v>
      </c>
      <c r="T155">
        <v>2762</v>
      </c>
      <c r="U155">
        <f>T155/(T155+S155)</f>
        <v>0.7224692649751504</v>
      </c>
      <c r="V155">
        <f>-4.0083-2.6747*U155</f>
        <v>-5.9406885430290348</v>
      </c>
      <c r="W155">
        <f>M155-(SUM(S155:T155)*V155)</f>
        <v>56.871949000000313</v>
      </c>
      <c r="X155">
        <f>W155/(2*P155*R155)</f>
        <v>7.4569799144431403E-2</v>
      </c>
      <c r="Y155">
        <f>X155*16.02</f>
        <v>1.1946081822937911</v>
      </c>
      <c r="AD155">
        <v>600</v>
      </c>
      <c r="AE155">
        <v>800</v>
      </c>
      <c r="AF155">
        <v>1000</v>
      </c>
      <c r="AG155">
        <v>1200</v>
      </c>
    </row>
    <row r="156" spans="10:33" x14ac:dyDescent="0.2">
      <c r="L156">
        <v>693.84642899999994</v>
      </c>
      <c r="M156">
        <v>-22681.673280999999</v>
      </c>
      <c r="N156">
        <v>66577.646210999999</v>
      </c>
      <c r="O156">
        <v>-0.76761800000000002</v>
      </c>
      <c r="P156">
        <v>29.298783</v>
      </c>
      <c r="Q156">
        <v>174.654912</v>
      </c>
      <c r="R156">
        <v>13.010631</v>
      </c>
      <c r="S156">
        <v>1051</v>
      </c>
      <c r="T156">
        <v>2771</v>
      </c>
      <c r="U156">
        <f>T156/(T156+S156)</f>
        <v>0.72501308215593929</v>
      </c>
      <c r="V156">
        <f>-4.0083-2.6747*U156</f>
        <v>-5.9474924908424907</v>
      </c>
      <c r="W156">
        <f>M156-(SUM(S156:T156)*V156)</f>
        <v>49.643018999999185</v>
      </c>
      <c r="X156">
        <f>W156/(2*P156*R156)</f>
        <v>6.5114880550089516E-2</v>
      </c>
      <c r="Y156">
        <f>X156*16.02</f>
        <v>1.043140386412434</v>
      </c>
      <c r="AC156" s="41" t="s">
        <v>143</v>
      </c>
      <c r="AD156" s="20">
        <v>2.9938584530204047</v>
      </c>
      <c r="AE156" s="20">
        <v>3.052895776130605</v>
      </c>
      <c r="AF156" s="20">
        <v>3.0859244093442877</v>
      </c>
      <c r="AG156" s="20">
        <v>3.1174646438443969</v>
      </c>
    </row>
    <row r="157" spans="10:33" x14ac:dyDescent="0.2">
      <c r="L157">
        <v>693.71430399999997</v>
      </c>
      <c r="M157">
        <v>-22633.382554</v>
      </c>
      <c r="N157">
        <v>66695.548083000001</v>
      </c>
      <c r="O157">
        <v>-0.72435099999999997</v>
      </c>
      <c r="P157">
        <v>29.331689000000001</v>
      </c>
      <c r="Q157">
        <v>174.65658099999999</v>
      </c>
      <c r="R157">
        <v>13.018926</v>
      </c>
      <c r="S157">
        <v>1066</v>
      </c>
      <c r="T157">
        <v>2757</v>
      </c>
      <c r="U157">
        <f>T157/(T157+S157)</f>
        <v>0.72116139157729531</v>
      </c>
      <c r="V157">
        <f>-4.0083-2.6747*U157</f>
        <v>-5.9371903740517915</v>
      </c>
      <c r="W157">
        <f>M157-(SUM(S157:T157)*V157)</f>
        <v>64.496245999998791</v>
      </c>
      <c r="X157">
        <f>W157/(2*P157*R157)</f>
        <v>8.4448552827075002E-2</v>
      </c>
      <c r="Y157">
        <f>X157*16.02</f>
        <v>1.3528658162897416</v>
      </c>
      <c r="AC157" s="41" t="s">
        <v>142</v>
      </c>
      <c r="AD157" s="20">
        <v>3.0680518516991149</v>
      </c>
      <c r="AE157" s="20">
        <v>3.0441192700329642</v>
      </c>
      <c r="AF157" s="20">
        <v>3.0890706771241048</v>
      </c>
      <c r="AG157" s="20">
        <v>3.1312545974361492</v>
      </c>
    </row>
    <row r="158" spans="10:33" x14ac:dyDescent="0.2">
      <c r="Y158" s="1">
        <f>AVERAGE(Y153:Y157)</f>
        <v>1.2149951107478407</v>
      </c>
      <c r="AC158" s="41" t="s">
        <v>141</v>
      </c>
      <c r="AD158" s="20">
        <v>3.1422807058350637</v>
      </c>
      <c r="AE158" s="20">
        <v>3.1191318614746542</v>
      </c>
      <c r="AF158" s="20">
        <v>3.1571264383865141</v>
      </c>
      <c r="AG158" s="20">
        <v>3.1966951874019349</v>
      </c>
    </row>
    <row r="159" spans="10:33" x14ac:dyDescent="0.2">
      <c r="Y159" s="1"/>
      <c r="AC159" s="41" t="s">
        <v>140</v>
      </c>
      <c r="AD159" s="20">
        <v>3.048623591829398</v>
      </c>
      <c r="AE159" s="20">
        <v>3.0715700047266425</v>
      </c>
      <c r="AF159" s="20">
        <v>3.1187381203570483</v>
      </c>
      <c r="AG159" s="20">
        <v>3.1284087130017122</v>
      </c>
    </row>
    <row r="160" spans="10:33" x14ac:dyDescent="0.2">
      <c r="J160">
        <v>1000</v>
      </c>
      <c r="L160" t="s">
        <v>18</v>
      </c>
      <c r="M160" t="s">
        <v>5</v>
      </c>
      <c r="N160" t="s">
        <v>7</v>
      </c>
      <c r="O160" t="s">
        <v>19</v>
      </c>
      <c r="P160" t="s">
        <v>20</v>
      </c>
      <c r="Q160" t="s">
        <v>21</v>
      </c>
      <c r="R160" t="s">
        <v>22</v>
      </c>
      <c r="S160" t="s">
        <v>4</v>
      </c>
      <c r="T160" t="s">
        <v>10</v>
      </c>
      <c r="U160" t="s">
        <v>13</v>
      </c>
      <c r="V160" t="s">
        <v>26</v>
      </c>
      <c r="W160" t="s">
        <v>12</v>
      </c>
      <c r="X160" t="s">
        <v>23</v>
      </c>
      <c r="Y160" t="s">
        <v>23</v>
      </c>
      <c r="AC160" s="41">
        <v>100</v>
      </c>
      <c r="AD160" s="20">
        <v>2.9634284532986883</v>
      </c>
      <c r="AE160" s="20">
        <v>3.0183307497425593</v>
      </c>
      <c r="AF160" s="20">
        <v>3.0618191260036034</v>
      </c>
      <c r="AG160" s="20">
        <v>3.1282529798349499</v>
      </c>
    </row>
    <row r="161" spans="10:33" x14ac:dyDescent="0.2">
      <c r="J161" t="s">
        <v>55</v>
      </c>
      <c r="L161">
        <v>867.29495999999995</v>
      </c>
      <c r="M161">
        <v>-23075.080991999999</v>
      </c>
      <c r="N161">
        <v>68298.719769000003</v>
      </c>
      <c r="O161">
        <v>-1.014526</v>
      </c>
      <c r="P161">
        <v>29.655386</v>
      </c>
      <c r="Q161">
        <v>176.619417</v>
      </c>
      <c r="R161">
        <v>13.039802999999999</v>
      </c>
      <c r="S161">
        <v>1068</v>
      </c>
      <c r="T161">
        <v>2836</v>
      </c>
      <c r="U161">
        <f>T161/(T161+S161)</f>
        <v>0.72643442622950816</v>
      </c>
      <c r="V161">
        <f>-3.9676-2.6902*U161</f>
        <v>-5.9218538934426226</v>
      </c>
      <c r="W161">
        <f>M161-(SUM(S161:T161)*V161)</f>
        <v>43.836607999997796</v>
      </c>
      <c r="X161">
        <f>W161/(2*P161*R161)</f>
        <v>5.6680325366812091E-2</v>
      </c>
      <c r="Y161">
        <f>X161*16.02</f>
        <v>0.90801881237632964</v>
      </c>
      <c r="AC161" s="41">
        <v>110</v>
      </c>
      <c r="AD161" s="20">
        <v>2.7545392989524857</v>
      </c>
      <c r="AE161" s="20">
        <v>2.7536635447989122</v>
      </c>
      <c r="AF161" s="20">
        <v>2.8085258690040242</v>
      </c>
      <c r="AG161" s="20">
        <v>2.8326968752859978</v>
      </c>
    </row>
    <row r="162" spans="10:33" x14ac:dyDescent="0.2">
      <c r="L162">
        <v>867.40767700000004</v>
      </c>
      <c r="M162">
        <v>-23098.263975999998</v>
      </c>
      <c r="N162">
        <v>68284.718126000007</v>
      </c>
      <c r="O162">
        <v>-1.014</v>
      </c>
      <c r="P162">
        <v>29.586701999999999</v>
      </c>
      <c r="Q162">
        <v>176.85406499999999</v>
      </c>
      <c r="R162">
        <v>13.050057000000001</v>
      </c>
      <c r="S162">
        <v>1062</v>
      </c>
      <c r="T162">
        <v>2842</v>
      </c>
      <c r="U162">
        <f>T162/(T162+S162)</f>
        <v>0.72797131147540983</v>
      </c>
      <c r="V162">
        <f>-3.9676-2.6902*U162</f>
        <v>-5.9259884221311472</v>
      </c>
      <c r="W162">
        <f>M162-(SUM(S162:T162)*V162)</f>
        <v>36.794824000000517</v>
      </c>
      <c r="X162">
        <f>W162/(2*P162*R162)</f>
        <v>4.7648339246709005E-2</v>
      </c>
      <c r="Y162">
        <f>X162*16.02</f>
        <v>0.76332639473227826</v>
      </c>
      <c r="AC162" s="41">
        <v>111</v>
      </c>
      <c r="AD162" s="20">
        <v>3.1165321393818495</v>
      </c>
      <c r="AE162" s="20">
        <v>3.059574777645401</v>
      </c>
      <c r="AF162" s="20">
        <v>3.0620906667383392</v>
      </c>
      <c r="AG162" s="20">
        <v>3.0972935448899084</v>
      </c>
    </row>
    <row r="163" spans="10:33" x14ac:dyDescent="0.2">
      <c r="L163">
        <v>867.16308500000002</v>
      </c>
      <c r="M163">
        <v>-23015.455621000001</v>
      </c>
      <c r="N163">
        <v>68386.841235</v>
      </c>
      <c r="O163">
        <v>-1.0706119999999999</v>
      </c>
      <c r="P163">
        <v>29.642709</v>
      </c>
      <c r="Q163">
        <v>176.71166400000001</v>
      </c>
      <c r="R163">
        <v>13.055394</v>
      </c>
      <c r="S163">
        <v>1087</v>
      </c>
      <c r="T163">
        <v>2817</v>
      </c>
      <c r="U163">
        <f>T163/(T163+S163)</f>
        <v>0.72156762295081966</v>
      </c>
      <c r="V163">
        <f>-3.9676-2.6902*U163</f>
        <v>-5.9087612192622947</v>
      </c>
      <c r="W163">
        <f>M163-(SUM(S163:T163)*V163)</f>
        <v>52.34817899999689</v>
      </c>
      <c r="X163">
        <f>W163/(2*P163*R163)</f>
        <v>6.7633787638359907E-2</v>
      </c>
      <c r="Y163">
        <f>X163*16.02</f>
        <v>1.0834932779665256</v>
      </c>
    </row>
    <row r="164" spans="10:33" x14ac:dyDescent="0.2">
      <c r="L164">
        <v>867.153683</v>
      </c>
      <c r="M164">
        <v>-23079.027467</v>
      </c>
      <c r="N164">
        <v>68309.454457</v>
      </c>
      <c r="O164">
        <v>-1.0093909999999999</v>
      </c>
      <c r="P164">
        <v>29.602008000000001</v>
      </c>
      <c r="Q164">
        <v>176.788882</v>
      </c>
      <c r="R164">
        <v>13.052845</v>
      </c>
      <c r="S164">
        <v>1065</v>
      </c>
      <c r="T164">
        <v>2839</v>
      </c>
      <c r="U164">
        <f>T164/(T164+S164)</f>
        <v>0.72720286885245899</v>
      </c>
      <c r="V164">
        <f>-3.9676-2.6902*U164</f>
        <v>-5.9239211577868849</v>
      </c>
      <c r="W164">
        <f>M164-(SUM(S164:T164)*V164)</f>
        <v>47.960732999999891</v>
      </c>
      <c r="X164">
        <f>W164/(2*P164*R164)</f>
        <v>6.2062528281308628E-2</v>
      </c>
      <c r="Y164">
        <f>X164*16.02</f>
        <v>0.99424170306656423</v>
      </c>
    </row>
    <row r="165" spans="10:33" x14ac:dyDescent="0.2">
      <c r="L165">
        <v>867.30841699999996</v>
      </c>
      <c r="M165">
        <v>-23025.740115000001</v>
      </c>
      <c r="N165">
        <v>68409.421931000004</v>
      </c>
      <c r="O165">
        <v>-1.158676</v>
      </c>
      <c r="P165">
        <v>29.647644</v>
      </c>
      <c r="Q165">
        <v>176.838121</v>
      </c>
      <c r="R165">
        <v>13.048195</v>
      </c>
      <c r="S165">
        <v>1085</v>
      </c>
      <c r="T165">
        <v>2819</v>
      </c>
      <c r="U165">
        <f>T165/(T165+S165)</f>
        <v>0.72207991803278693</v>
      </c>
      <c r="V165">
        <f>-3.9676-2.6902*U165</f>
        <v>-5.9101393954918038</v>
      </c>
      <c r="W165">
        <f>M165-(SUM(S165:T165)*V165)</f>
        <v>47.444085000002815</v>
      </c>
      <c r="X165">
        <f>W165/(2*P165*R165)</f>
        <v>6.1321314238314585E-2</v>
      </c>
      <c r="Y165">
        <f>X165*16.02</f>
        <v>0.98236745409779958</v>
      </c>
    </row>
    <row r="166" spans="10:33" x14ac:dyDescent="0.2">
      <c r="Y166" s="1">
        <f>AVERAGE(Y161:Y165)</f>
        <v>0.94628952844789949</v>
      </c>
    </row>
    <row r="167" spans="10:33" x14ac:dyDescent="0.2">
      <c r="J167" t="s">
        <v>133</v>
      </c>
      <c r="K167">
        <v>100000</v>
      </c>
      <c r="L167">
        <v>929.51205700000003</v>
      </c>
      <c r="M167">
        <v>-18544.598969999999</v>
      </c>
      <c r="N167">
        <v>55788.943140000003</v>
      </c>
      <c r="O167">
        <v>-1.6123419999999999</v>
      </c>
      <c r="P167">
        <v>23.191976</v>
      </c>
      <c r="Q167">
        <v>184.07528199999999</v>
      </c>
      <c r="R167">
        <v>13.068194</v>
      </c>
      <c r="S167">
        <v>935</v>
      </c>
      <c r="T167">
        <v>2233</v>
      </c>
      <c r="U167">
        <f>T167/(T167+S167)</f>
        <v>0.70486111111111116</v>
      </c>
      <c r="V167">
        <f>-3.9676-2.6902*U167</f>
        <v>-5.8638173611111117</v>
      </c>
      <c r="W167">
        <f>M167-(SUM(S167:T167)*V167)</f>
        <v>31.97443000000203</v>
      </c>
      <c r="X167">
        <f>W167/(2*P167*R167)</f>
        <v>5.2749638722469565E-2</v>
      </c>
      <c r="Y167">
        <f>X167*16.02</f>
        <v>0.84504921233396235</v>
      </c>
    </row>
    <row r="168" spans="10:33" x14ac:dyDescent="0.2">
      <c r="K168">
        <v>100000</v>
      </c>
      <c r="L168">
        <v>929.59596499999998</v>
      </c>
      <c r="M168">
        <v>-18662.251389000001</v>
      </c>
      <c r="N168">
        <v>55569.347225999998</v>
      </c>
      <c r="O168">
        <v>-1.377985</v>
      </c>
      <c r="P168">
        <v>23.131834000000001</v>
      </c>
      <c r="Q168">
        <v>184.019105</v>
      </c>
      <c r="R168">
        <v>13.054579</v>
      </c>
      <c r="S168">
        <v>891</v>
      </c>
      <c r="T168">
        <v>2277</v>
      </c>
      <c r="U168">
        <f>T168/(T168+S168)</f>
        <v>0.71875</v>
      </c>
      <c r="V168">
        <f>-3.9676-2.6902*U168</f>
        <v>-5.9011812500000005</v>
      </c>
      <c r="W168">
        <f>M168-(SUM(S168:T168)*V168)</f>
        <v>32.690811000000394</v>
      </c>
      <c r="X168">
        <f>W168/(2*P168*R168)</f>
        <v>5.4128097328068364E-2</v>
      </c>
      <c r="Y168">
        <f>X168*16.02</f>
        <v>0.86713211919565514</v>
      </c>
    </row>
    <row r="169" spans="10:33" x14ac:dyDescent="0.2">
      <c r="K169">
        <v>100000</v>
      </c>
      <c r="L169">
        <v>929.46602600000006</v>
      </c>
      <c r="M169">
        <v>-18571.556419</v>
      </c>
      <c r="N169">
        <v>55718.578685</v>
      </c>
      <c r="O169">
        <v>-1.4321919999999999</v>
      </c>
      <c r="P169">
        <v>23.172658999999999</v>
      </c>
      <c r="Q169">
        <v>184.12409299999999</v>
      </c>
      <c r="R169">
        <v>13.059127999999999</v>
      </c>
      <c r="S169">
        <v>922</v>
      </c>
      <c r="T169">
        <v>2246</v>
      </c>
      <c r="U169">
        <f>T169/(T169+S169)</f>
        <v>0.70896464646464652</v>
      </c>
      <c r="V169">
        <f>-3.9676-2.6902*U169</f>
        <v>-5.8748566919191916</v>
      </c>
      <c r="W169">
        <f>M169-(SUM(S169:T169)*V169)</f>
        <v>39.989580999997997</v>
      </c>
      <c r="X169">
        <f>W169/(2*P169*R169)</f>
        <v>6.6073423332583217E-2</v>
      </c>
      <c r="Y169">
        <f>X169*16.02</f>
        <v>1.0584962417879831</v>
      </c>
    </row>
    <row r="170" spans="10:33" x14ac:dyDescent="0.2">
      <c r="K170">
        <v>100000</v>
      </c>
      <c r="L170">
        <v>929.40302599999995</v>
      </c>
      <c r="M170">
        <v>-18575.066355999999</v>
      </c>
      <c r="N170">
        <v>55726.647719000001</v>
      </c>
      <c r="O170">
        <v>-1.475034</v>
      </c>
      <c r="P170">
        <v>23.169788</v>
      </c>
      <c r="Q170">
        <v>184.04333</v>
      </c>
      <c r="R170">
        <v>13.068369000000001</v>
      </c>
      <c r="S170">
        <v>921</v>
      </c>
      <c r="T170">
        <v>2247</v>
      </c>
      <c r="U170">
        <f>T170/(T170+S170)</f>
        <v>0.70928030303030298</v>
      </c>
      <c r="V170">
        <f>-3.9676-2.6902*U170</f>
        <v>-5.8757058712121211</v>
      </c>
      <c r="W170">
        <f>M170-(SUM(S170:T170)*V170)</f>
        <v>39.169844000000012</v>
      </c>
      <c r="X170">
        <f>W170/(2*P170*R170)</f>
        <v>6.4681248973075742E-2</v>
      </c>
      <c r="Y170">
        <f>X170*16.02</f>
        <v>1.0361936085486734</v>
      </c>
    </row>
    <row r="171" spans="10:33" x14ac:dyDescent="0.2">
      <c r="K171">
        <v>100000</v>
      </c>
      <c r="L171">
        <v>929.55958199999998</v>
      </c>
      <c r="M171">
        <v>-18644.598502000001</v>
      </c>
      <c r="N171">
        <v>55586.021078999998</v>
      </c>
      <c r="O171">
        <v>-1.497879</v>
      </c>
      <c r="P171">
        <v>23.161137</v>
      </c>
      <c r="Q171">
        <v>183.83600999999999</v>
      </c>
      <c r="R171">
        <v>13.054964999999999</v>
      </c>
      <c r="S171">
        <v>895</v>
      </c>
      <c r="T171">
        <v>2273</v>
      </c>
      <c r="U171">
        <f>T171/(T171+S171)</f>
        <v>0.7174873737373737</v>
      </c>
      <c r="V171">
        <f>-3.9676-2.6902*U171</f>
        <v>-5.8977845328282825</v>
      </c>
      <c r="W171">
        <f>M171-(SUM(S171:T171)*V171)</f>
        <v>39.582897999996931</v>
      </c>
      <c r="X171">
        <f>W171/(2*P171*R171)</f>
        <v>6.5454875971736756E-2</v>
      </c>
      <c r="Y171">
        <f>X171*16.02</f>
        <v>1.0485871130672229</v>
      </c>
    </row>
    <row r="172" spans="10:33" x14ac:dyDescent="0.2">
      <c r="Y172" s="1">
        <f>AVERAGE(Y167:Y171)</f>
        <v>0.97109165898669936</v>
      </c>
    </row>
    <row r="173" spans="10:33" x14ac:dyDescent="0.2">
      <c r="J173" t="s">
        <v>28</v>
      </c>
      <c r="L173">
        <v>929.91058999999996</v>
      </c>
      <c r="M173">
        <v>-19470.512359</v>
      </c>
      <c r="N173">
        <v>57713.505223</v>
      </c>
      <c r="O173">
        <v>-1.458588</v>
      </c>
      <c r="P173">
        <v>33.396341999999997</v>
      </c>
      <c r="Q173">
        <v>132.780697</v>
      </c>
      <c r="R173">
        <v>13.015001</v>
      </c>
      <c r="S173">
        <v>897</v>
      </c>
      <c r="T173">
        <v>2399</v>
      </c>
      <c r="U173">
        <f>T173/(T173+S173)</f>
        <v>0.72785194174757284</v>
      </c>
      <c r="V173">
        <f>-3.9676-2.6902*U173</f>
        <v>-5.9256672936893207</v>
      </c>
      <c r="W173">
        <f>M173-(SUM(S173:T173)*V173)</f>
        <v>60.487041000000318</v>
      </c>
      <c r="X173">
        <f>W173/(2*P173*R173)</f>
        <v>6.958077123850491E-2</v>
      </c>
      <c r="Y173">
        <f>X173*16.02</f>
        <v>1.1146839552408487</v>
      </c>
    </row>
    <row r="174" spans="10:33" x14ac:dyDescent="0.2">
      <c r="L174">
        <v>929.56996500000002</v>
      </c>
      <c r="M174">
        <v>-19522.168091</v>
      </c>
      <c r="N174">
        <v>57642.507197999999</v>
      </c>
      <c r="O174">
        <v>-1.596822</v>
      </c>
      <c r="P174">
        <v>33.336709999999997</v>
      </c>
      <c r="Q174">
        <v>132.928877</v>
      </c>
      <c r="R174">
        <v>13.007725000000001</v>
      </c>
      <c r="S174">
        <v>878</v>
      </c>
      <c r="T174">
        <v>2418</v>
      </c>
      <c r="U174">
        <f>T174/(T174+S174)</f>
        <v>0.73361650485436891</v>
      </c>
      <c r="V174">
        <f>-3.9676-2.6902*U174</f>
        <v>-5.9411751213592234</v>
      </c>
      <c r="W174">
        <f>M174-(SUM(S174:T174)*V174)</f>
        <v>59.94510900000023</v>
      </c>
      <c r="X174">
        <f>W174/(2*P174*R174)</f>
        <v>6.9119354662941848E-2</v>
      </c>
      <c r="Y174">
        <f>X174*16.02</f>
        <v>1.1072920617003283</v>
      </c>
    </row>
    <row r="175" spans="10:33" x14ac:dyDescent="0.2">
      <c r="L175">
        <v>929.84723099999997</v>
      </c>
      <c r="M175">
        <v>-19441.962686999999</v>
      </c>
      <c r="N175">
        <v>57771.035090999998</v>
      </c>
      <c r="O175">
        <v>-1.3745830000000001</v>
      </c>
      <c r="P175">
        <v>33.403050999999998</v>
      </c>
      <c r="Q175">
        <v>132.77844999999999</v>
      </c>
      <c r="R175">
        <v>13.025577999999999</v>
      </c>
      <c r="S175">
        <v>896</v>
      </c>
      <c r="T175">
        <v>2400</v>
      </c>
      <c r="U175">
        <f>T175/(T175+S175)</f>
        <v>0.72815533980582525</v>
      </c>
      <c r="V175">
        <f>-3.9676-2.6902*U175</f>
        <v>-5.9264834951456313</v>
      </c>
      <c r="W175">
        <f>M175-(SUM(S175:T175)*V175)</f>
        <v>91.726913000002241</v>
      </c>
      <c r="X175">
        <f>W175/(2*P175*R175)</f>
        <v>0.10541044377992488</v>
      </c>
      <c r="Y175">
        <f>X175*16.02</f>
        <v>1.6886753093543965</v>
      </c>
    </row>
    <row r="176" spans="10:33" x14ac:dyDescent="0.2">
      <c r="L176">
        <v>929.74031500000001</v>
      </c>
      <c r="M176">
        <v>-19473.623078000001</v>
      </c>
      <c r="N176">
        <v>57730.803421999997</v>
      </c>
      <c r="O176">
        <v>-1.294932</v>
      </c>
      <c r="P176">
        <v>33.387084000000002</v>
      </c>
      <c r="Q176">
        <v>132.79853800000001</v>
      </c>
      <c r="R176">
        <v>13.020763000000001</v>
      </c>
      <c r="S176">
        <v>896</v>
      </c>
      <c r="T176">
        <v>2400</v>
      </c>
      <c r="U176">
        <f>T176/(T176+S176)</f>
        <v>0.72815533980582525</v>
      </c>
      <c r="V176">
        <f>-3.9676-2.6902*U176</f>
        <v>-5.9264834951456313</v>
      </c>
      <c r="W176">
        <f>M176-(SUM(S176:T176)*V176)</f>
        <v>60.066522000000987</v>
      </c>
      <c r="X176">
        <f>W176/(2*P176*R176)</f>
        <v>6.9085605198460159E-2</v>
      </c>
      <c r="Y176">
        <f>X176*16.02</f>
        <v>1.1067513952793318</v>
      </c>
    </row>
    <row r="177" spans="10:25" x14ac:dyDescent="0.2">
      <c r="L177">
        <v>929.65794500000004</v>
      </c>
      <c r="M177">
        <v>-19388.419910000001</v>
      </c>
      <c r="N177">
        <v>57905.335589000002</v>
      </c>
      <c r="O177">
        <v>-1.4484269999999999</v>
      </c>
      <c r="P177">
        <v>33.393788000000001</v>
      </c>
      <c r="Q177">
        <v>133.004559</v>
      </c>
      <c r="R177">
        <v>13.037281</v>
      </c>
      <c r="S177">
        <v>926</v>
      </c>
      <c r="T177">
        <v>2370</v>
      </c>
      <c r="U177">
        <f>T177/(T177+S177)</f>
        <v>0.71905339805825241</v>
      </c>
      <c r="V177">
        <f>-3.9676-2.6902*U177</f>
        <v>-5.9019974514563103</v>
      </c>
      <c r="W177">
        <f>M177-(SUM(S177:T177)*V177)</f>
        <v>64.563689999999042</v>
      </c>
      <c r="X177">
        <f>W177/(2*P177*R177)</f>
        <v>7.4149057644965335E-2</v>
      </c>
      <c r="Y177">
        <f>X177*16.02</f>
        <v>1.1878679034723447</v>
      </c>
    </row>
    <row r="178" spans="10:25" x14ac:dyDescent="0.2">
      <c r="Y178" s="1">
        <f>AVERAGE(Y173:Y177)</f>
        <v>1.24105412500945</v>
      </c>
    </row>
    <row r="179" spans="10:25" x14ac:dyDescent="0.2">
      <c r="J179" t="s">
        <v>134</v>
      </c>
      <c r="K179">
        <v>100000</v>
      </c>
      <c r="L179">
        <v>929.47871399999997</v>
      </c>
      <c r="M179">
        <v>-18872.218595999999</v>
      </c>
      <c r="N179">
        <v>56986.149171999998</v>
      </c>
      <c r="O179">
        <v>-1.410641</v>
      </c>
      <c r="P179">
        <v>27.038347000000002</v>
      </c>
      <c r="Q179">
        <v>161.48257899999999</v>
      </c>
      <c r="R179">
        <v>13.051610999999999</v>
      </c>
      <c r="S179">
        <v>962</v>
      </c>
      <c r="T179">
        <v>2270</v>
      </c>
      <c r="U179">
        <f>T179/(T179+S179)</f>
        <v>0.70235148514851486</v>
      </c>
      <c r="V179">
        <f>-3.9676-2.6902*U179</f>
        <v>-5.8570659653465347</v>
      </c>
      <c r="W179">
        <f>M179-(SUM(S179:T179)*V179)</f>
        <v>57.81860400000005</v>
      </c>
      <c r="X179">
        <f>W179/(2*P179*R179)</f>
        <v>8.1920642047082284E-2</v>
      </c>
      <c r="Y179">
        <f>X179*16.02</f>
        <v>1.3123686855942582</v>
      </c>
    </row>
    <row r="180" spans="10:25" x14ac:dyDescent="0.2">
      <c r="K180">
        <v>100000</v>
      </c>
      <c r="L180">
        <v>929.57170900000006</v>
      </c>
      <c r="M180">
        <v>-18949.848342000001</v>
      </c>
      <c r="N180">
        <v>56875.644477000002</v>
      </c>
      <c r="O180">
        <v>-1.6778459999999999</v>
      </c>
      <c r="P180">
        <v>27.030055000000001</v>
      </c>
      <c r="Q180">
        <v>161.20337599999999</v>
      </c>
      <c r="R180">
        <v>13.052865000000001</v>
      </c>
      <c r="S180">
        <v>936</v>
      </c>
      <c r="T180">
        <v>2296</v>
      </c>
      <c r="U180">
        <f>T180/(T180+S180)</f>
        <v>0.71039603960396036</v>
      </c>
      <c r="V180">
        <f>-3.9676-2.6902*U180</f>
        <v>-5.878707425742574</v>
      </c>
      <c r="W180">
        <f>M180-(SUM(S180:T180)*V180)</f>
        <v>50.134057999999641</v>
      </c>
      <c r="X180">
        <f>W180/(2*P180*R180)</f>
        <v>7.1047710553222856E-2</v>
      </c>
      <c r="Y180">
        <f>X180*16.02</f>
        <v>1.1381843230626301</v>
      </c>
    </row>
    <row r="181" spans="10:25" x14ac:dyDescent="0.2">
      <c r="K181">
        <v>100000</v>
      </c>
      <c r="L181">
        <v>929.54331200000001</v>
      </c>
      <c r="M181">
        <v>-18892.71545</v>
      </c>
      <c r="N181">
        <v>56958.672882999999</v>
      </c>
      <c r="O181">
        <v>-1.5059610000000001</v>
      </c>
      <c r="P181">
        <v>27.038582999999999</v>
      </c>
      <c r="Q181">
        <v>161.36639</v>
      </c>
      <c r="R181">
        <v>13.054596999999999</v>
      </c>
      <c r="S181">
        <v>955</v>
      </c>
      <c r="T181">
        <v>2277</v>
      </c>
      <c r="U181">
        <f>T181/(T181+S181)</f>
        <v>0.70451732673267331</v>
      </c>
      <c r="V181">
        <f>-3.9676-2.6902*U181</f>
        <v>-5.8628925123762379</v>
      </c>
      <c r="W181">
        <f>M181-(SUM(S181:T181)*V181)</f>
        <v>56.153150000001915</v>
      </c>
      <c r="X181">
        <f>W181/(2*P181*R181)</f>
        <v>7.9542041003102873E-2</v>
      </c>
      <c r="Y181">
        <f>X181*16.02</f>
        <v>1.274263496869708</v>
      </c>
    </row>
    <row r="182" spans="10:25" x14ac:dyDescent="0.2">
      <c r="K182">
        <v>100000</v>
      </c>
      <c r="L182">
        <v>929.60885499999995</v>
      </c>
      <c r="M182">
        <v>-18894.991479</v>
      </c>
      <c r="N182">
        <v>56927.411545000003</v>
      </c>
      <c r="O182">
        <v>-1.6379710000000001</v>
      </c>
      <c r="P182">
        <v>27.033628</v>
      </c>
      <c r="Q182">
        <v>161.252274</v>
      </c>
      <c r="R182">
        <v>13.059060000000001</v>
      </c>
      <c r="S182">
        <v>956</v>
      </c>
      <c r="T182">
        <v>2276</v>
      </c>
      <c r="U182">
        <f>T182/(T182+S182)</f>
        <v>0.70420792079207917</v>
      </c>
      <c r="V182">
        <f>-3.9676-2.6902*U182</f>
        <v>-5.8620601485148516</v>
      </c>
      <c r="W182">
        <f>M182-(SUM(S182:T182)*V182)</f>
        <v>51.186921000000439</v>
      </c>
      <c r="X182">
        <f>W182/(2*P182*R182)</f>
        <v>7.2495785587165532E-2</v>
      </c>
      <c r="Y182">
        <f>X182*16.02</f>
        <v>1.1613824851063919</v>
      </c>
    </row>
    <row r="183" spans="10:25" x14ac:dyDescent="0.2">
      <c r="K183">
        <v>100000</v>
      </c>
      <c r="L183">
        <v>929.67948699999999</v>
      </c>
      <c r="M183">
        <v>-18861.130896999999</v>
      </c>
      <c r="N183">
        <v>57002.031225999999</v>
      </c>
      <c r="O183">
        <v>-1.4713560000000001</v>
      </c>
      <c r="P183">
        <v>27.033505999999999</v>
      </c>
      <c r="Q183">
        <v>161.50385600000001</v>
      </c>
      <c r="R183">
        <v>13.055866999999999</v>
      </c>
      <c r="S183">
        <v>970</v>
      </c>
      <c r="T183">
        <v>2262</v>
      </c>
      <c r="U183">
        <f>T183/(T183+S183)</f>
        <v>0.69987623762376239</v>
      </c>
      <c r="V183">
        <f>-3.9676-2.6902*U183</f>
        <v>-5.8504070544554452</v>
      </c>
      <c r="W183">
        <f>M183-(SUM(S183:T183)*V183)</f>
        <v>47.384702999999718</v>
      </c>
      <c r="X183">
        <f>W183/(2*P183*R183)</f>
        <v>6.7127438681962706E-2</v>
      </c>
      <c r="Y183">
        <f>X183*16.02</f>
        <v>1.0753815676850424</v>
      </c>
    </row>
    <row r="184" spans="10:25" x14ac:dyDescent="0.2">
      <c r="M184">
        <f>AVERAGE(M179:M183)</f>
        <v>-18894.180952800001</v>
      </c>
      <c r="Y184" s="1">
        <f>AVERAGE(Y179:Y183)</f>
        <v>1.1923161116636061</v>
      </c>
    </row>
    <row r="185" spans="10:25" x14ac:dyDescent="0.2">
      <c r="J185" t="s">
        <v>27</v>
      </c>
      <c r="L185">
        <v>929.70001600000001</v>
      </c>
      <c r="M185">
        <v>-16990.165446999999</v>
      </c>
      <c r="N185">
        <v>50450.838230000001</v>
      </c>
      <c r="O185">
        <v>-1.649</v>
      </c>
      <c r="P185">
        <v>31.023617000000002</v>
      </c>
      <c r="Q185">
        <v>124.855194</v>
      </c>
      <c r="R185">
        <v>13.024765</v>
      </c>
      <c r="S185">
        <v>791</v>
      </c>
      <c r="T185">
        <v>2089</v>
      </c>
      <c r="U185">
        <f>T185/(T185+S185)</f>
        <v>0.72534722222222225</v>
      </c>
      <c r="V185">
        <f>-3.9676-2.6902*U185</f>
        <v>-5.9189290972222226</v>
      </c>
      <c r="W185">
        <f>M185-(SUM(S185:T185)*V185)</f>
        <v>56.350353000001633</v>
      </c>
      <c r="X185">
        <f>W185/(2*P185*R185)</f>
        <v>6.9727536042015315E-2</v>
      </c>
      <c r="Y185">
        <f>X185*16.02</f>
        <v>1.1170351273930854</v>
      </c>
    </row>
    <row r="186" spans="10:25" x14ac:dyDescent="0.2">
      <c r="L186">
        <v>929.63609299999996</v>
      </c>
      <c r="M186">
        <v>-16992.951951999999</v>
      </c>
      <c r="N186">
        <v>50470.919017</v>
      </c>
      <c r="O186">
        <v>-1.716674</v>
      </c>
      <c r="P186">
        <v>31.026064999999999</v>
      </c>
      <c r="Q186">
        <v>124.944599</v>
      </c>
      <c r="R186">
        <v>13.019600000000001</v>
      </c>
      <c r="S186">
        <v>788</v>
      </c>
      <c r="T186">
        <v>2092</v>
      </c>
      <c r="U186">
        <f>T186/(T186+S186)</f>
        <v>0.72638888888888886</v>
      </c>
      <c r="V186">
        <f>-3.9676-2.6902*U186</f>
        <v>-5.9217313888888885</v>
      </c>
      <c r="W186">
        <f>M186-(SUM(S186:T186)*V186)</f>
        <v>61.634448000000702</v>
      </c>
      <c r="X186">
        <f>W186/(2*P186*R186)</f>
        <v>7.6290274135926206E-2</v>
      </c>
      <c r="Y186">
        <f>X186*16.02</f>
        <v>1.2221701916575378</v>
      </c>
    </row>
    <row r="187" spans="10:25" x14ac:dyDescent="0.2">
      <c r="L187">
        <v>929.71287600000005</v>
      </c>
      <c r="M187">
        <v>-16973.168309000001</v>
      </c>
      <c r="N187">
        <v>50506.039937000001</v>
      </c>
      <c r="O187">
        <v>-1.6648240000000001</v>
      </c>
      <c r="P187">
        <v>30.983342</v>
      </c>
      <c r="Q187">
        <v>124.990567</v>
      </c>
      <c r="R187">
        <v>13.041827</v>
      </c>
      <c r="S187">
        <v>798</v>
      </c>
      <c r="T187">
        <v>2082</v>
      </c>
      <c r="U187">
        <f>T187/(T187+S187)</f>
        <v>0.72291666666666665</v>
      </c>
      <c r="V187">
        <f>-3.9676-2.6902*U187</f>
        <v>-5.9123904166666668</v>
      </c>
      <c r="W187">
        <f>M187-(SUM(S187:T187)*V187)</f>
        <v>54.516091000001325</v>
      </c>
      <c r="X187">
        <f>W187/(2*P187*R187)</f>
        <v>6.7457154281602982E-2</v>
      </c>
      <c r="Y187">
        <f>X187*16.02</f>
        <v>1.0806636115912798</v>
      </c>
    </row>
    <row r="188" spans="10:25" x14ac:dyDescent="0.2">
      <c r="L188">
        <v>929.82337299999995</v>
      </c>
      <c r="M188">
        <v>-16976.062496999999</v>
      </c>
      <c r="N188">
        <v>50487.588672999998</v>
      </c>
      <c r="O188">
        <v>-1.657942</v>
      </c>
      <c r="P188">
        <v>30.996067</v>
      </c>
      <c r="Q188">
        <v>124.98164300000001</v>
      </c>
      <c r="R188">
        <v>13.032641</v>
      </c>
      <c r="S188">
        <v>793</v>
      </c>
      <c r="T188">
        <v>2087</v>
      </c>
      <c r="U188">
        <f>T188/(T188+S188)</f>
        <v>0.72465277777777781</v>
      </c>
      <c r="V188">
        <f>-3.9676-2.6902*U188</f>
        <v>-5.9170609027777781</v>
      </c>
      <c r="W188">
        <f>M188-(SUM(S188:T188)*V188)</f>
        <v>65.072903000000224</v>
      </c>
      <c r="X188">
        <f>W188/(2*P188*R188)</f>
        <v>8.0543623320587704E-2</v>
      </c>
      <c r="Y188">
        <f>X188*16.02</f>
        <v>1.2903088455958149</v>
      </c>
    </row>
    <row r="189" spans="10:25" x14ac:dyDescent="0.2">
      <c r="L189">
        <v>929.67615899999998</v>
      </c>
      <c r="M189">
        <v>-16893.835573</v>
      </c>
      <c r="N189">
        <v>50655.200906999999</v>
      </c>
      <c r="O189">
        <v>-1.4003429999999999</v>
      </c>
      <c r="P189">
        <v>31.005990000000001</v>
      </c>
      <c r="Q189">
        <v>125.246977</v>
      </c>
      <c r="R189">
        <v>13.044031</v>
      </c>
      <c r="S189">
        <v>824</v>
      </c>
      <c r="T189">
        <v>2056</v>
      </c>
      <c r="U189">
        <f>T189/(T189+S189)</f>
        <v>0.71388888888888891</v>
      </c>
      <c r="V189">
        <f>-3.9676-2.6902*U189</f>
        <v>-5.8881038888888888</v>
      </c>
      <c r="W189">
        <f>M189-(SUM(S189:T189)*V189)</f>
        <v>63.903626999999688</v>
      </c>
      <c r="X189">
        <f>W189/(2*P189*R189)</f>
        <v>7.9002000318711935E-2</v>
      </c>
      <c r="Y189">
        <f>X189*16.02</f>
        <v>1.2656120451057651</v>
      </c>
    </row>
    <row r="190" spans="10:25" x14ac:dyDescent="0.2">
      <c r="Y190" s="1">
        <f>AVERAGE(Y185:Y189)</f>
        <v>1.1951579642686965</v>
      </c>
    </row>
    <row r="191" spans="10:25" x14ac:dyDescent="0.2">
      <c r="J191" t="s">
        <v>172</v>
      </c>
      <c r="K191">
        <v>100000</v>
      </c>
      <c r="L191">
        <v>929.72743400000002</v>
      </c>
      <c r="M191">
        <v>-21529.791095</v>
      </c>
      <c r="N191">
        <v>64808.676734000001</v>
      </c>
      <c r="O191">
        <v>-1.21319</v>
      </c>
      <c r="P191">
        <v>24.940939</v>
      </c>
      <c r="Q191">
        <v>198.944986</v>
      </c>
      <c r="R191">
        <v>13.061343000000001</v>
      </c>
      <c r="S191">
        <v>1085</v>
      </c>
      <c r="T191">
        <v>2595</v>
      </c>
      <c r="U191">
        <f>T191/(T191+S191)</f>
        <v>0.70516304347826086</v>
      </c>
      <c r="V191">
        <f>-3.9676-2.6902*U191</f>
        <v>-5.8646296195652177</v>
      </c>
      <c r="W191">
        <f>M191-(SUM(S191:T191)*V191)</f>
        <v>52.045904999999038</v>
      </c>
      <c r="X191">
        <f>W191/(2*P191*R191)</f>
        <v>7.9883288403414035E-2</v>
      </c>
      <c r="Y191">
        <f>X191*16.02</f>
        <v>1.2797302802226929</v>
      </c>
    </row>
    <row r="192" spans="10:25" x14ac:dyDescent="0.2">
      <c r="K192">
        <v>100000</v>
      </c>
      <c r="L192">
        <v>929.42095099999995</v>
      </c>
      <c r="M192">
        <v>-21614.505028</v>
      </c>
      <c r="N192">
        <v>64660.545430999999</v>
      </c>
      <c r="O192">
        <v>-1.284373</v>
      </c>
      <c r="P192">
        <v>24.933845999999999</v>
      </c>
      <c r="Q192">
        <v>198.769981</v>
      </c>
      <c r="R192">
        <v>13.046671999999999</v>
      </c>
      <c r="S192">
        <v>1054</v>
      </c>
      <c r="T192">
        <v>2626</v>
      </c>
      <c r="U192">
        <f>T192/(T192+S192)</f>
        <v>0.71358695652173909</v>
      </c>
      <c r="V192">
        <f>-3.9676-2.6902*U192</f>
        <v>-5.8872916304347829</v>
      </c>
      <c r="W192">
        <f>M192-(SUM(S192:T192)*V192)</f>
        <v>50.728172000002814</v>
      </c>
      <c r="X192">
        <f>W192/(2*P192*R192)</f>
        <v>7.7970478615491556E-2</v>
      </c>
      <c r="Y192">
        <f>X192*16.02</f>
        <v>1.2490870674201746</v>
      </c>
    </row>
    <row r="193" spans="10:25" x14ac:dyDescent="0.2">
      <c r="K193">
        <v>100000</v>
      </c>
      <c r="L193">
        <v>929.82289000000003</v>
      </c>
      <c r="M193">
        <v>-21590.369465</v>
      </c>
      <c r="N193">
        <v>64697.717944000004</v>
      </c>
      <c r="O193">
        <v>-1.231417</v>
      </c>
      <c r="P193">
        <v>24.935202</v>
      </c>
      <c r="Q193">
        <v>198.64384100000001</v>
      </c>
      <c r="R193">
        <v>13.061750999999999</v>
      </c>
      <c r="S193">
        <v>1062</v>
      </c>
      <c r="T193">
        <v>2618</v>
      </c>
      <c r="U193">
        <f>T193/(T193+S193)</f>
        <v>0.71141304347826084</v>
      </c>
      <c r="V193">
        <f>-3.9676-2.6902*U193</f>
        <v>-5.8814433695652175</v>
      </c>
      <c r="W193">
        <f>M193-(SUM(S193:T193)*V193)</f>
        <v>53.342134999998962</v>
      </c>
      <c r="X193">
        <f>W193/(2*P193*R193)</f>
        <v>8.1889101748887361E-2</v>
      </c>
      <c r="Y193">
        <f>X193*16.02</f>
        <v>1.3118634100171755</v>
      </c>
    </row>
    <row r="194" spans="10:25" x14ac:dyDescent="0.2">
      <c r="K194">
        <v>100000</v>
      </c>
      <c r="L194">
        <v>929.36498500000005</v>
      </c>
      <c r="M194">
        <v>-21512.082043999999</v>
      </c>
      <c r="N194">
        <v>64835.730874000001</v>
      </c>
      <c r="O194">
        <v>-1.167084</v>
      </c>
      <c r="P194">
        <v>24.974788</v>
      </c>
      <c r="Q194">
        <v>198.76081099999999</v>
      </c>
      <c r="R194">
        <v>13.061178</v>
      </c>
      <c r="S194">
        <v>1091</v>
      </c>
      <c r="T194">
        <v>2589</v>
      </c>
      <c r="U194">
        <f>T194/(T194+S194)</f>
        <v>0.70353260869565215</v>
      </c>
      <c r="V194">
        <f>-3.9676-2.6902*U194</f>
        <v>-5.8602434239130439</v>
      </c>
      <c r="W194">
        <f>M194-(SUM(S194:T194)*V194)</f>
        <v>53.613756000002468</v>
      </c>
      <c r="X194">
        <f>W194/(2*P194*R194)</f>
        <v>8.2179232198809085E-2</v>
      </c>
      <c r="Y194">
        <f>X194*16.02</f>
        <v>1.3165112998249215</v>
      </c>
    </row>
    <row r="195" spans="10:25" x14ac:dyDescent="0.2">
      <c r="K195">
        <v>100000</v>
      </c>
      <c r="L195">
        <v>929.64619500000003</v>
      </c>
      <c r="M195">
        <v>-21583.051638000001</v>
      </c>
      <c r="N195">
        <v>64713.070425999998</v>
      </c>
      <c r="O195">
        <v>-1.1167560000000001</v>
      </c>
      <c r="P195">
        <v>24.955842000000001</v>
      </c>
      <c r="Q195">
        <v>198.66359299999999</v>
      </c>
      <c r="R195">
        <v>13.052747999999999</v>
      </c>
      <c r="S195">
        <v>1066</v>
      </c>
      <c r="T195">
        <v>2614</v>
      </c>
      <c r="U195">
        <f>T195/(T195+S195)</f>
        <v>0.71032608695652177</v>
      </c>
      <c r="V195">
        <f>-3.9676-2.6902*U195</f>
        <v>-5.8785192391304353</v>
      </c>
      <c r="W195">
        <f>M195-(SUM(S195:T195)*V195)</f>
        <v>49.899162000001525</v>
      </c>
      <c r="X195">
        <f>W195/(2*P195*R195)</f>
        <v>7.6592999179952215E-2</v>
      </c>
      <c r="Y195">
        <f>X195*16.02</f>
        <v>1.2270198468628344</v>
      </c>
    </row>
    <row r="196" spans="10:25" x14ac:dyDescent="0.2">
      <c r="Y196" s="1">
        <f>AVERAGE(Y191:Y195)</f>
        <v>1.2768423808695597</v>
      </c>
    </row>
    <row r="197" spans="10:25" x14ac:dyDescent="0.2">
      <c r="J197" t="s">
        <v>17</v>
      </c>
      <c r="L197">
        <v>867.297011</v>
      </c>
      <c r="M197">
        <v>-22501.697854999999</v>
      </c>
      <c r="N197">
        <v>66662.760209999993</v>
      </c>
      <c r="O197">
        <v>-1.0995760000000001</v>
      </c>
      <c r="P197">
        <v>29.251899999999999</v>
      </c>
      <c r="Q197">
        <v>174.904158</v>
      </c>
      <c r="R197">
        <v>13.029552000000001</v>
      </c>
      <c r="S197">
        <v>1041</v>
      </c>
      <c r="T197">
        <v>2767</v>
      </c>
      <c r="U197">
        <f>T197/(T197+S197)</f>
        <v>0.72662815126050417</v>
      </c>
      <c r="V197">
        <f>-3.9676-2.6902*U197</f>
        <v>-5.9223750525210086</v>
      </c>
      <c r="W197">
        <f>M197-(SUM(S197:T197)*V197)</f>
        <v>50.706345000002329</v>
      </c>
      <c r="X197">
        <f>W197/(2*P197*R197)</f>
        <v>6.6519465022326196E-2</v>
      </c>
      <c r="Y197">
        <f>X197*16.02</f>
        <v>1.0656418296576657</v>
      </c>
    </row>
    <row r="198" spans="10:25" x14ac:dyDescent="0.2">
      <c r="L198">
        <v>867.17810999999995</v>
      </c>
      <c r="M198">
        <v>-22516.349372000001</v>
      </c>
      <c r="N198">
        <v>66636.141403999995</v>
      </c>
      <c r="O198">
        <v>-0.92025400000000002</v>
      </c>
      <c r="P198">
        <v>29.236837000000001</v>
      </c>
      <c r="Q198">
        <v>174.824265</v>
      </c>
      <c r="R198">
        <v>13.037013999999999</v>
      </c>
      <c r="S198">
        <v>1033</v>
      </c>
      <c r="T198">
        <v>2775</v>
      </c>
      <c r="U198">
        <f>T198/(T198+S198)</f>
        <v>0.72872899159663862</v>
      </c>
      <c r="V198">
        <f>-3.9676-2.6902*U198</f>
        <v>-5.9280267331932777</v>
      </c>
      <c r="W198">
        <f>M198-(SUM(S198:T198)*V198)</f>
        <v>57.576428000000305</v>
      </c>
      <c r="X198">
        <f>W198/(2*P198*R198)</f>
        <v>7.5527690334342895E-2</v>
      </c>
      <c r="Y198">
        <f>X198*16.02</f>
        <v>1.2099535991561732</v>
      </c>
    </row>
    <row r="199" spans="10:25" x14ac:dyDescent="0.2">
      <c r="L199">
        <v>867.31345199999998</v>
      </c>
      <c r="M199">
        <v>-22435.108189999999</v>
      </c>
      <c r="N199">
        <v>66786.922231000004</v>
      </c>
      <c r="O199">
        <v>-0.89115100000000003</v>
      </c>
      <c r="P199">
        <v>29.269141999999999</v>
      </c>
      <c r="Q199">
        <v>174.89444900000001</v>
      </c>
      <c r="R199">
        <v>13.046854</v>
      </c>
      <c r="S199">
        <v>1063</v>
      </c>
      <c r="T199">
        <v>2745</v>
      </c>
      <c r="U199">
        <f>T199/(T199+S199)</f>
        <v>0.72085084033613445</v>
      </c>
      <c r="V199">
        <f>-3.9676-2.6902*U199</f>
        <v>-5.9068329306722687</v>
      </c>
      <c r="W199">
        <f>M199-(SUM(S199:T199)*V199)</f>
        <v>58.111609999999928</v>
      </c>
      <c r="X199">
        <f>W199/(2*P199*R199)</f>
        <v>7.608816633820209E-2</v>
      </c>
      <c r="Y199">
        <f>X199*16.02</f>
        <v>1.2189324247379973</v>
      </c>
    </row>
    <row r="200" spans="10:25" x14ac:dyDescent="0.2">
      <c r="L200">
        <v>867.28445099999999</v>
      </c>
      <c r="M200">
        <v>-22504.450946000001</v>
      </c>
      <c r="N200">
        <v>66684.813452000002</v>
      </c>
      <c r="O200">
        <v>-0.99612000000000001</v>
      </c>
      <c r="P200">
        <v>29.252666000000001</v>
      </c>
      <c r="Q200">
        <v>174.937174</v>
      </c>
      <c r="R200">
        <v>13.031060999999999</v>
      </c>
      <c r="S200">
        <v>1038</v>
      </c>
      <c r="T200">
        <v>2770</v>
      </c>
      <c r="U200">
        <f>T200/(T200+S200)</f>
        <v>0.72741596638655459</v>
      </c>
      <c r="V200">
        <f>-3.9676-2.6902*U200</f>
        <v>-5.9244944327731091</v>
      </c>
      <c r="W200">
        <f>M200-(SUM(S200:T200)*V200)</f>
        <v>56.023853999999119</v>
      </c>
      <c r="X200">
        <f>W200/(2*P200*R200)</f>
        <v>7.3484840454468764E-2</v>
      </c>
      <c r="Y200">
        <f>X200*16.02</f>
        <v>1.1772271440805895</v>
      </c>
    </row>
    <row r="201" spans="10:25" x14ac:dyDescent="0.2">
      <c r="L201">
        <v>867.22667100000001</v>
      </c>
      <c r="M201">
        <v>-22442.489226999998</v>
      </c>
      <c r="N201">
        <v>66748.790162000005</v>
      </c>
      <c r="O201">
        <v>-0.95335300000000001</v>
      </c>
      <c r="P201">
        <v>29.282644000000001</v>
      </c>
      <c r="Q201">
        <v>174.86488499999999</v>
      </c>
      <c r="R201">
        <v>13.035596</v>
      </c>
      <c r="S201">
        <v>1060</v>
      </c>
      <c r="T201">
        <v>2748</v>
      </c>
      <c r="U201">
        <f>T201/(T201+S201)</f>
        <v>0.72163865546218486</v>
      </c>
      <c r="V201">
        <f>-3.9676-2.6902*U201</f>
        <v>-5.90895231092437</v>
      </c>
      <c r="W201">
        <f>M201-(SUM(S201:T201)*V201)</f>
        <v>58.801173000003473</v>
      </c>
      <c r="X201">
        <f>W201/(2*P201*R201)</f>
        <v>7.7022003991309027E-2</v>
      </c>
      <c r="Y201">
        <f>X201*16.02</f>
        <v>1.2338925039407707</v>
      </c>
    </row>
    <row r="202" spans="10:25" x14ac:dyDescent="0.2">
      <c r="Y202" s="1">
        <f>AVERAGE(Y197:Y201)</f>
        <v>1.1811295003146394</v>
      </c>
    </row>
    <row r="203" spans="10:25" x14ac:dyDescent="0.2">
      <c r="J203" t="s">
        <v>173</v>
      </c>
      <c r="K203">
        <v>100000</v>
      </c>
      <c r="L203">
        <v>929.51081599999998</v>
      </c>
      <c r="M203">
        <v>-37921.112838000001</v>
      </c>
      <c r="N203">
        <v>114289.744768</v>
      </c>
      <c r="O203">
        <v>-0.66995400000000005</v>
      </c>
      <c r="P203">
        <v>38.243662999999998</v>
      </c>
      <c r="Q203">
        <v>228.67209500000001</v>
      </c>
      <c r="R203">
        <v>13.068773999999999</v>
      </c>
      <c r="S203">
        <v>1936</v>
      </c>
      <c r="T203">
        <v>4552</v>
      </c>
      <c r="U203">
        <f>T203/(T203+S203)</f>
        <v>0.70160295930949446</v>
      </c>
      <c r="V203">
        <f>-3.9676-2.6902*U203</f>
        <v>-5.8550522811344017</v>
      </c>
      <c r="W203">
        <f>M203-(SUM(S203:T203)*V203)</f>
        <v>66.466361999999208</v>
      </c>
      <c r="X203">
        <f>W203/(2*P203*R203)</f>
        <v>6.6493253377183648E-2</v>
      </c>
      <c r="Y203">
        <f>X203*16.02</f>
        <v>1.0652219191024821</v>
      </c>
    </row>
    <row r="204" spans="10:25" x14ac:dyDescent="0.2">
      <c r="K204">
        <v>100000</v>
      </c>
      <c r="L204">
        <v>929.68261600000005</v>
      </c>
      <c r="M204">
        <v>-38052.030335000003</v>
      </c>
      <c r="N204">
        <v>114088.36919500001</v>
      </c>
      <c r="O204">
        <v>-0.69343500000000002</v>
      </c>
      <c r="P204">
        <v>38.214660000000002</v>
      </c>
      <c r="Q204">
        <v>228.48615799999999</v>
      </c>
      <c r="R204">
        <v>13.066273000000001</v>
      </c>
      <c r="S204">
        <v>1883</v>
      </c>
      <c r="T204">
        <v>4605</v>
      </c>
      <c r="U204">
        <f>T204/(T204+S204)</f>
        <v>0.70977188655980272</v>
      </c>
      <c r="V204">
        <f>-3.9676-2.6902*U204</f>
        <v>-5.8770283292231813</v>
      </c>
      <c r="W204">
        <f>M204-(SUM(S204:T204)*V204)</f>
        <v>78.129464999998163</v>
      </c>
      <c r="X204">
        <f>W204/(2*P204*R204)</f>
        <v>7.8235367497481015E-2</v>
      </c>
      <c r="Y204">
        <f>X204*16.02</f>
        <v>1.2533305873096459</v>
      </c>
    </row>
    <row r="205" spans="10:25" x14ac:dyDescent="0.2">
      <c r="K205">
        <v>100000</v>
      </c>
      <c r="L205">
        <v>929.72989600000005</v>
      </c>
      <c r="M205">
        <v>-38024.956472999998</v>
      </c>
      <c r="N205">
        <v>114107.977438</v>
      </c>
      <c r="O205">
        <v>-0.72012500000000002</v>
      </c>
      <c r="P205">
        <v>38.229427999999999</v>
      </c>
      <c r="Q205">
        <v>228.601372</v>
      </c>
      <c r="R205">
        <v>13.056887</v>
      </c>
      <c r="S205">
        <v>1892</v>
      </c>
      <c r="T205">
        <v>4596</v>
      </c>
      <c r="U205">
        <f>T205/(T205+S205)</f>
        <v>0.70838471023427863</v>
      </c>
      <c r="V205">
        <f>-3.9676-2.6902*U205</f>
        <v>-5.8732965474722558</v>
      </c>
      <c r="W205">
        <f>M205-(SUM(S205:T205)*V205)</f>
        <v>80.991526999998314</v>
      </c>
      <c r="X205">
        <f>W205/(2*P205*R205)</f>
        <v>8.1128257080731625E-2</v>
      </c>
      <c r="Y205">
        <f>X205*16.02</f>
        <v>1.2996746784333206</v>
      </c>
    </row>
    <row r="206" spans="10:25" x14ac:dyDescent="0.2">
      <c r="K206">
        <v>100000</v>
      </c>
      <c r="L206">
        <v>929.68866100000002</v>
      </c>
      <c r="M206">
        <v>-38099.654629999997</v>
      </c>
      <c r="N206">
        <v>113999.757402</v>
      </c>
      <c r="O206">
        <v>-0.91102899999999998</v>
      </c>
      <c r="P206">
        <v>38.231830000000002</v>
      </c>
      <c r="Q206">
        <v>228.43844300000001</v>
      </c>
      <c r="R206">
        <v>13.052986000000001</v>
      </c>
      <c r="S206">
        <v>1858</v>
      </c>
      <c r="T206">
        <v>4630</v>
      </c>
      <c r="U206">
        <f>T206/(T206+S206)</f>
        <v>0.71362515413070282</v>
      </c>
      <c r="V206">
        <f>-3.9676-2.6902*U206</f>
        <v>-5.8873943896424166</v>
      </c>
      <c r="W206">
        <f>M206-(SUM(S206:T206)*V206)</f>
        <v>97.760170000001381</v>
      </c>
      <c r="X206">
        <f>W206/(2*P206*R206)</f>
        <v>9.7948320546186768E-2</v>
      </c>
      <c r="Y206">
        <f>X206*16.02</f>
        <v>1.5691320951499119</v>
      </c>
    </row>
    <row r="207" spans="10:25" x14ac:dyDescent="0.2">
      <c r="K207">
        <v>100000</v>
      </c>
      <c r="L207">
        <v>929.53884100000005</v>
      </c>
      <c r="M207">
        <v>-38062.659808999997</v>
      </c>
      <c r="N207">
        <v>113984.084988</v>
      </c>
      <c r="O207">
        <v>-0.68866000000000005</v>
      </c>
      <c r="P207">
        <v>38.209592000000001</v>
      </c>
      <c r="Q207">
        <v>228.572665</v>
      </c>
      <c r="R207">
        <v>13.051119</v>
      </c>
      <c r="S207">
        <v>1879</v>
      </c>
      <c r="T207">
        <v>4609</v>
      </c>
      <c r="U207">
        <f>T207/(T207+S207)</f>
        <v>0.71038840937114678</v>
      </c>
      <c r="V207">
        <f>-3.9676-2.6902*U207</f>
        <v>-5.8786868988902592</v>
      </c>
      <c r="W207">
        <f>M207-(SUM(S207:T207)*V207)</f>
        <v>78.260791000007885</v>
      </c>
      <c r="X207">
        <f>W207/(2*P207*R207)</f>
        <v>7.8468271761286817E-2</v>
      </c>
      <c r="Y207">
        <f>X207*16.02</f>
        <v>1.2570617136158149</v>
      </c>
    </row>
    <row r="208" spans="10:25" x14ac:dyDescent="0.2">
      <c r="Y208" s="1">
        <f>AVERAGE(Y203:Y207)</f>
        <v>1.288884198722235</v>
      </c>
    </row>
    <row r="209" spans="10:25" x14ac:dyDescent="0.2">
      <c r="J209" t="s">
        <v>174</v>
      </c>
      <c r="K209">
        <v>100000</v>
      </c>
      <c r="L209">
        <v>929.84663999999998</v>
      </c>
      <c r="M209">
        <v>-19289.124180999999</v>
      </c>
      <c r="N209">
        <v>58018.641084000003</v>
      </c>
      <c r="O209">
        <v>-1.3207249999999999</v>
      </c>
      <c r="P209">
        <v>23.657944000000001</v>
      </c>
      <c r="Q209">
        <v>187.93517700000001</v>
      </c>
      <c r="R209">
        <v>13.04917</v>
      </c>
      <c r="S209">
        <v>969</v>
      </c>
      <c r="T209">
        <v>2327</v>
      </c>
      <c r="U209">
        <f>T209/(T209+S209)</f>
        <v>0.70600728155339809</v>
      </c>
      <c r="V209">
        <f>-3.9676-2.6902*U209</f>
        <v>-5.8669007888349514</v>
      </c>
      <c r="W209">
        <f>M209-(SUM(S209:T209)*V209)</f>
        <v>48.180819000001065</v>
      </c>
      <c r="X209">
        <f>W209/(2*P209*R209)</f>
        <v>7.8034076301613117E-2</v>
      </c>
      <c r="Y209">
        <f>X209*16.02</f>
        <v>1.2501059023518422</v>
      </c>
    </row>
    <row r="210" spans="10:25" x14ac:dyDescent="0.2">
      <c r="K210">
        <v>100000</v>
      </c>
      <c r="L210">
        <v>929.38790500000005</v>
      </c>
      <c r="M210">
        <v>-19229.621847999999</v>
      </c>
      <c r="N210">
        <v>58135.543569000001</v>
      </c>
      <c r="O210">
        <v>-1.381084</v>
      </c>
      <c r="P210">
        <v>23.678426000000002</v>
      </c>
      <c r="Q210">
        <v>188.01474200000001</v>
      </c>
      <c r="R210">
        <v>13.058626</v>
      </c>
      <c r="S210">
        <v>993</v>
      </c>
      <c r="T210">
        <v>2303</v>
      </c>
      <c r="U210">
        <f>T210/(T210+S210)</f>
        <v>0.69872572815533984</v>
      </c>
      <c r="V210">
        <f>-3.9676-2.6902*U210</f>
        <v>-5.8473119538834952</v>
      </c>
      <c r="W210">
        <f>M210-(SUM(S210:T210)*V210)</f>
        <v>43.118352000001323</v>
      </c>
      <c r="X210">
        <f>W210/(2*P210*R210)</f>
        <v>6.9723927781905684E-2</v>
      </c>
      <c r="Y210">
        <f>X210*16.02</f>
        <v>1.1169773230661291</v>
      </c>
    </row>
    <row r="211" spans="10:25" x14ac:dyDescent="0.2">
      <c r="K211">
        <v>100000</v>
      </c>
      <c r="L211">
        <v>929.56189600000005</v>
      </c>
      <c r="M211">
        <v>-19148.947026999998</v>
      </c>
      <c r="N211">
        <v>58261.168029</v>
      </c>
      <c r="O211">
        <v>-1.371742</v>
      </c>
      <c r="P211">
        <v>23.690127</v>
      </c>
      <c r="Q211">
        <v>188.19127399999999</v>
      </c>
      <c r="R211">
        <v>13.068110000000001</v>
      </c>
      <c r="S211">
        <v>1025</v>
      </c>
      <c r="T211">
        <v>2271</v>
      </c>
      <c r="U211">
        <f>T211/(T211+S211)</f>
        <v>0.68901699029126218</v>
      </c>
      <c r="V211">
        <f>-3.9676-2.6902*U211</f>
        <v>-5.8211935072815537</v>
      </c>
      <c r="W211">
        <f>M211-(SUM(S211:T211)*V211)</f>
        <v>37.706773000001704</v>
      </c>
      <c r="X211">
        <f>W211/(2*P211*R211)</f>
        <v>6.0898865255804471E-2</v>
      </c>
      <c r="Y211">
        <f>X211*16.02</f>
        <v>0.97559982139798762</v>
      </c>
    </row>
    <row r="212" spans="10:25" x14ac:dyDescent="0.2">
      <c r="K212">
        <v>100000</v>
      </c>
      <c r="L212">
        <v>929.27121899999997</v>
      </c>
      <c r="M212">
        <v>-19367.939826999998</v>
      </c>
      <c r="N212">
        <v>57888.741956999998</v>
      </c>
      <c r="O212">
        <v>-1.2181040000000001</v>
      </c>
      <c r="P212">
        <v>23.642937</v>
      </c>
      <c r="Q212">
        <v>187.55721199999999</v>
      </c>
      <c r="R212">
        <v>13.054475</v>
      </c>
      <c r="S212">
        <v>941</v>
      </c>
      <c r="T212">
        <v>2355</v>
      </c>
      <c r="U212">
        <f>T212/(T212+S212)</f>
        <v>0.71450242718446599</v>
      </c>
      <c r="V212">
        <f>-3.9676-2.6902*U212</f>
        <v>-5.8897544296116502</v>
      </c>
      <c r="W212">
        <f>M212-(SUM(S212:T212)*V212)</f>
        <v>44.690773000002082</v>
      </c>
      <c r="X212">
        <f>W212/(2*P212*R212)</f>
        <v>7.2398077696624277E-2</v>
      </c>
      <c r="Y212">
        <f>X212*16.02</f>
        <v>1.1598172046999209</v>
      </c>
    </row>
    <row r="213" spans="10:25" x14ac:dyDescent="0.2">
      <c r="K213">
        <v>100000</v>
      </c>
      <c r="L213">
        <v>929.66530499999999</v>
      </c>
      <c r="M213">
        <v>-19205.137558999999</v>
      </c>
      <c r="N213">
        <v>58170.969008</v>
      </c>
      <c r="O213">
        <v>-1.3576330000000001</v>
      </c>
      <c r="P213">
        <v>23.662507000000002</v>
      </c>
      <c r="Q213">
        <v>188.25301999999999</v>
      </c>
      <c r="R213">
        <v>13.058821999999999</v>
      </c>
      <c r="S213">
        <v>1001</v>
      </c>
      <c r="T213">
        <v>2295</v>
      </c>
      <c r="U213">
        <f>T213/(T213+S213)</f>
        <v>0.69629854368932043</v>
      </c>
      <c r="V213">
        <f>-3.9676-2.6902*U213</f>
        <v>-5.8407823422330098</v>
      </c>
      <c r="W213">
        <f>M213-(SUM(S213:T213)*V213)</f>
        <v>46.081041000001278</v>
      </c>
      <c r="X213">
        <f>W213/(2*P213*R213)</f>
        <v>7.4563713349128743E-2</v>
      </c>
      <c r="Y213">
        <f>X213*16.02</f>
        <v>1.1945106878530425</v>
      </c>
    </row>
    <row r="214" spans="10:25" x14ac:dyDescent="0.2">
      <c r="Y214" s="1">
        <f>AVERAGE(Y209:Y213)</f>
        <v>1.1394021878737843</v>
      </c>
    </row>
    <row r="215" spans="10:25" x14ac:dyDescent="0.2">
      <c r="J215" t="s">
        <v>175</v>
      </c>
      <c r="K215">
        <v>100000</v>
      </c>
      <c r="L215">
        <v>929.57119399999999</v>
      </c>
      <c r="M215">
        <v>-27762.166948999999</v>
      </c>
      <c r="N215">
        <v>83725.891820999997</v>
      </c>
      <c r="O215">
        <v>-0.91871100000000006</v>
      </c>
      <c r="P215">
        <v>32.818843000000001</v>
      </c>
      <c r="Q215">
        <v>195.32566199999999</v>
      </c>
      <c r="R215">
        <v>13.061033</v>
      </c>
      <c r="S215">
        <v>1422</v>
      </c>
      <c r="T215">
        <v>3330</v>
      </c>
      <c r="U215">
        <f>T215/(T215+S215)</f>
        <v>0.7007575757575758</v>
      </c>
      <c r="V215">
        <f>-3.9676-2.6902*U215</f>
        <v>-5.8527780303030301</v>
      </c>
      <c r="W215">
        <f>M215-(SUM(S215:T215)*V215)</f>
        <v>50.234251000001677</v>
      </c>
      <c r="X215">
        <f>W215/(2*P215*R215)</f>
        <v>5.8596158156113118E-2</v>
      </c>
      <c r="Y215">
        <f>X215*16.02</f>
        <v>0.93871045366093209</v>
      </c>
    </row>
    <row r="216" spans="10:25" x14ac:dyDescent="0.2">
      <c r="K216">
        <v>100000</v>
      </c>
      <c r="L216">
        <v>929.47381800000005</v>
      </c>
      <c r="M216">
        <v>-27875.254388000001</v>
      </c>
      <c r="N216">
        <v>83548.567016999994</v>
      </c>
      <c r="O216">
        <v>-0.95929900000000001</v>
      </c>
      <c r="P216">
        <v>32.789104999999999</v>
      </c>
      <c r="Q216">
        <v>195.087006</v>
      </c>
      <c r="R216">
        <v>13.061149</v>
      </c>
      <c r="S216">
        <v>1378</v>
      </c>
      <c r="T216">
        <v>3374</v>
      </c>
      <c r="U216">
        <f>T216/(T216+S216)</f>
        <v>0.71001683501683499</v>
      </c>
      <c r="V216">
        <f>-3.9676-2.6902*U216</f>
        <v>-5.8776872895622896</v>
      </c>
      <c r="W216">
        <f>M216-(SUM(S216:T216)*V216)</f>
        <v>55.515611999999237</v>
      </c>
      <c r="X216">
        <f>W216/(2*P216*R216)</f>
        <v>6.4814800677799003E-2</v>
      </c>
      <c r="Y216">
        <f>X216*16.02</f>
        <v>1.0383331068583399</v>
      </c>
    </row>
    <row r="217" spans="10:25" x14ac:dyDescent="0.2">
      <c r="K217">
        <v>100000</v>
      </c>
      <c r="L217">
        <v>929.64636700000005</v>
      </c>
      <c r="M217">
        <v>-27767.221416</v>
      </c>
      <c r="N217">
        <v>83734.112009000004</v>
      </c>
      <c r="O217">
        <v>-1.112541</v>
      </c>
      <c r="P217">
        <v>32.814484</v>
      </c>
      <c r="Q217">
        <v>195.33671100000001</v>
      </c>
      <c r="R217">
        <v>13.063311000000001</v>
      </c>
      <c r="S217">
        <v>1420</v>
      </c>
      <c r="T217">
        <v>3332</v>
      </c>
      <c r="U217">
        <f>T217/(T217+S217)</f>
        <v>0.70117845117845112</v>
      </c>
      <c r="V217">
        <f>-3.9676-2.6902*U217</f>
        <v>-5.8539102693602691</v>
      </c>
      <c r="W217">
        <f>M217-(SUM(S217:T217)*V217)</f>
        <v>50.560183999998117</v>
      </c>
      <c r="X217">
        <f>W217/(2*P217*R217)</f>
        <v>5.8973893933828847E-2</v>
      </c>
      <c r="Y217">
        <f>X217*16.02</f>
        <v>0.94476178081993811</v>
      </c>
    </row>
    <row r="218" spans="10:25" x14ac:dyDescent="0.2">
      <c r="K218">
        <v>100000</v>
      </c>
      <c r="L218">
        <v>929.72231499999998</v>
      </c>
      <c r="M218">
        <v>-27736.393011</v>
      </c>
      <c r="N218">
        <v>83788.026637000003</v>
      </c>
      <c r="O218">
        <v>-0.84572899999999995</v>
      </c>
      <c r="P218">
        <v>32.820782000000001</v>
      </c>
      <c r="Q218">
        <v>195.47055499999999</v>
      </c>
      <c r="R218">
        <v>13.060266</v>
      </c>
      <c r="S218">
        <v>1431</v>
      </c>
      <c r="T218">
        <v>3321</v>
      </c>
      <c r="U218">
        <f>T218/(T218+S218)</f>
        <v>0.69886363636363635</v>
      </c>
      <c r="V218">
        <f>-3.9676-2.6902*U218</f>
        <v>-5.8476829545454549</v>
      </c>
      <c r="W218">
        <f>M218-(SUM(S218:T218)*V218)</f>
        <v>51.796389000002819</v>
      </c>
      <c r="X218">
        <f>W218/(2*P218*R218)</f>
        <v>6.0418305568203386E-2</v>
      </c>
      <c r="Y218">
        <f>X218*16.02</f>
        <v>0.96790125520261816</v>
      </c>
    </row>
    <row r="219" spans="10:25" x14ac:dyDescent="0.2">
      <c r="K219">
        <v>100000</v>
      </c>
      <c r="L219">
        <v>929.61640199999999</v>
      </c>
      <c r="M219">
        <v>-27745.43146</v>
      </c>
      <c r="N219">
        <v>83774.006246000004</v>
      </c>
      <c r="O219">
        <v>-1.0243420000000001</v>
      </c>
      <c r="P219">
        <v>32.823554999999999</v>
      </c>
      <c r="Q219">
        <v>195.321335</v>
      </c>
      <c r="R219">
        <v>13.066952000000001</v>
      </c>
      <c r="S219">
        <v>1428</v>
      </c>
      <c r="T219">
        <v>3324</v>
      </c>
      <c r="U219">
        <f>T219/(T219+S219)</f>
        <v>0.6994949494949495</v>
      </c>
      <c r="V219">
        <f>-3.9676-2.6902*U219</f>
        <v>-5.849381313131313</v>
      </c>
      <c r="W219">
        <f>M219-(SUM(S219:T219)*V219)</f>
        <v>50.828539999998611</v>
      </c>
      <c r="X219">
        <f>W219/(2*P219*R219)</f>
        <v>5.9254007434552287E-2</v>
      </c>
      <c r="Y219">
        <f>X219*16.02</f>
        <v>0.94924919910152761</v>
      </c>
    </row>
    <row r="220" spans="10:25" x14ac:dyDescent="0.2">
      <c r="Y220" s="1">
        <f>AVERAGE(Y215:Y219)</f>
        <v>0.9677911591286712</v>
      </c>
    </row>
    <row r="221" spans="10:25" x14ac:dyDescent="0.2">
      <c r="J221" t="s">
        <v>111</v>
      </c>
      <c r="L221">
        <v>867.46044199999994</v>
      </c>
      <c r="M221">
        <v>-22547.589854000002</v>
      </c>
      <c r="N221">
        <v>66948.059731999994</v>
      </c>
      <c r="O221">
        <v>-1.077615</v>
      </c>
      <c r="P221">
        <v>29.348652999999999</v>
      </c>
      <c r="Q221">
        <v>175.09287599999999</v>
      </c>
      <c r="R221">
        <v>13.028121000000001</v>
      </c>
      <c r="S221">
        <v>1054</v>
      </c>
      <c r="T221">
        <v>2768</v>
      </c>
      <c r="U221">
        <f>T221/(T221+S221)</f>
        <v>0.72422815279958141</v>
      </c>
      <c r="V221">
        <f>-3.9676-2.6902*U221</f>
        <v>-5.9159185766614337</v>
      </c>
      <c r="W221">
        <f>M221-(SUM(S221:T221)*V221)</f>
        <v>63.050945999999385</v>
      </c>
      <c r="X221">
        <f>W221/(2*P221*R221)</f>
        <v>8.2450188792445728E-2</v>
      </c>
      <c r="Y221">
        <f>X221*16.02</f>
        <v>1.3208520244549806</v>
      </c>
    </row>
    <row r="222" spans="10:25" x14ac:dyDescent="0.2">
      <c r="L222">
        <v>867.06821100000002</v>
      </c>
      <c r="M222">
        <v>-22598.262996000001</v>
      </c>
      <c r="N222">
        <v>66874.045199</v>
      </c>
      <c r="O222">
        <v>-1.112382</v>
      </c>
      <c r="P222">
        <v>29.352457000000001</v>
      </c>
      <c r="Q222">
        <v>174.89289199999999</v>
      </c>
      <c r="R222">
        <v>13.026910000000001</v>
      </c>
      <c r="S222">
        <v>1037</v>
      </c>
      <c r="T222">
        <v>2785</v>
      </c>
      <c r="U222">
        <f>T222/(T222+S222)</f>
        <v>0.72867608581894294</v>
      </c>
      <c r="V222">
        <f>-3.9676-2.6902*U222</f>
        <v>-5.9278844060701203</v>
      </c>
      <c r="W222">
        <f>M222-(SUM(S222:T222)*V222)</f>
        <v>58.111203999997088</v>
      </c>
      <c r="X222">
        <f>W222/(2*P222*R222)</f>
        <v>7.598782340442102E-2</v>
      </c>
      <c r="Y222">
        <f>X222*16.02</f>
        <v>1.2173249309388248</v>
      </c>
    </row>
    <row r="223" spans="10:25" x14ac:dyDescent="0.2">
      <c r="L223">
        <v>867.37412700000004</v>
      </c>
      <c r="M223">
        <v>-22537.833688999999</v>
      </c>
      <c r="N223">
        <v>67015.320682999998</v>
      </c>
      <c r="O223">
        <v>-1.1379280000000001</v>
      </c>
      <c r="P223">
        <v>29.348405</v>
      </c>
      <c r="Q223">
        <v>175.10260700000001</v>
      </c>
      <c r="R223">
        <v>13.040596000000001</v>
      </c>
      <c r="S223">
        <v>1061</v>
      </c>
      <c r="T223">
        <v>2762</v>
      </c>
      <c r="U223">
        <f>T223/(T223+S223)</f>
        <v>0.7224692649751504</v>
      </c>
      <c r="V223">
        <f>-3.9676-2.6902*U223</f>
        <v>-5.9111868166361496</v>
      </c>
      <c r="W223">
        <f>M223-(SUM(S223:T223)*V223)</f>
        <v>60.633510999999999</v>
      </c>
      <c r="X223">
        <f>W223/(2*P223*R223)</f>
        <v>7.9213787146678205E-2</v>
      </c>
      <c r="Y223">
        <f>X223*16.02</f>
        <v>1.2690048700897849</v>
      </c>
    </row>
    <row r="224" spans="10:25" x14ac:dyDescent="0.2">
      <c r="L224">
        <v>867.39397499999995</v>
      </c>
      <c r="M224">
        <v>-22568.468107000001</v>
      </c>
      <c r="N224">
        <v>66950.577632999994</v>
      </c>
      <c r="O224">
        <v>-1.1169009999999999</v>
      </c>
      <c r="P224">
        <v>29.356007000000002</v>
      </c>
      <c r="Q224">
        <v>175.05677</v>
      </c>
      <c r="R224">
        <v>13.028034</v>
      </c>
      <c r="S224">
        <v>1051</v>
      </c>
      <c r="T224">
        <v>2771</v>
      </c>
      <c r="U224">
        <f>T224/(T224+S224)</f>
        <v>0.72501308215593929</v>
      </c>
      <c r="V224">
        <f>-3.9676-2.6902*U224</f>
        <v>-5.9180301936159081</v>
      </c>
      <c r="W224">
        <f>M224-(SUM(S224:T224)*V224)</f>
        <v>50.243292999999539</v>
      </c>
      <c r="X224">
        <f>W224/(2*P224*R224)</f>
        <v>6.5685912015346751E-2</v>
      </c>
      <c r="Y224">
        <f>X224*16.02</f>
        <v>1.0522883104858549</v>
      </c>
    </row>
    <row r="225" spans="10:25" x14ac:dyDescent="0.2">
      <c r="L225">
        <v>867.39500899999996</v>
      </c>
      <c r="M225">
        <v>-22518.806565999999</v>
      </c>
      <c r="N225">
        <v>67074.045245999994</v>
      </c>
      <c r="O225">
        <v>-1.0469539999999999</v>
      </c>
      <c r="P225">
        <v>29.385973</v>
      </c>
      <c r="Q225">
        <v>175.03796</v>
      </c>
      <c r="R225">
        <v>13.040152000000001</v>
      </c>
      <c r="S225">
        <v>1066</v>
      </c>
      <c r="T225">
        <v>2757</v>
      </c>
      <c r="U225">
        <f>T225/(T225+S225)</f>
        <v>0.72116139157729531</v>
      </c>
      <c r="V225">
        <f>-3.9676-2.6902*U225</f>
        <v>-5.90766837562124</v>
      </c>
      <c r="W225">
        <f>M225-(SUM(S225:T225)*V225)</f>
        <v>66.209634000002552</v>
      </c>
      <c r="X225">
        <f>W225/(2*P225*R225)</f>
        <v>8.6390992331888308E-2</v>
      </c>
      <c r="Y225">
        <f>X225*16.02</f>
        <v>1.3839836971568507</v>
      </c>
    </row>
    <row r="226" spans="10:25" x14ac:dyDescent="0.2">
      <c r="Y226" s="1">
        <f>AVERAGE(Y221:Y225)</f>
        <v>1.2486907666252591</v>
      </c>
    </row>
    <row r="227" spans="10:25" x14ac:dyDescent="0.2">
      <c r="Y227" s="1"/>
    </row>
    <row r="228" spans="10:25" x14ac:dyDescent="0.2">
      <c r="J228">
        <v>1200</v>
      </c>
      <c r="L228" t="s">
        <v>18</v>
      </c>
      <c r="M228" t="s">
        <v>5</v>
      </c>
      <c r="N228" t="s">
        <v>7</v>
      </c>
      <c r="O228" t="s">
        <v>19</v>
      </c>
      <c r="P228" t="s">
        <v>20</v>
      </c>
      <c r="Q228" t="s">
        <v>21</v>
      </c>
      <c r="R228" t="s">
        <v>22</v>
      </c>
      <c r="S228" t="s">
        <v>4</v>
      </c>
      <c r="T228" t="s">
        <v>10</v>
      </c>
      <c r="U228" t="s">
        <v>13</v>
      </c>
      <c r="V228" t="s">
        <v>26</v>
      </c>
      <c r="W228" t="s">
        <v>12</v>
      </c>
      <c r="X228" t="s">
        <v>23</v>
      </c>
      <c r="Y228" t="s">
        <v>23</v>
      </c>
    </row>
    <row r="229" spans="10:25" x14ac:dyDescent="0.2">
      <c r="J229" t="s">
        <v>55</v>
      </c>
      <c r="L229">
        <v>1040.756654</v>
      </c>
      <c r="M229">
        <v>-22955.313441999999</v>
      </c>
      <c r="N229">
        <v>68704.611439</v>
      </c>
      <c r="O229">
        <v>-1.294724</v>
      </c>
      <c r="P229">
        <v>29.704616000000001</v>
      </c>
      <c r="Q229">
        <v>177.023695</v>
      </c>
      <c r="R229">
        <v>13.065659</v>
      </c>
      <c r="S229">
        <v>1068</v>
      </c>
      <c r="T229">
        <v>2836</v>
      </c>
      <c r="U229">
        <f>T229/(T229+S229)</f>
        <v>0.72643442622950816</v>
      </c>
      <c r="V229">
        <f>-3.9347-2.6927*U229</f>
        <v>-5.890769979508196</v>
      </c>
      <c r="W229">
        <f>M229-(SUM(S229:T229)*V229)</f>
        <v>42.252558000000136</v>
      </c>
      <c r="X229">
        <f>W229/(2*P229*R229)</f>
        <v>5.4433686663851628E-2</v>
      </c>
      <c r="Y229">
        <f>X229*16.02</f>
        <v>0.87202766035490309</v>
      </c>
    </row>
    <row r="230" spans="10:25" x14ac:dyDescent="0.2">
      <c r="L230">
        <v>1040.891128</v>
      </c>
      <c r="M230">
        <v>-22978.460838999999</v>
      </c>
      <c r="N230">
        <v>68687.049350999994</v>
      </c>
      <c r="O230">
        <v>-1.4011849999999999</v>
      </c>
      <c r="P230">
        <v>29.661705999999999</v>
      </c>
      <c r="Q230">
        <v>177.181219</v>
      </c>
      <c r="R230">
        <v>13.069585999999999</v>
      </c>
      <c r="S230">
        <v>1062</v>
      </c>
      <c r="T230">
        <v>2842</v>
      </c>
      <c r="U230">
        <f>T230/(T230+S230)</f>
        <v>0.72797131147540983</v>
      </c>
      <c r="V230">
        <f>-3.9347-2.6927*U230</f>
        <v>-5.8949083504098354</v>
      </c>
      <c r="W230">
        <f>M230-(SUM(S230:T230)*V230)</f>
        <v>35.261360999997123</v>
      </c>
      <c r="X230">
        <f>W230/(2*P230*R230)</f>
        <v>4.5479022172454149E-2</v>
      </c>
      <c r="Y230">
        <f>X230*16.02</f>
        <v>0.72857393520271541</v>
      </c>
    </row>
    <row r="231" spans="10:25" x14ac:dyDescent="0.2">
      <c r="L231">
        <v>1040.662959</v>
      </c>
      <c r="M231">
        <v>-22891.795902999998</v>
      </c>
      <c r="N231">
        <v>68799.157309000002</v>
      </c>
      <c r="O231">
        <v>-1.2783720000000001</v>
      </c>
      <c r="P231">
        <v>29.702093999999999</v>
      </c>
      <c r="Q231">
        <v>177.08503200000001</v>
      </c>
      <c r="R231">
        <v>13.080216999999999</v>
      </c>
      <c r="S231">
        <v>1087</v>
      </c>
      <c r="T231">
        <v>2817</v>
      </c>
      <c r="U231">
        <f>T231/(T231+S231)</f>
        <v>0.72156762295081966</v>
      </c>
      <c r="V231">
        <f>-3.9347-2.6927*U231</f>
        <v>-5.8776651383196716</v>
      </c>
      <c r="W231">
        <f>M231-(SUM(S231:T231)*V231)</f>
        <v>54.608797000000777</v>
      </c>
      <c r="X231">
        <f>W231/(2*P231*R231)</f>
        <v>7.0279812887690932E-2</v>
      </c>
      <c r="Y231">
        <f>X231*16.02</f>
        <v>1.1258826024608086</v>
      </c>
    </row>
    <row r="232" spans="10:25" x14ac:dyDescent="0.2">
      <c r="L232">
        <v>1040.7308270000001</v>
      </c>
      <c r="M232">
        <v>-22959.202949999999</v>
      </c>
      <c r="N232">
        <v>68711.479861999993</v>
      </c>
      <c r="O232">
        <v>-1.5069159999999999</v>
      </c>
      <c r="P232">
        <v>29.669668000000001</v>
      </c>
      <c r="Q232">
        <v>177.15755999999999</v>
      </c>
      <c r="R232">
        <v>13.072469999999999</v>
      </c>
      <c r="S232">
        <v>1065</v>
      </c>
      <c r="T232">
        <v>2839</v>
      </c>
      <c r="U232">
        <f>T232/(T232+S232)</f>
        <v>0.72720286885245899</v>
      </c>
      <c r="V232">
        <f>-3.9347-2.6927*U232</f>
        <v>-5.8928391649590157</v>
      </c>
      <c r="W232">
        <f>M232-(SUM(S232:T232)*V232)</f>
        <v>46.441149999998743</v>
      </c>
      <c r="X232">
        <f>W232/(2*P232*R232)</f>
        <v>5.986908617963671E-2</v>
      </c>
      <c r="Y232">
        <f>X232*16.02</f>
        <v>0.9591027605977801</v>
      </c>
    </row>
    <row r="233" spans="10:25" x14ac:dyDescent="0.2">
      <c r="L233">
        <v>1040.7065789999999</v>
      </c>
      <c r="M233">
        <v>-22906.211707999999</v>
      </c>
      <c r="N233">
        <v>68815.443012000003</v>
      </c>
      <c r="O233">
        <v>-1.093008</v>
      </c>
      <c r="P233">
        <v>29.698228</v>
      </c>
      <c r="Q233">
        <v>177.311677</v>
      </c>
      <c r="R233">
        <v>13.068292</v>
      </c>
      <c r="S233">
        <v>1085</v>
      </c>
      <c r="T233">
        <v>2819</v>
      </c>
      <c r="U233">
        <f>T233/(T233+S233)</f>
        <v>0.72207991803278693</v>
      </c>
      <c r="V233">
        <f>-3.9347-2.6927*U233</f>
        <v>-5.8790445952868851</v>
      </c>
      <c r="W233">
        <f>M233-(SUM(S233:T233)*V233)</f>
        <v>45.57839199999944</v>
      </c>
      <c r="X233">
        <f>W233/(2*P233*R233)</f>
        <v>5.8719133287641188E-2</v>
      </c>
      <c r="Y233">
        <f>X233*16.02</f>
        <v>0.94068051526801177</v>
      </c>
    </row>
    <row r="234" spans="10:25" x14ac:dyDescent="0.2">
      <c r="Y234" s="1">
        <f>AVERAGE(Y229:Y233)</f>
        <v>0.92525349477684382</v>
      </c>
    </row>
    <row r="235" spans="10:25" x14ac:dyDescent="0.2">
      <c r="J235" t="s">
        <v>133</v>
      </c>
      <c r="K235">
        <v>100000</v>
      </c>
      <c r="L235">
        <v>1115.779221</v>
      </c>
      <c r="M235">
        <v>-18506.923817999999</v>
      </c>
      <c r="N235">
        <v>55980.265518</v>
      </c>
      <c r="O235">
        <v>-1.816336</v>
      </c>
      <c r="P235">
        <v>23.213085</v>
      </c>
      <c r="Q235">
        <v>184.49734599999999</v>
      </c>
      <c r="R235">
        <v>13.071123</v>
      </c>
      <c r="S235">
        <v>911</v>
      </c>
      <c r="T235">
        <v>2257</v>
      </c>
      <c r="U235">
        <f>T235/(T235+S235)</f>
        <v>0.71243686868686873</v>
      </c>
      <c r="V235">
        <f>-3.9347-2.6927*U235</f>
        <v>-5.8530787563131312</v>
      </c>
      <c r="W235">
        <f>M235-(SUM(S235:T235)*V235)</f>
        <v>35.629681999998866</v>
      </c>
      <c r="X235">
        <f>W235/(2*P235*R235)</f>
        <v>5.8713259003716392E-2</v>
      </c>
      <c r="Y235">
        <f>X235*16.02</f>
        <v>0.94058640923953662</v>
      </c>
    </row>
    <row r="236" spans="10:25" x14ac:dyDescent="0.2">
      <c r="K236">
        <v>100000</v>
      </c>
      <c r="L236">
        <v>1115.6301089999999</v>
      </c>
      <c r="M236">
        <v>-18557.661185000001</v>
      </c>
      <c r="N236">
        <v>55923.302305999998</v>
      </c>
      <c r="O236">
        <v>-1.868061</v>
      </c>
      <c r="P236">
        <v>23.222082</v>
      </c>
      <c r="Q236">
        <v>184.17053999999999</v>
      </c>
      <c r="R236">
        <v>13.075925</v>
      </c>
      <c r="S236">
        <v>888</v>
      </c>
      <c r="T236">
        <v>2280</v>
      </c>
      <c r="U236">
        <f>T236/(T236+S236)</f>
        <v>0.71969696969696972</v>
      </c>
      <c r="V236">
        <f>-3.9347-2.6927*U236</f>
        <v>-5.87262803030303</v>
      </c>
      <c r="W236">
        <f>M236-(SUM(S236:T236)*V236)</f>
        <v>46.824414999999135</v>
      </c>
      <c r="X236">
        <f>W236/(2*P236*R236)</f>
        <v>7.7102558474833674E-2</v>
      </c>
      <c r="Y236">
        <f>X236*16.02</f>
        <v>1.2351829867668354</v>
      </c>
    </row>
    <row r="237" spans="10:25" x14ac:dyDescent="0.2">
      <c r="K237">
        <v>100000</v>
      </c>
      <c r="L237">
        <v>1115.1495769999999</v>
      </c>
      <c r="M237">
        <v>-18547.876347000001</v>
      </c>
      <c r="N237">
        <v>55922.258914999999</v>
      </c>
      <c r="O237">
        <v>-2.1590569999999998</v>
      </c>
      <c r="P237">
        <v>23.193459000000001</v>
      </c>
      <c r="Q237">
        <v>184.33641700000001</v>
      </c>
      <c r="R237">
        <v>13.080038</v>
      </c>
      <c r="S237">
        <v>895</v>
      </c>
      <c r="T237">
        <v>2273</v>
      </c>
      <c r="U237">
        <f>T237/(T237+S237)</f>
        <v>0.7174873737373737</v>
      </c>
      <c r="V237">
        <f>-3.9347-2.6927*U237</f>
        <v>-5.8666782512626261</v>
      </c>
      <c r="W237">
        <f>M237-(SUM(S237:T237)*V237)</f>
        <v>37.760352999997849</v>
      </c>
      <c r="X237">
        <f>W237/(2*P237*R237)</f>
        <v>6.2234545389392895E-2</v>
      </c>
      <c r="Y237">
        <f>X237*16.02</f>
        <v>0.9969974171380741</v>
      </c>
    </row>
    <row r="238" spans="10:25" x14ac:dyDescent="0.2">
      <c r="K238">
        <v>100000</v>
      </c>
      <c r="L238">
        <v>1115.68578</v>
      </c>
      <c r="M238">
        <v>-18478.369290999999</v>
      </c>
      <c r="N238">
        <v>56042.992189999997</v>
      </c>
      <c r="O238">
        <v>-1.89568</v>
      </c>
      <c r="P238">
        <v>23.215378000000001</v>
      </c>
      <c r="Q238">
        <v>184.67853299999999</v>
      </c>
      <c r="R238">
        <v>13.071641</v>
      </c>
      <c r="S238">
        <v>922</v>
      </c>
      <c r="T238">
        <v>2246</v>
      </c>
      <c r="U238">
        <f>T238/(T238+S238)</f>
        <v>0.70896464646464652</v>
      </c>
      <c r="V238">
        <f>-3.9347-2.6927*U238</f>
        <v>-5.8437291035353534</v>
      </c>
      <c r="W238">
        <f>M238-(SUM(S238:T238)*V238)</f>
        <v>34.564508999999816</v>
      </c>
      <c r="X238">
        <f>W238/(2*P238*R238)</f>
        <v>5.6950104465136139E-2</v>
      </c>
      <c r="Y238">
        <f>X238*16.02</f>
        <v>0.91234067353148096</v>
      </c>
    </row>
    <row r="239" spans="10:25" x14ac:dyDescent="0.2">
      <c r="K239">
        <v>100000</v>
      </c>
      <c r="L239">
        <v>1115.458623</v>
      </c>
      <c r="M239">
        <v>-18462.350769000001</v>
      </c>
      <c r="N239">
        <v>56052.149752999998</v>
      </c>
      <c r="O239">
        <v>-1.846312</v>
      </c>
      <c r="P239">
        <v>23.214717</v>
      </c>
      <c r="Q239">
        <v>184.48474300000001</v>
      </c>
      <c r="R239">
        <v>13.087883</v>
      </c>
      <c r="S239">
        <v>927</v>
      </c>
      <c r="T239">
        <v>2241</v>
      </c>
      <c r="U239">
        <f>T239/(T239+S239)</f>
        <v>0.70738636363636365</v>
      </c>
      <c r="V239">
        <f>-3.9347-2.6927*U239</f>
        <v>-5.8394792613636364</v>
      </c>
      <c r="W239">
        <f>M239-(SUM(S239:T239)*V239)</f>
        <v>37.119531000000279</v>
      </c>
      <c r="X239">
        <f>W239/(2*P239*R239)</f>
        <v>6.1085718569607123E-2</v>
      </c>
      <c r="Y239">
        <f>X239*16.02</f>
        <v>0.97859321148510603</v>
      </c>
    </row>
    <row r="240" spans="10:25" x14ac:dyDescent="0.2">
      <c r="Y240" s="1">
        <f>AVERAGE(Y235:Y239)</f>
        <v>1.0127401396322067</v>
      </c>
    </row>
    <row r="241" spans="10:25" x14ac:dyDescent="0.2">
      <c r="J241" t="s">
        <v>28</v>
      </c>
      <c r="L241">
        <v>1115.5700380000001</v>
      </c>
      <c r="M241">
        <v>-19369.440431999999</v>
      </c>
      <c r="N241">
        <v>58057.778563</v>
      </c>
      <c r="O241">
        <v>-1.9722599999999999</v>
      </c>
      <c r="P241">
        <v>33.476978000000003</v>
      </c>
      <c r="Q241">
        <v>133.069951</v>
      </c>
      <c r="R241">
        <v>13.032721</v>
      </c>
      <c r="S241">
        <v>897</v>
      </c>
      <c r="T241">
        <v>2399</v>
      </c>
      <c r="U241">
        <f>T241/(T241+S241)</f>
        <v>0.72785194174757284</v>
      </c>
      <c r="V241">
        <f>-3.9347-2.6927*U241</f>
        <v>-5.894586923543689</v>
      </c>
      <c r="W241">
        <f>M241-(SUM(S241:T241)*V241)</f>
        <v>59.118067999999766</v>
      </c>
      <c r="X241">
        <f>W241/(2*P241*R241)</f>
        <v>6.7749936426533916E-2</v>
      </c>
      <c r="Y241">
        <f>X241*16.02</f>
        <v>1.0853539815530733</v>
      </c>
    </row>
    <row r="242" spans="10:25" x14ac:dyDescent="0.2">
      <c r="L242">
        <v>1115.580653</v>
      </c>
      <c r="M242">
        <v>-19417.783450999999</v>
      </c>
      <c r="N242">
        <v>57988.785149000003</v>
      </c>
      <c r="O242">
        <v>-1.725951</v>
      </c>
      <c r="P242">
        <v>33.407209999999999</v>
      </c>
      <c r="Q242">
        <v>133.21764999999999</v>
      </c>
      <c r="R242">
        <v>13.029952</v>
      </c>
      <c r="S242">
        <v>878</v>
      </c>
      <c r="T242">
        <v>2418</v>
      </c>
      <c r="U242">
        <f>T242/(T242+S242)</f>
        <v>0.73361650485436891</v>
      </c>
      <c r="V242">
        <f>-3.9347-2.6927*U242</f>
        <v>-5.9101091626213584</v>
      </c>
      <c r="W242">
        <f>M242-(SUM(S242:T242)*V242)</f>
        <v>61.936348999999609</v>
      </c>
      <c r="X242">
        <f>W242/(2*P242*R242)</f>
        <v>7.11430667903412E-2</v>
      </c>
      <c r="Y242">
        <f>X242*16.02</f>
        <v>1.1397119299812659</v>
      </c>
    </row>
    <row r="243" spans="10:25" x14ac:dyDescent="0.2">
      <c r="L243">
        <v>1115.436921</v>
      </c>
      <c r="M243">
        <v>-19339.059867</v>
      </c>
      <c r="N243">
        <v>58120.962800000001</v>
      </c>
      <c r="O243">
        <v>-1.67293</v>
      </c>
      <c r="P243">
        <v>33.464111000000003</v>
      </c>
      <c r="Q243">
        <v>133.139366</v>
      </c>
      <c r="R243">
        <v>13.045114999999999</v>
      </c>
      <c r="S243">
        <v>896</v>
      </c>
      <c r="T243">
        <v>2400</v>
      </c>
      <c r="U243">
        <f>T243/(T243+S243)</f>
        <v>0.72815533980582525</v>
      </c>
      <c r="V243">
        <f>-3.9347-2.6927*U243</f>
        <v>-5.8954038834951454</v>
      </c>
      <c r="W243">
        <f>M243-(SUM(S243:T243)*V243)</f>
        <v>92.191332999998849</v>
      </c>
      <c r="X243">
        <f>W243/(2*P243*R243)</f>
        <v>0.10559245681844358</v>
      </c>
      <c r="Y243">
        <f>X243*16.02</f>
        <v>1.691591158231466</v>
      </c>
    </row>
    <row r="244" spans="10:25" x14ac:dyDescent="0.2">
      <c r="L244">
        <v>1115.448093</v>
      </c>
      <c r="M244">
        <v>-19370.986293000002</v>
      </c>
      <c r="N244">
        <v>58078.080371999997</v>
      </c>
      <c r="O244">
        <v>-1.8626210000000001</v>
      </c>
      <c r="P244">
        <v>33.481850999999999</v>
      </c>
      <c r="Q244">
        <v>133.045436</v>
      </c>
      <c r="R244">
        <v>13.037777999999999</v>
      </c>
      <c r="S244">
        <v>896</v>
      </c>
      <c r="T244">
        <v>2400</v>
      </c>
      <c r="U244">
        <f>T244/(T244+S244)</f>
        <v>0.72815533980582525</v>
      </c>
      <c r="V244">
        <f>-3.9347-2.6927*U244</f>
        <v>-5.8954038834951454</v>
      </c>
      <c r="W244">
        <f>M244-(SUM(S244:T244)*V244)</f>
        <v>60.264906999997038</v>
      </c>
      <c r="X244">
        <f>W244/(2*P244*R244)</f>
        <v>6.9027390199284583E-2</v>
      </c>
      <c r="Y244">
        <f>X244*16.02</f>
        <v>1.105818790992539</v>
      </c>
    </row>
    <row r="245" spans="10:25" x14ac:dyDescent="0.2">
      <c r="L245">
        <v>1115.6650540000001</v>
      </c>
      <c r="M245">
        <v>-19285.114414</v>
      </c>
      <c r="N245">
        <v>58248.198771000003</v>
      </c>
      <c r="O245">
        <v>-1.7869280000000001</v>
      </c>
      <c r="P245">
        <v>33.458640000000003</v>
      </c>
      <c r="Q245">
        <v>133.34655900000001</v>
      </c>
      <c r="R245">
        <v>13.055493999999999</v>
      </c>
      <c r="S245">
        <v>926</v>
      </c>
      <c r="T245">
        <v>2370</v>
      </c>
      <c r="U245">
        <f>T245/(T245+S245)</f>
        <v>0.71905339805825241</v>
      </c>
      <c r="V245">
        <f>-3.9347-2.6927*U245</f>
        <v>-5.8708950849514565</v>
      </c>
      <c r="W245">
        <f>M245-(SUM(S245:T245)*V245)</f>
        <v>65.35578600000008</v>
      </c>
      <c r="X245">
        <f>W245/(2*P245*R245)</f>
        <v>7.4808759420939799E-2</v>
      </c>
      <c r="Y245">
        <f>X245*16.02</f>
        <v>1.1984363259234556</v>
      </c>
    </row>
    <row r="246" spans="10:25" x14ac:dyDescent="0.2">
      <c r="Y246" s="1">
        <f>AVERAGE(Y241:Y245)</f>
        <v>1.2441824373363599</v>
      </c>
    </row>
    <row r="247" spans="10:25" x14ac:dyDescent="0.2">
      <c r="J247" t="s">
        <v>134</v>
      </c>
      <c r="K247">
        <v>100000</v>
      </c>
      <c r="L247">
        <v>1115.6446619999999</v>
      </c>
      <c r="M247">
        <v>-18729.582277000001</v>
      </c>
      <c r="N247">
        <v>57402.606733000001</v>
      </c>
      <c r="O247">
        <v>-1.885699</v>
      </c>
      <c r="P247">
        <v>27.101966999999998</v>
      </c>
      <c r="Q247">
        <v>161.95703399999999</v>
      </c>
      <c r="R247">
        <v>13.077716000000001</v>
      </c>
      <c r="S247">
        <v>981</v>
      </c>
      <c r="T247">
        <v>2251</v>
      </c>
      <c r="U247">
        <f>T247/(T247+S247)</f>
        <v>0.6964727722772277</v>
      </c>
      <c r="V247">
        <f>-3.9347-2.6927*U247</f>
        <v>-5.8100922339108907</v>
      </c>
      <c r="W247">
        <f>M247-(SUM(S247:T247)*V247)</f>
        <v>48.63582299999689</v>
      </c>
      <c r="X247">
        <f>W247/(2*P247*R247)</f>
        <v>6.8610970052448483E-2</v>
      </c>
      <c r="Y247">
        <f>X247*16.02</f>
        <v>1.0991477402402248</v>
      </c>
    </row>
    <row r="248" spans="10:25" x14ac:dyDescent="0.2">
      <c r="K248">
        <v>100000</v>
      </c>
      <c r="L248">
        <v>1115.473207</v>
      </c>
      <c r="M248">
        <v>-18886.384151999999</v>
      </c>
      <c r="N248">
        <v>57148.355900000002</v>
      </c>
      <c r="O248">
        <v>-1.8875010000000001</v>
      </c>
      <c r="P248">
        <v>27.058665999999999</v>
      </c>
      <c r="Q248">
        <v>161.64352299999999</v>
      </c>
      <c r="R248">
        <v>13.065918999999999</v>
      </c>
      <c r="S248">
        <v>918</v>
      </c>
      <c r="T248">
        <v>2314</v>
      </c>
      <c r="U248">
        <f>T248/(T248+S248)</f>
        <v>0.71596534653465349</v>
      </c>
      <c r="V248">
        <f>-3.9347-2.6927*U248</f>
        <v>-5.8625798886138609</v>
      </c>
      <c r="W248">
        <f>M248-(SUM(S248:T248)*V248)</f>
        <v>61.474048000000039</v>
      </c>
      <c r="X248">
        <f>W248/(2*P248*R248)</f>
        <v>8.6939166605820531E-2</v>
      </c>
      <c r="Y248">
        <f>X248*16.02</f>
        <v>1.3927654490252448</v>
      </c>
    </row>
    <row r="249" spans="10:25" x14ac:dyDescent="0.2">
      <c r="K249">
        <v>100000</v>
      </c>
      <c r="L249">
        <v>1115.9392069999999</v>
      </c>
      <c r="M249">
        <v>-18845.245398999999</v>
      </c>
      <c r="N249">
        <v>57191.415094000004</v>
      </c>
      <c r="O249">
        <v>-1.7970759999999999</v>
      </c>
      <c r="P249">
        <v>27.083697000000001</v>
      </c>
      <c r="Q249">
        <v>161.61922000000001</v>
      </c>
      <c r="R249">
        <v>13.065644000000001</v>
      </c>
      <c r="S249">
        <v>935</v>
      </c>
      <c r="T249">
        <v>2297</v>
      </c>
      <c r="U249">
        <f>T249/(T249+S249)</f>
        <v>0.7107054455445545</v>
      </c>
      <c r="V249">
        <f>-3.9347-2.6927*U249</f>
        <v>-5.8484165532178221</v>
      </c>
      <c r="W249">
        <f>M249-(SUM(S249:T249)*V249)</f>
        <v>56.836901000002399</v>
      </c>
      <c r="X249">
        <f>W249/(2*P249*R249)</f>
        <v>8.0308520912023021E-2</v>
      </c>
      <c r="Y249">
        <f>X249*16.02</f>
        <v>1.2865425050106087</v>
      </c>
    </row>
    <row r="250" spans="10:25" x14ac:dyDescent="0.2">
      <c r="K250">
        <v>100000</v>
      </c>
      <c r="L250">
        <v>1115.729102</v>
      </c>
      <c r="M250">
        <v>-18745.645171</v>
      </c>
      <c r="N250">
        <v>57386.786324000001</v>
      </c>
      <c r="O250">
        <v>-1.849893</v>
      </c>
      <c r="P250">
        <v>27.100491999999999</v>
      </c>
      <c r="Q250">
        <v>161.71894700000001</v>
      </c>
      <c r="R250">
        <v>13.094074000000001</v>
      </c>
      <c r="S250">
        <v>971</v>
      </c>
      <c r="T250">
        <v>2261</v>
      </c>
      <c r="U250">
        <f>T250/(T250+S250)</f>
        <v>0.69956683168316836</v>
      </c>
      <c r="V250">
        <f>-3.9347-2.6927*U250</f>
        <v>-5.8184236076732674</v>
      </c>
      <c r="W250">
        <f>M250-(SUM(S250:T250)*V250)</f>
        <v>59.49992900000143</v>
      </c>
      <c r="X250">
        <f>W250/(2*P250*R250)</f>
        <v>8.3836759895975915E-2</v>
      </c>
      <c r="Y250">
        <f>X250*16.02</f>
        <v>1.3430648935335341</v>
      </c>
    </row>
    <row r="251" spans="10:25" x14ac:dyDescent="0.2">
      <c r="K251">
        <v>100000</v>
      </c>
      <c r="L251">
        <v>1115.701016</v>
      </c>
      <c r="M251">
        <v>-18758.563049</v>
      </c>
      <c r="N251">
        <v>57359.844192999997</v>
      </c>
      <c r="O251">
        <v>-1.811779</v>
      </c>
      <c r="P251">
        <v>27.104210999999999</v>
      </c>
      <c r="Q251">
        <v>161.725495</v>
      </c>
      <c r="R251">
        <v>13.085599999999999</v>
      </c>
      <c r="S251">
        <v>967</v>
      </c>
      <c r="T251">
        <v>2265</v>
      </c>
      <c r="U251">
        <f>T251/(T251+S251)</f>
        <v>0.70080445544554459</v>
      </c>
      <c r="V251">
        <f>-3.9347-2.6927*U251</f>
        <v>-5.8217561571782177</v>
      </c>
      <c r="W251">
        <f>M251-(SUM(S251:T251)*V251)</f>
        <v>57.352850999999646</v>
      </c>
      <c r="X251">
        <f>W251/(2*P251*R251)</f>
        <v>8.0852714568267037E-2</v>
      </c>
      <c r="Y251">
        <f>X251*16.02</f>
        <v>1.295260487383638</v>
      </c>
    </row>
    <row r="252" spans="10:25" x14ac:dyDescent="0.2">
      <c r="M252">
        <f>AVERAGE(M247:M251)</f>
        <v>-18793.084009599999</v>
      </c>
      <c r="Y252" s="1">
        <f>AVERAGE(Y247:Y251)</f>
        <v>1.2833562150386499</v>
      </c>
    </row>
    <row r="253" spans="10:25" x14ac:dyDescent="0.2">
      <c r="J253" t="s">
        <v>27</v>
      </c>
      <c r="L253">
        <v>1115.578274</v>
      </c>
      <c r="M253">
        <v>-16896.257450000001</v>
      </c>
      <c r="N253">
        <v>50780.133081</v>
      </c>
      <c r="O253">
        <v>-1.922544</v>
      </c>
      <c r="P253">
        <v>31.100505999999999</v>
      </c>
      <c r="Q253">
        <v>125.191418</v>
      </c>
      <c r="R253">
        <v>13.042255000000001</v>
      </c>
      <c r="S253">
        <v>791</v>
      </c>
      <c r="T253">
        <v>2089</v>
      </c>
      <c r="U253">
        <f>T253/(T253+S253)</f>
        <v>0.72534722222222225</v>
      </c>
      <c r="V253">
        <f>-3.9347-2.6927*U253</f>
        <v>-5.8878424652777781</v>
      </c>
      <c r="W253">
        <f>M253-(SUM(S253:T253)*V253)</f>
        <v>60.728849999999511</v>
      </c>
      <c r="X253">
        <f>W253/(2*P253*R253)</f>
        <v>7.4859154779652784E-2</v>
      </c>
      <c r="Y253">
        <f>X253*16.02</f>
        <v>1.1992436595700375</v>
      </c>
    </row>
    <row r="254" spans="10:25" x14ac:dyDescent="0.2">
      <c r="L254">
        <v>1115.538624</v>
      </c>
      <c r="M254">
        <v>-16902.277856000001</v>
      </c>
      <c r="N254">
        <v>50780.340651999999</v>
      </c>
      <c r="O254">
        <v>-1.9712289999999999</v>
      </c>
      <c r="P254">
        <v>31.098395</v>
      </c>
      <c r="Q254">
        <v>125.257975</v>
      </c>
      <c r="R254">
        <v>13.036263</v>
      </c>
      <c r="S254">
        <v>788</v>
      </c>
      <c r="T254">
        <v>2092</v>
      </c>
      <c r="U254">
        <f>T254/(T254+S254)</f>
        <v>0.72638888888888886</v>
      </c>
      <c r="V254">
        <f>-3.9347-2.6927*U254</f>
        <v>-5.8906473611111103</v>
      </c>
      <c r="W254">
        <f>M254-(SUM(S254:T254)*V254)</f>
        <v>62.786543999998685</v>
      </c>
      <c r="X254">
        <f>W254/(2*P254*R254)</f>
        <v>7.7436460503320828E-2</v>
      </c>
      <c r="Y254">
        <f>X254*16.02</f>
        <v>1.2405320972631997</v>
      </c>
    </row>
    <row r="255" spans="10:25" x14ac:dyDescent="0.2">
      <c r="L255">
        <v>1115.634104</v>
      </c>
      <c r="M255">
        <v>-16881.448992000001</v>
      </c>
      <c r="N255">
        <v>50820.203306000003</v>
      </c>
      <c r="O255">
        <v>-2.2348119999999998</v>
      </c>
      <c r="P255">
        <v>31.052865000000001</v>
      </c>
      <c r="Q255">
        <v>125.262175</v>
      </c>
      <c r="R255">
        <v>13.065189</v>
      </c>
      <c r="S255">
        <v>798</v>
      </c>
      <c r="T255">
        <v>2082</v>
      </c>
      <c r="U255">
        <f>T255/(T255+S255)</f>
        <v>0.72291666666666665</v>
      </c>
      <c r="V255">
        <f>-3.9347-2.6927*U255</f>
        <v>-5.8812977083333333</v>
      </c>
      <c r="W255">
        <f>M255-(SUM(S255:T255)*V255)</f>
        <v>56.688407999998162</v>
      </c>
      <c r="X255">
        <f>W255/(2*P255*R255)</f>
        <v>6.9862945693497755E-2</v>
      </c>
      <c r="Y255">
        <f>X255*16.02</f>
        <v>1.1192043900098341</v>
      </c>
    </row>
    <row r="256" spans="10:25" x14ac:dyDescent="0.2">
      <c r="L256">
        <v>1115.553705</v>
      </c>
      <c r="M256">
        <v>-16882.459354999999</v>
      </c>
      <c r="N256">
        <v>50807.618191000001</v>
      </c>
      <c r="O256">
        <v>-2.0775100000000002</v>
      </c>
      <c r="P256">
        <v>31.062616999999999</v>
      </c>
      <c r="Q256">
        <v>125.298714</v>
      </c>
      <c r="R256">
        <v>13.054043999999999</v>
      </c>
      <c r="S256">
        <v>793</v>
      </c>
      <c r="T256">
        <v>2087</v>
      </c>
      <c r="U256">
        <f>T256/(T256+S256)</f>
        <v>0.72465277777777781</v>
      </c>
      <c r="V256">
        <f>-3.9347-2.6927*U256</f>
        <v>-5.8859725347222218</v>
      </c>
      <c r="W256">
        <f>M256-(SUM(S256:T256)*V256)</f>
        <v>69.141544999998587</v>
      </c>
      <c r="X256">
        <f>W256/(2*P256*R256)</f>
        <v>8.5256199707381158E-2</v>
      </c>
      <c r="Y256">
        <f>X256*16.02</f>
        <v>1.3658043193122462</v>
      </c>
    </row>
    <row r="257" spans="10:25" x14ac:dyDescent="0.2">
      <c r="L257">
        <v>1115.684921</v>
      </c>
      <c r="M257">
        <v>-16800.569316000001</v>
      </c>
      <c r="N257">
        <v>50985.290668000001</v>
      </c>
      <c r="O257">
        <v>-1.9951129999999999</v>
      </c>
      <c r="P257">
        <v>31.082319999999999</v>
      </c>
      <c r="Q257">
        <v>125.54366</v>
      </c>
      <c r="R257">
        <v>13.065849999999999</v>
      </c>
      <c r="S257">
        <v>824</v>
      </c>
      <c r="T257">
        <v>2056</v>
      </c>
      <c r="U257">
        <f>T257/(T257+S257)</f>
        <v>0.71388888888888891</v>
      </c>
      <c r="V257">
        <f>-3.9347-2.6927*U257</f>
        <v>-5.8569886111111114</v>
      </c>
      <c r="W257">
        <f>M257-(SUM(S257:T257)*V257)</f>
        <v>67.557883999998012</v>
      </c>
      <c r="X257">
        <f>W257/(2*P257*R257)</f>
        <v>8.3175409446209478E-2</v>
      </c>
      <c r="Y257">
        <f>X257*16.02</f>
        <v>1.3324700593282759</v>
      </c>
    </row>
    <row r="258" spans="10:25" x14ac:dyDescent="0.2">
      <c r="Y258" s="1">
        <f>AVERAGE(Y253:Y257)</f>
        <v>1.2514509050967189</v>
      </c>
    </row>
    <row r="259" spans="10:25" x14ac:dyDescent="0.2">
      <c r="J259" t="s">
        <v>172</v>
      </c>
      <c r="K259">
        <v>100000</v>
      </c>
      <c r="L259">
        <v>1115.506703</v>
      </c>
      <c r="M259">
        <v>-21340.029895</v>
      </c>
      <c r="N259">
        <v>65312.100218</v>
      </c>
      <c r="O259">
        <v>-1.6595359999999999</v>
      </c>
      <c r="P259">
        <v>25.024799999999999</v>
      </c>
      <c r="Q259">
        <v>199.186318</v>
      </c>
      <c r="R259">
        <v>13.102802000000001</v>
      </c>
      <c r="S259">
        <v>1112</v>
      </c>
      <c r="T259">
        <v>2568</v>
      </c>
      <c r="U259">
        <f>T259/(T259+S259)</f>
        <v>0.69782608695652171</v>
      </c>
      <c r="V259">
        <f>-3.9347-2.6927*U259</f>
        <v>-5.8137363043478256</v>
      </c>
      <c r="W259">
        <f>M259-(SUM(S259:T259)*V259)</f>
        <v>54.519704999998794</v>
      </c>
      <c r="X259">
        <f>W259/(2*P259*R259)</f>
        <v>8.3135920164784369E-2</v>
      </c>
      <c r="Y259">
        <f>X259*16.02</f>
        <v>1.3318374410398455</v>
      </c>
    </row>
    <row r="260" spans="10:25" x14ac:dyDescent="0.2">
      <c r="K260">
        <v>100000</v>
      </c>
      <c r="L260">
        <v>1115.422431</v>
      </c>
      <c r="M260">
        <v>-21366.235035000002</v>
      </c>
      <c r="N260">
        <v>65263.859127999996</v>
      </c>
      <c r="O260">
        <v>-1.575032</v>
      </c>
      <c r="P260">
        <v>25.029845999999999</v>
      </c>
      <c r="Q260">
        <v>199.25242600000001</v>
      </c>
      <c r="R260">
        <v>13.086144000000001</v>
      </c>
      <c r="S260">
        <v>1100</v>
      </c>
      <c r="T260">
        <v>2580</v>
      </c>
      <c r="U260">
        <f>T260/(T260+S260)</f>
        <v>0.70108695652173914</v>
      </c>
      <c r="V260">
        <f>-3.9347-2.6927*U260</f>
        <v>-5.8225168478260869</v>
      </c>
      <c r="W260">
        <f>M260-(SUM(S260:T260)*V260)</f>
        <v>60.626964999999473</v>
      </c>
      <c r="X260">
        <f>W260/(2*P260*R260)</f>
        <v>9.2547770236808713E-2</v>
      </c>
      <c r="Y260">
        <f>X260*16.02</f>
        <v>1.4826152791936755</v>
      </c>
    </row>
    <row r="261" spans="10:25" x14ac:dyDescent="0.2">
      <c r="K261">
        <v>100000</v>
      </c>
      <c r="L261">
        <v>1115.433955</v>
      </c>
      <c r="M261">
        <v>-21413.588935</v>
      </c>
      <c r="N261">
        <v>65182.746444999997</v>
      </c>
      <c r="O261">
        <v>-1.5567390000000001</v>
      </c>
      <c r="P261">
        <v>24.993362999999999</v>
      </c>
      <c r="Q261">
        <v>199.32467800000001</v>
      </c>
      <c r="R261">
        <v>13.084212000000001</v>
      </c>
      <c r="S261">
        <v>1084</v>
      </c>
      <c r="T261">
        <v>2596</v>
      </c>
      <c r="U261">
        <f>T261/(T261+S261)</f>
        <v>0.70543478260869563</v>
      </c>
      <c r="V261">
        <f>-3.9347-2.6927*U261</f>
        <v>-5.8342242391304344</v>
      </c>
      <c r="W261">
        <f>M261-(SUM(S261:T261)*V261)</f>
        <v>56.35626499999853</v>
      </c>
      <c r="X261">
        <f>W261/(2*P261*R261)</f>
        <v>8.6166794659478477E-2</v>
      </c>
      <c r="Y261">
        <f>X261*16.02</f>
        <v>1.3803920504448453</v>
      </c>
    </row>
    <row r="262" spans="10:25" x14ac:dyDescent="0.2">
      <c r="K262">
        <v>100000</v>
      </c>
      <c r="L262">
        <v>1115.1256980000001</v>
      </c>
      <c r="M262">
        <v>-21390.262933000002</v>
      </c>
      <c r="N262">
        <v>65246.204311000001</v>
      </c>
      <c r="O262">
        <v>-1.5249779999999999</v>
      </c>
      <c r="P262">
        <v>25.015723000000001</v>
      </c>
      <c r="Q262">
        <v>199.25727599999999</v>
      </c>
      <c r="R262">
        <v>13.08967</v>
      </c>
      <c r="S262">
        <v>1093</v>
      </c>
      <c r="T262">
        <v>2587</v>
      </c>
      <c r="U262">
        <f>T262/(T262+S262)</f>
        <v>0.70298913043478262</v>
      </c>
      <c r="V262">
        <f>-3.9347-2.6927*U262</f>
        <v>-5.8276388315217389</v>
      </c>
      <c r="W262">
        <f>M262-(SUM(S262:T262)*V262)</f>
        <v>55.447966999996424</v>
      </c>
      <c r="X262">
        <f>W262/(2*P262*R262)</f>
        <v>8.4666942073734805E-2</v>
      </c>
      <c r="Y262">
        <f>X262*16.02</f>
        <v>1.3563644120212315</v>
      </c>
    </row>
    <row r="263" spans="10:25" x14ac:dyDescent="0.2">
      <c r="K263">
        <v>100000</v>
      </c>
      <c r="L263">
        <v>1116.1164309999999</v>
      </c>
      <c r="M263">
        <v>-21339.956443999999</v>
      </c>
      <c r="N263">
        <v>65353.480623000003</v>
      </c>
      <c r="O263">
        <v>-1.632746</v>
      </c>
      <c r="P263">
        <v>25.015785000000001</v>
      </c>
      <c r="Q263">
        <v>199.662691</v>
      </c>
      <c r="R263">
        <v>13.084536999999999</v>
      </c>
      <c r="S263">
        <v>1111</v>
      </c>
      <c r="T263">
        <v>2569</v>
      </c>
      <c r="U263">
        <f>T263/(T263+S263)</f>
        <v>0.69809782608695647</v>
      </c>
      <c r="V263">
        <f>-3.9347-2.6927*U263</f>
        <v>-5.8144680163043478</v>
      </c>
      <c r="W263">
        <f>M263-(SUM(S263:T263)*V263)</f>
        <v>57.285856000002241</v>
      </c>
      <c r="X263">
        <f>W263/(2*P263*R263)</f>
        <v>8.7507427330495297E-2</v>
      </c>
      <c r="Y263">
        <f>X263*16.02</f>
        <v>1.4018689858345346</v>
      </c>
    </row>
    <row r="264" spans="10:25" x14ac:dyDescent="0.2">
      <c r="Y264" s="1">
        <f>AVERAGE(Y259:Y263)</f>
        <v>1.3906156337068265</v>
      </c>
    </row>
    <row r="265" spans="10:25" x14ac:dyDescent="0.2">
      <c r="J265" t="s">
        <v>17</v>
      </c>
      <c r="L265">
        <v>1040.6422230000001</v>
      </c>
      <c r="M265">
        <v>-22383.401116000001</v>
      </c>
      <c r="N265">
        <v>67058.890740000003</v>
      </c>
      <c r="O265">
        <v>-1.223093</v>
      </c>
      <c r="P265">
        <v>29.317682000000001</v>
      </c>
      <c r="Q265">
        <v>175.28245699999999</v>
      </c>
      <c r="R265">
        <v>13.04935</v>
      </c>
      <c r="S265">
        <v>1041</v>
      </c>
      <c r="T265">
        <v>2767</v>
      </c>
      <c r="U265">
        <f>T265/(T265+S265)</f>
        <v>0.72662815126050417</v>
      </c>
      <c r="V265">
        <f>-3.9347-2.6927*U265</f>
        <v>-5.8912916228991596</v>
      </c>
      <c r="W265">
        <f>M265-(SUM(S265:T265)*V265)</f>
        <v>50.637383999997837</v>
      </c>
      <c r="X265">
        <f>W265/(2*P265*R265)</f>
        <v>6.617938944819067E-2</v>
      </c>
      <c r="Y265">
        <f>X265*16.02</f>
        <v>1.0601938189600144</v>
      </c>
    </row>
    <row r="266" spans="10:25" x14ac:dyDescent="0.2">
      <c r="L266">
        <v>1040.6904320000001</v>
      </c>
      <c r="M266">
        <v>-22397.666646000001</v>
      </c>
      <c r="N266">
        <v>67025.507744999995</v>
      </c>
      <c r="O266">
        <v>-1.3203510000000001</v>
      </c>
      <c r="P266">
        <v>29.300255</v>
      </c>
      <c r="Q266">
        <v>175.170042</v>
      </c>
      <c r="R266">
        <v>13.058985</v>
      </c>
      <c r="S266">
        <v>1033</v>
      </c>
      <c r="T266">
        <v>2775</v>
      </c>
      <c r="U266">
        <f>T266/(T266+S266)</f>
        <v>0.72872899159663862</v>
      </c>
      <c r="V266">
        <f>-3.9347-2.6927*U266</f>
        <v>-5.8969485556722683</v>
      </c>
      <c r="W266">
        <f>M266-(SUM(S266:T266)*V266)</f>
        <v>57.913453999997728</v>
      </c>
      <c r="X266">
        <f>W266/(2*P266*R266)</f>
        <v>7.5677826180122545E-2</v>
      </c>
      <c r="Y266">
        <f>X266*16.02</f>
        <v>1.2123587754055631</v>
      </c>
    </row>
    <row r="267" spans="10:25" x14ac:dyDescent="0.2">
      <c r="L267">
        <v>1040.7938160000001</v>
      </c>
      <c r="M267">
        <v>-22314.580261999999</v>
      </c>
      <c r="N267">
        <v>67192.406828000006</v>
      </c>
      <c r="O267">
        <v>-1.2340199999999999</v>
      </c>
      <c r="P267">
        <v>29.337882</v>
      </c>
      <c r="Q267">
        <v>175.24416099999999</v>
      </c>
      <c r="R267">
        <v>13.069184</v>
      </c>
      <c r="S267">
        <v>1063</v>
      </c>
      <c r="T267">
        <v>2745</v>
      </c>
      <c r="U267">
        <f>T267/(T267+S267)</f>
        <v>0.72085084033613445</v>
      </c>
      <c r="V267">
        <f>-3.9347-2.6927*U267</f>
        <v>-5.8757350577731087</v>
      </c>
      <c r="W267">
        <f>M267-(SUM(S267:T267)*V267)</f>
        <v>60.218837999997049</v>
      </c>
      <c r="X267">
        <f>W267/(2*P267*R267)</f>
        <v>7.8528110071340529E-2</v>
      </c>
      <c r="Y267">
        <f>X267*16.02</f>
        <v>1.2580203233428753</v>
      </c>
    </row>
    <row r="268" spans="10:25" x14ac:dyDescent="0.2">
      <c r="L268">
        <v>1040.842361</v>
      </c>
      <c r="M268">
        <v>-22385.032413000001</v>
      </c>
      <c r="N268">
        <v>67080.018402999995</v>
      </c>
      <c r="O268">
        <v>-1.1269359999999999</v>
      </c>
      <c r="P268">
        <v>29.313777999999999</v>
      </c>
      <c r="Q268">
        <v>175.28792300000001</v>
      </c>
      <c r="R268">
        <v>13.054793</v>
      </c>
      <c r="S268">
        <v>1038</v>
      </c>
      <c r="T268">
        <v>2770</v>
      </c>
      <c r="U268">
        <f>T268/(T268+S268)</f>
        <v>0.72741596638655459</v>
      </c>
      <c r="V268">
        <f>-3.9347-2.6927*U268</f>
        <v>-5.8934129726890756</v>
      </c>
      <c r="W268">
        <f>M268-(SUM(S268:T268)*V268)</f>
        <v>57.084187000000384</v>
      </c>
      <c r="X268">
        <f>W268/(2*P268*R268)</f>
        <v>7.4583719870481846E-2</v>
      </c>
      <c r="Y268">
        <f>X268*16.02</f>
        <v>1.1948311923251191</v>
      </c>
    </row>
    <row r="269" spans="10:25" x14ac:dyDescent="0.2">
      <c r="L269">
        <v>1040.713035</v>
      </c>
      <c r="M269">
        <v>-22323.563625999999</v>
      </c>
      <c r="N269">
        <v>67148.829521000007</v>
      </c>
      <c r="O269">
        <v>-1.290224</v>
      </c>
      <c r="P269">
        <v>29.352748999999999</v>
      </c>
      <c r="Q269">
        <v>175.24367100000001</v>
      </c>
      <c r="R269">
        <v>13.054130000000001</v>
      </c>
      <c r="S269">
        <v>1060</v>
      </c>
      <c r="T269">
        <v>2748</v>
      </c>
      <c r="U269">
        <f>T269/(T269+S269)</f>
        <v>0.72163865546218486</v>
      </c>
      <c r="V269">
        <f>-3.9347-2.6927*U269</f>
        <v>-5.8778564075630246</v>
      </c>
      <c r="W269">
        <f>M269-(SUM(S269:T269)*V269)</f>
        <v>59.31357399999979</v>
      </c>
      <c r="X269">
        <f>W269/(2*P269*R269)</f>
        <v>7.7397580369685803E-2</v>
      </c>
      <c r="Y269">
        <f>X269*16.02</f>
        <v>1.2399092375223666</v>
      </c>
    </row>
    <row r="270" spans="10:25" x14ac:dyDescent="0.2">
      <c r="Y270" s="1">
        <f>AVERAGE(Y265:Y269)</f>
        <v>1.1930626695111877</v>
      </c>
    </row>
    <row r="271" spans="10:25" x14ac:dyDescent="0.2">
      <c r="J271" t="s">
        <v>173</v>
      </c>
      <c r="K271">
        <v>100000</v>
      </c>
      <c r="L271">
        <v>1115.6954699999999</v>
      </c>
      <c r="M271">
        <v>-37818.830749000001</v>
      </c>
      <c r="N271">
        <v>114789.28664599999</v>
      </c>
      <c r="O271">
        <v>-1.106751</v>
      </c>
      <c r="P271">
        <v>38.307321999999999</v>
      </c>
      <c r="Q271">
        <v>229.05485400000001</v>
      </c>
      <c r="R271">
        <v>13.082189</v>
      </c>
      <c r="S271">
        <v>1892</v>
      </c>
      <c r="T271">
        <v>4596</v>
      </c>
      <c r="U271">
        <f>T271/(T271+S271)</f>
        <v>0.70838471023427863</v>
      </c>
      <c r="V271">
        <f>-3.9347-2.6927*U271</f>
        <v>-5.842167509247842</v>
      </c>
      <c r="W271">
        <f>M271-(SUM(S271:T271)*V271)</f>
        <v>85.1520509999973</v>
      </c>
      <c r="X271">
        <f>W271/(2*P271*R271)</f>
        <v>8.4957731176553641E-2</v>
      </c>
      <c r="Y271">
        <f>X271*16.02</f>
        <v>1.3610228534483892</v>
      </c>
    </row>
    <row r="272" spans="10:25" x14ac:dyDescent="0.2">
      <c r="K272">
        <v>100000</v>
      </c>
      <c r="L272">
        <v>1115.5218239999999</v>
      </c>
      <c r="M272">
        <v>-37740.760116999998</v>
      </c>
      <c r="N272">
        <v>114937.58249099999</v>
      </c>
      <c r="O272">
        <v>-1.0293410000000001</v>
      </c>
      <c r="P272">
        <v>38.326448999999997</v>
      </c>
      <c r="Q272">
        <v>229.08545100000001</v>
      </c>
      <c r="R272">
        <v>13.090804</v>
      </c>
      <c r="S272">
        <v>1919</v>
      </c>
      <c r="T272">
        <v>4569</v>
      </c>
      <c r="U272">
        <f>T272/(T272+S272)</f>
        <v>0.70422318125770655</v>
      </c>
      <c r="V272">
        <f>-3.9347-2.6927*U272</f>
        <v>-5.8309617601726265</v>
      </c>
      <c r="W272">
        <f>M272-(SUM(S272:T272)*V272)</f>
        <v>90.519783000003372</v>
      </c>
      <c r="X272">
        <f>W272/(2*P272*R272)</f>
        <v>9.0208737522220472E-2</v>
      </c>
      <c r="Y272">
        <f>X272*16.02</f>
        <v>1.445143975105972</v>
      </c>
    </row>
    <row r="273" spans="10:30" x14ac:dyDescent="0.2">
      <c r="K273">
        <v>100000</v>
      </c>
      <c r="L273">
        <v>1115.4548520000001</v>
      </c>
      <c r="M273">
        <v>-38077.563606999996</v>
      </c>
      <c r="N273">
        <v>114340.444794</v>
      </c>
      <c r="O273">
        <v>-0.78788599999999998</v>
      </c>
      <c r="P273">
        <v>38.264792999999997</v>
      </c>
      <c r="Q273">
        <v>228.721315</v>
      </c>
      <c r="R273">
        <v>13.064543</v>
      </c>
      <c r="S273">
        <v>1797</v>
      </c>
      <c r="T273">
        <v>4691</v>
      </c>
      <c r="U273">
        <f>T273/(T273+S273)</f>
        <v>0.72302712700369909</v>
      </c>
      <c r="V273">
        <f>-3.9347-2.6927*U273</f>
        <v>-5.8815951448828603</v>
      </c>
      <c r="W273">
        <f>M273-(SUM(S273:T273)*V273)</f>
        <v>82.225693000000319</v>
      </c>
      <c r="X273">
        <f>W273/(2*P273*R273)</f>
        <v>8.2240161752687099E-2</v>
      </c>
      <c r="Y273">
        <f>X273*16.02</f>
        <v>1.3174873912780474</v>
      </c>
      <c r="AD273" s="44"/>
    </row>
    <row r="274" spans="10:30" x14ac:dyDescent="0.2">
      <c r="K274">
        <v>100000</v>
      </c>
      <c r="L274">
        <v>1115.6312760000001</v>
      </c>
      <c r="M274">
        <v>-37813.612114000003</v>
      </c>
      <c r="N274">
        <v>114828.895936</v>
      </c>
      <c r="O274">
        <v>-1.1083149999999999</v>
      </c>
      <c r="P274">
        <v>38.293880999999999</v>
      </c>
      <c r="Q274">
        <v>229.106368</v>
      </c>
      <c r="R274">
        <v>13.088353</v>
      </c>
      <c r="S274">
        <v>1894</v>
      </c>
      <c r="T274">
        <v>4594</v>
      </c>
      <c r="U274">
        <f>T274/(T274+S274)</f>
        <v>0.70807644882860665</v>
      </c>
      <c r="V274">
        <f>-3.9347-2.6927*U274</f>
        <v>-5.8413374537607892</v>
      </c>
      <c r="W274">
        <f>M274-(SUM(S274:T274)*V274)</f>
        <v>84.98528599999554</v>
      </c>
      <c r="X274">
        <f>W274/(2*P274*R274)</f>
        <v>8.4781161404362551E-2</v>
      </c>
      <c r="Y274">
        <f>X274*16.02</f>
        <v>1.358194205697888</v>
      </c>
    </row>
    <row r="275" spans="10:30" x14ac:dyDescent="0.2">
      <c r="K275">
        <v>100000</v>
      </c>
      <c r="L275">
        <v>1115.6640460000001</v>
      </c>
      <c r="M275">
        <v>-37769.571747000002</v>
      </c>
      <c r="N275">
        <v>114886.476513</v>
      </c>
      <c r="O275">
        <v>-0.61323700000000003</v>
      </c>
      <c r="P275">
        <v>38.321576999999998</v>
      </c>
      <c r="Q275">
        <v>229.06734499999999</v>
      </c>
      <c r="R275">
        <v>13.087681</v>
      </c>
      <c r="S275">
        <v>1916</v>
      </c>
      <c r="T275">
        <v>4572</v>
      </c>
      <c r="U275">
        <f>T275/(T275+S275)</f>
        <v>0.70468557336621451</v>
      </c>
      <c r="V275">
        <f>-3.9347-2.6927*U275</f>
        <v>-5.8322068434032053</v>
      </c>
      <c r="W275">
        <f>M275-(SUM(S275:T275)*V275)</f>
        <v>69.78625299999112</v>
      </c>
      <c r="X275">
        <f>W275/(2*P275*R275)</f>
        <v>6.9571891539528127E-2</v>
      </c>
      <c r="Y275">
        <f>X275*16.02</f>
        <v>1.1145417024632405</v>
      </c>
    </row>
    <row r="276" spans="10:30" x14ac:dyDescent="0.2">
      <c r="Y276" s="1">
        <f>AVERAGE(Y271:Y275)</f>
        <v>1.3192780255987073</v>
      </c>
    </row>
    <row r="277" spans="10:30" x14ac:dyDescent="0.2">
      <c r="J277" t="s">
        <v>174</v>
      </c>
      <c r="K277">
        <v>100000</v>
      </c>
      <c r="L277">
        <v>1115.7877040000001</v>
      </c>
      <c r="M277">
        <v>-19145.570315000001</v>
      </c>
      <c r="N277">
        <v>58440.298504999999</v>
      </c>
      <c r="O277">
        <v>-1.499082</v>
      </c>
      <c r="P277">
        <v>23.714617000000001</v>
      </c>
      <c r="Q277">
        <v>188.43452199999999</v>
      </c>
      <c r="R277">
        <v>13.077854</v>
      </c>
      <c r="S277">
        <v>987</v>
      </c>
      <c r="T277">
        <v>2309</v>
      </c>
      <c r="U277">
        <f>T277/(T277+S277)</f>
        <v>0.70054611650485432</v>
      </c>
      <c r="V277">
        <f>-3.9347-2.6927*U277</f>
        <v>-5.8210605279126213</v>
      </c>
      <c r="W277">
        <f>M277-(SUM(S277:T277)*V277)</f>
        <v>40.645184999997582</v>
      </c>
      <c r="X277">
        <f>W277/(2*P277*R277)</f>
        <v>6.5527939100201799E-2</v>
      </c>
      <c r="Y277">
        <f>X277*16.02</f>
        <v>1.0497575843852327</v>
      </c>
    </row>
    <row r="278" spans="10:30" x14ac:dyDescent="0.2">
      <c r="K278">
        <v>100000</v>
      </c>
      <c r="L278">
        <v>1115.3512700000001</v>
      </c>
      <c r="M278">
        <v>-19085.506474000002</v>
      </c>
      <c r="N278">
        <v>58529.742069</v>
      </c>
      <c r="O278">
        <v>-1.716364</v>
      </c>
      <c r="P278">
        <v>23.727240999999999</v>
      </c>
      <c r="Q278">
        <v>188.48887300000001</v>
      </c>
      <c r="R278">
        <v>13.087126</v>
      </c>
      <c r="S278">
        <v>1010</v>
      </c>
      <c r="T278">
        <v>2286</v>
      </c>
      <c r="U278">
        <f>T278/(T278+S278)</f>
        <v>0.6935679611650486</v>
      </c>
      <c r="V278">
        <f>-3.9347-2.6927*U278</f>
        <v>-5.8022704490291259</v>
      </c>
      <c r="W278">
        <f>M278-(SUM(S278:T278)*V278)</f>
        <v>38.776925999998639</v>
      </c>
      <c r="X278">
        <f>W278/(2*P278*R278)</f>
        <v>6.2438413140231762E-2</v>
      </c>
      <c r="Y278">
        <f>X278*16.02</f>
        <v>1.0002633785065127</v>
      </c>
    </row>
    <row r="279" spans="10:30" x14ac:dyDescent="0.2">
      <c r="K279">
        <v>100000</v>
      </c>
      <c r="L279">
        <v>1115.5191950000001</v>
      </c>
      <c r="M279">
        <v>-19068.456568000001</v>
      </c>
      <c r="N279">
        <v>58609.533371999998</v>
      </c>
      <c r="O279">
        <v>-1.5143329999999999</v>
      </c>
      <c r="P279">
        <v>23.736388000000002</v>
      </c>
      <c r="Q279">
        <v>188.50862499999999</v>
      </c>
      <c r="R279">
        <v>13.098546000000001</v>
      </c>
      <c r="S279">
        <v>1017</v>
      </c>
      <c r="T279">
        <v>2279</v>
      </c>
      <c r="U279">
        <f>T279/(T279+S279)</f>
        <v>0.69144417475728159</v>
      </c>
      <c r="V279">
        <f>-3.9347-2.6927*U279</f>
        <v>-5.7965517293689324</v>
      </c>
      <c r="W279">
        <f>M279-(SUM(S279:T279)*V279)</f>
        <v>36.977931999997963</v>
      </c>
      <c r="X279">
        <f>W279/(2*P279*R279)</f>
        <v>5.9466845554926547E-2</v>
      </c>
      <c r="Y279">
        <f>X279*16.02</f>
        <v>0.9526588657899232</v>
      </c>
    </row>
    <row r="280" spans="10:30" x14ac:dyDescent="0.2">
      <c r="K280">
        <v>100000</v>
      </c>
      <c r="L280">
        <v>1115.4289859999999</v>
      </c>
      <c r="M280">
        <v>-19174.401245000001</v>
      </c>
      <c r="N280">
        <v>58399.400376999998</v>
      </c>
      <c r="O280">
        <v>-1.706528</v>
      </c>
      <c r="P280">
        <v>23.710908</v>
      </c>
      <c r="Q280">
        <v>188.46213800000001</v>
      </c>
      <c r="R280">
        <v>13.068832</v>
      </c>
      <c r="S280">
        <v>978</v>
      </c>
      <c r="T280">
        <v>2318</v>
      </c>
      <c r="U280">
        <f>T280/(T280+S280)</f>
        <v>0.70327669902912626</v>
      </c>
      <c r="V280">
        <f>-3.9347-2.6927*U280</f>
        <v>-5.8284131674757278</v>
      </c>
      <c r="W280">
        <f>M280-(SUM(S280:T280)*V280)</f>
        <v>36.048554999997577</v>
      </c>
      <c r="X280">
        <f>W280/(2*P280*R280)</f>
        <v>5.8166496299718054E-2</v>
      </c>
      <c r="Y280">
        <f>X280*16.02</f>
        <v>0.93182727072148319</v>
      </c>
    </row>
    <row r="281" spans="10:30" x14ac:dyDescent="0.2">
      <c r="K281">
        <v>100000</v>
      </c>
      <c r="L281">
        <v>1115.7023999999999</v>
      </c>
      <c r="M281">
        <v>-19083.447966</v>
      </c>
      <c r="N281">
        <v>58572.079054000002</v>
      </c>
      <c r="O281">
        <v>-1.7151240000000001</v>
      </c>
      <c r="P281">
        <v>23.71077</v>
      </c>
      <c r="Q281">
        <v>188.548236</v>
      </c>
      <c r="R281">
        <v>13.101566999999999</v>
      </c>
      <c r="S281">
        <v>1005</v>
      </c>
      <c r="T281">
        <v>2291</v>
      </c>
      <c r="U281">
        <f>T281/(T281+S281)</f>
        <v>0.69508495145631066</v>
      </c>
      <c r="V281">
        <f>-3.9347-2.6927*U281</f>
        <v>-5.8063552487864074</v>
      </c>
      <c r="W281">
        <f>M281-(SUM(S281:T281)*V281)</f>
        <v>54.298933999998553</v>
      </c>
      <c r="X281">
        <f>W281/(2*P281*R281)</f>
        <v>8.7396171453384422E-2</v>
      </c>
      <c r="Y281">
        <f>X281*16.02</f>
        <v>1.4000866666832184</v>
      </c>
    </row>
    <row r="282" spans="10:30" x14ac:dyDescent="0.2">
      <c r="Y282" s="1">
        <f>AVERAGE(Y277:Y281)</f>
        <v>1.0669187532172741</v>
      </c>
    </row>
    <row r="283" spans="10:30" x14ac:dyDescent="0.2">
      <c r="J283" t="s">
        <v>175</v>
      </c>
      <c r="K283">
        <v>100000</v>
      </c>
      <c r="L283">
        <v>1115.693538</v>
      </c>
      <c r="M283">
        <v>-27659.101675999998</v>
      </c>
      <c r="N283">
        <v>84163.997906999997</v>
      </c>
      <c r="O283">
        <v>-1.112509</v>
      </c>
      <c r="P283">
        <v>32.881374000000001</v>
      </c>
      <c r="Q283">
        <v>195.876442</v>
      </c>
      <c r="R283">
        <v>13.067564000000001</v>
      </c>
      <c r="S283">
        <v>1406</v>
      </c>
      <c r="T283">
        <v>3346</v>
      </c>
      <c r="U283">
        <f>T283/(T283+S283)</f>
        <v>0.70412457912457915</v>
      </c>
      <c r="V283">
        <f>-3.9347-2.6927*U283</f>
        <v>-5.8306962542087541</v>
      </c>
      <c r="W283">
        <f>M283-(SUM(S283:T283)*V283)</f>
        <v>48.366924000001745</v>
      </c>
      <c r="X283">
        <f>W283/(2*P283*R283)</f>
        <v>5.6282564793010595E-2</v>
      </c>
      <c r="Y283">
        <f>X283*16.02</f>
        <v>0.90164668798402969</v>
      </c>
    </row>
    <row r="284" spans="10:30" x14ac:dyDescent="0.2">
      <c r="K284">
        <v>100000</v>
      </c>
      <c r="L284">
        <v>1115.6111100000001</v>
      </c>
      <c r="M284">
        <v>-27745.70707</v>
      </c>
      <c r="N284">
        <v>83999.563324999996</v>
      </c>
      <c r="O284">
        <v>-1.2607790000000001</v>
      </c>
      <c r="P284">
        <v>32.860883000000001</v>
      </c>
      <c r="Q284">
        <v>195.44793100000001</v>
      </c>
      <c r="R284">
        <v>13.07878</v>
      </c>
      <c r="S284">
        <v>1370</v>
      </c>
      <c r="T284">
        <v>3382</v>
      </c>
      <c r="U284">
        <f>T284/(T284+S284)</f>
        <v>0.71170033670033672</v>
      </c>
      <c r="V284">
        <f>-3.9347-2.6927*U284</f>
        <v>-5.8510954966329969</v>
      </c>
      <c r="W284">
        <f>M284-(SUM(S284:T284)*V284)</f>
        <v>58.698730000000069</v>
      </c>
      <c r="X284">
        <f>W284/(2*P284*R284)</f>
        <v>6.8289234697559237E-2</v>
      </c>
      <c r="Y284">
        <f>X284*16.02</f>
        <v>1.093993539854899</v>
      </c>
    </row>
    <row r="285" spans="10:30" x14ac:dyDescent="0.2">
      <c r="K285">
        <v>100000</v>
      </c>
      <c r="L285">
        <v>1115.4994610000001</v>
      </c>
      <c r="M285">
        <v>-27515.896648999998</v>
      </c>
      <c r="N285">
        <v>84401.054397</v>
      </c>
      <c r="O285">
        <v>-1.3048420000000001</v>
      </c>
      <c r="P285">
        <v>32.911451999999997</v>
      </c>
      <c r="Q285">
        <v>195.84914499999999</v>
      </c>
      <c r="R285">
        <v>13.094218</v>
      </c>
      <c r="S285">
        <v>1459</v>
      </c>
      <c r="T285">
        <v>3293</v>
      </c>
      <c r="U285">
        <f>T285/(T285+S285)</f>
        <v>0.69297138047138052</v>
      </c>
      <c r="V285">
        <f>-3.9347-2.6927*U285</f>
        <v>-5.8006640361952861</v>
      </c>
      <c r="W285">
        <f>M285-(SUM(S285:T285)*V285)</f>
        <v>48.858851000000868</v>
      </c>
      <c r="X285">
        <f>W285/(2*P285*R285)</f>
        <v>5.6687413772371568E-2</v>
      </c>
      <c r="Y285">
        <f>X285*16.02</f>
        <v>0.90813236863339253</v>
      </c>
    </row>
    <row r="286" spans="10:30" x14ac:dyDescent="0.2">
      <c r="K286">
        <v>100000</v>
      </c>
      <c r="L286">
        <v>1115.4335759999999</v>
      </c>
      <c r="M286">
        <v>-27825.731777000001</v>
      </c>
      <c r="N286">
        <v>83862.680898999999</v>
      </c>
      <c r="O286">
        <v>-0.86952399999999996</v>
      </c>
      <c r="P286">
        <v>32.838346999999999</v>
      </c>
      <c r="Q286">
        <v>195.523145</v>
      </c>
      <c r="R286">
        <v>13.061398000000001</v>
      </c>
      <c r="S286">
        <v>1347</v>
      </c>
      <c r="T286">
        <v>3405</v>
      </c>
      <c r="U286">
        <f>T286/(T286+S286)</f>
        <v>0.71654040404040409</v>
      </c>
      <c r="V286">
        <f>-3.9347-2.6927*U286</f>
        <v>-5.8641283459595961</v>
      </c>
      <c r="W286">
        <f>M286-(SUM(S286:T286)*V286)</f>
        <v>40.606123000001389</v>
      </c>
      <c r="X286">
        <f>W286/(2*P286*R286)</f>
        <v>4.733589350370189E-2</v>
      </c>
      <c r="Y286">
        <f>X286*16.02</f>
        <v>0.75832101392930429</v>
      </c>
    </row>
    <row r="287" spans="10:30" x14ac:dyDescent="0.2">
      <c r="K287">
        <v>100000</v>
      </c>
      <c r="L287">
        <v>1115.7387980000001</v>
      </c>
      <c r="M287">
        <v>-27465.405869999999</v>
      </c>
      <c r="N287">
        <v>84506.258304000003</v>
      </c>
      <c r="O287">
        <v>-1.1515919999999999</v>
      </c>
      <c r="P287">
        <v>32.917572999999997</v>
      </c>
      <c r="Q287">
        <v>196.01246</v>
      </c>
      <c r="R287">
        <v>13.097182</v>
      </c>
      <c r="S287">
        <v>1476</v>
      </c>
      <c r="T287">
        <v>3276</v>
      </c>
      <c r="U287">
        <f>T287/(T287+S287)</f>
        <v>0.68939393939393945</v>
      </c>
      <c r="V287">
        <f>-3.9347-2.6927*U287</f>
        <v>-5.7910310606060609</v>
      </c>
      <c r="W287">
        <f>M287-(SUM(S287:T287)*V287)</f>
        <v>53.573730000003707</v>
      </c>
      <c r="X287">
        <f>W287/(2*P287*R287)</f>
        <v>6.2132126675771504E-2</v>
      </c>
      <c r="Y287">
        <f>X287*16.02</f>
        <v>0.99535666934585942</v>
      </c>
    </row>
    <row r="288" spans="10:30" x14ac:dyDescent="0.2">
      <c r="Y288" s="1">
        <f>AVERAGE(Y283:Y287)</f>
        <v>0.93149005594949708</v>
      </c>
    </row>
    <row r="289" spans="10:25" x14ac:dyDescent="0.2">
      <c r="J289" t="s">
        <v>111</v>
      </c>
      <c r="L289">
        <v>1040.782835</v>
      </c>
      <c r="M289">
        <v>-22428.015321999999</v>
      </c>
      <c r="N289">
        <v>67350.749414000005</v>
      </c>
      <c r="O289">
        <v>-1.176328</v>
      </c>
      <c r="P289">
        <v>29.40513</v>
      </c>
      <c r="Q289">
        <v>175.48483100000001</v>
      </c>
      <c r="R289">
        <v>13.052099999999999</v>
      </c>
      <c r="S289">
        <v>1054</v>
      </c>
      <c r="T289">
        <v>2768</v>
      </c>
      <c r="U289">
        <f>T289/(T289+S289)</f>
        <v>0.72422815279958141</v>
      </c>
      <c r="V289">
        <f>-3.9347-2.6927*U289</f>
        <v>-5.8848291470434324</v>
      </c>
      <c r="W289">
        <f>M289-(SUM(S289:T289)*V289)</f>
        <v>63.801677999999811</v>
      </c>
      <c r="X289">
        <f>W289/(2*P289*R289)</f>
        <v>8.311867452043098E-2</v>
      </c>
      <c r="Y289">
        <f>X289*16.02</f>
        <v>1.3315611658173043</v>
      </c>
    </row>
    <row r="290" spans="10:25" x14ac:dyDescent="0.2">
      <c r="L290">
        <v>1040.701149</v>
      </c>
      <c r="M290">
        <v>-22478.220598</v>
      </c>
      <c r="N290">
        <v>67279.669662</v>
      </c>
      <c r="O290">
        <v>-1.4555279999999999</v>
      </c>
      <c r="P290">
        <v>29.409185999999998</v>
      </c>
      <c r="Q290">
        <v>175.29583099999999</v>
      </c>
      <c r="R290">
        <v>13.050582</v>
      </c>
      <c r="S290">
        <v>1037</v>
      </c>
      <c r="T290">
        <v>2785</v>
      </c>
      <c r="U290">
        <f>T290/(T290+S290)</f>
        <v>0.72867608581894294</v>
      </c>
      <c r="V290">
        <f>-3.9347-2.6927*U290</f>
        <v>-5.8968060962846671</v>
      </c>
      <c r="W290">
        <f>M290-(SUM(S290:T290)*V290)</f>
        <v>59.372301999996125</v>
      </c>
      <c r="X290">
        <f>W290/(2*P290*R290)</f>
        <v>7.7346560919701657E-2</v>
      </c>
      <c r="Y290">
        <f>X290*16.02</f>
        <v>1.2390919059336205</v>
      </c>
    </row>
    <row r="291" spans="10:25" x14ac:dyDescent="0.2">
      <c r="L291">
        <v>1040.755913</v>
      </c>
      <c r="M291">
        <v>-22420.286967</v>
      </c>
      <c r="N291">
        <v>67410.140834999998</v>
      </c>
      <c r="O291">
        <v>-1.2206939999999999</v>
      </c>
      <c r="P291">
        <v>29.425415999999998</v>
      </c>
      <c r="Q291">
        <v>175.43559099999999</v>
      </c>
      <c r="R291">
        <v>13.058271</v>
      </c>
      <c r="S291">
        <v>1061</v>
      </c>
      <c r="T291">
        <v>2762</v>
      </c>
      <c r="U291">
        <f>T291/(T291+S291)</f>
        <v>0.7224692649751504</v>
      </c>
      <c r="V291">
        <f>-3.9347-2.6927*U291</f>
        <v>-5.8800929897985874</v>
      </c>
      <c r="W291">
        <f>M291-(SUM(S291:T291)*V291)</f>
        <v>59.308532999999443</v>
      </c>
      <c r="X291">
        <f>W291/(2*P291*R291)</f>
        <v>7.7175401491477169E-2</v>
      </c>
      <c r="Y291">
        <f>X291*16.02</f>
        <v>1.2363499318934643</v>
      </c>
    </row>
    <row r="292" spans="10:25" x14ac:dyDescent="0.2">
      <c r="L292">
        <v>1040.7609769999999</v>
      </c>
      <c r="M292">
        <v>-22446.853432</v>
      </c>
      <c r="N292">
        <v>67354.138005000001</v>
      </c>
      <c r="O292">
        <v>-1.373184</v>
      </c>
      <c r="P292">
        <v>29.422758000000002</v>
      </c>
      <c r="Q292">
        <v>175.44878399999999</v>
      </c>
      <c r="R292">
        <v>13.047616</v>
      </c>
      <c r="S292">
        <v>1051</v>
      </c>
      <c r="T292">
        <v>2771</v>
      </c>
      <c r="U292">
        <f>T292/(T292+S292)</f>
        <v>0.72501308215593929</v>
      </c>
      <c r="V292">
        <f>-3.9347-2.6927*U292</f>
        <v>-5.8869427263212977</v>
      </c>
      <c r="W292">
        <f>M292-(SUM(S292:T292)*V292)</f>
        <v>53.041667999998026</v>
      </c>
      <c r="X292">
        <f>W292/(2*P292*R292)</f>
        <v>6.9083229349398673E-2</v>
      </c>
      <c r="Y292">
        <f>X292*16.02</f>
        <v>1.1067133341773667</v>
      </c>
    </row>
    <row r="293" spans="10:25" x14ac:dyDescent="0.2">
      <c r="L293">
        <v>1040.6526060000001</v>
      </c>
      <c r="M293">
        <v>-22400.551555999999</v>
      </c>
      <c r="N293">
        <v>67469.815774000002</v>
      </c>
      <c r="O293">
        <v>-1.5478609999999999</v>
      </c>
      <c r="P293">
        <v>29.454308999999999</v>
      </c>
      <c r="Q293">
        <v>175.34904700000001</v>
      </c>
      <c r="R293">
        <v>13.063453000000001</v>
      </c>
      <c r="S293">
        <v>1066</v>
      </c>
      <c r="T293">
        <v>2757</v>
      </c>
      <c r="U293">
        <f>T293/(T293+S293)</f>
        <v>0.72116139157729531</v>
      </c>
      <c r="V293">
        <f>-3.9347-2.6927*U293</f>
        <v>-5.8765712791001832</v>
      </c>
      <c r="W293">
        <f>M293-(SUM(S293:T293)*V293)</f>
        <v>65.580444000002899</v>
      </c>
      <c r="X293">
        <f>W293/(2*P293*R293)</f>
        <v>8.5219215375854807E-2</v>
      </c>
      <c r="Y293">
        <f>X293*16.02</f>
        <v>1.365211830321194</v>
      </c>
    </row>
    <row r="294" spans="10:25" x14ac:dyDescent="0.2">
      <c r="Y294" s="1">
        <f>AVERAGE(Y289:Y293)</f>
        <v>1.2557856336285897</v>
      </c>
    </row>
    <row r="295" spans="10:25" x14ac:dyDescent="0.2">
      <c r="Y295" s="1"/>
    </row>
    <row r="296" spans="10:25" x14ac:dyDescent="0.2">
      <c r="J296">
        <v>300</v>
      </c>
      <c r="L296" t="s">
        <v>18</v>
      </c>
      <c r="M296" t="s">
        <v>5</v>
      </c>
      <c r="N296" t="s">
        <v>7</v>
      </c>
      <c r="O296" t="s">
        <v>19</v>
      </c>
      <c r="P296" t="s">
        <v>20</v>
      </c>
      <c r="Q296" t="s">
        <v>21</v>
      </c>
      <c r="R296" t="s">
        <v>22</v>
      </c>
      <c r="S296" t="s">
        <v>4</v>
      </c>
      <c r="T296" t="s">
        <v>10</v>
      </c>
      <c r="U296" t="s">
        <v>13</v>
      </c>
      <c r="V296" t="s">
        <v>26</v>
      </c>
      <c r="W296" t="s">
        <v>12</v>
      </c>
      <c r="X296" t="s">
        <v>23</v>
      </c>
      <c r="Y296" t="s">
        <v>23</v>
      </c>
    </row>
    <row r="297" spans="10:25" x14ac:dyDescent="0.2">
      <c r="J297" t="s">
        <v>55</v>
      </c>
      <c r="K297">
        <v>100000</v>
      </c>
      <c r="L297">
        <v>260.16769299999999</v>
      </c>
      <c r="M297">
        <v>-23225.574717</v>
      </c>
      <c r="N297">
        <v>67457.853375999999</v>
      </c>
      <c r="O297">
        <v>-8.2877999999999993E-2</v>
      </c>
      <c r="P297">
        <v>29.496282999999998</v>
      </c>
      <c r="Q297">
        <v>175.92421200000001</v>
      </c>
      <c r="R297">
        <v>12.999891999999999</v>
      </c>
      <c r="S297">
        <v>1153</v>
      </c>
      <c r="T297">
        <v>2751</v>
      </c>
      <c r="U297">
        <f>T297/(T297+S297)</f>
        <v>0.70466188524590168</v>
      </c>
      <c r="V297">
        <f>-4.0593-2.7*U297</f>
        <v>-5.9618870901639349</v>
      </c>
      <c r="W297">
        <f>M297-(SUM(S297:T297)*V297)</f>
        <v>49.63248300000123</v>
      </c>
      <c r="X297">
        <f>W297/(2*P297*R297)</f>
        <v>6.4718578706267738E-2</v>
      </c>
      <c r="Y297">
        <f>X297*16.02</f>
        <v>1.0367916308744092</v>
      </c>
    </row>
    <row r="298" spans="10:25" x14ac:dyDescent="0.2">
      <c r="K298">
        <v>100000</v>
      </c>
      <c r="L298">
        <v>260.17296199999998</v>
      </c>
      <c r="M298">
        <v>-23356.223548999998</v>
      </c>
      <c r="N298">
        <v>67250.705476000003</v>
      </c>
      <c r="O298">
        <v>-6.2334000000000001E-2</v>
      </c>
      <c r="P298">
        <v>29.460227</v>
      </c>
      <c r="Q298">
        <v>175.79615999999999</v>
      </c>
      <c r="R298">
        <v>12.985284999999999</v>
      </c>
      <c r="S298">
        <v>1106</v>
      </c>
      <c r="T298">
        <v>2798</v>
      </c>
      <c r="U298">
        <f>T298/(T298+S298)</f>
        <v>0.71670081967213117</v>
      </c>
      <c r="V298">
        <f t="shared" ref="V298:V301" si="18">-4.0593-2.7*U298</f>
        <v>-5.9943922131147547</v>
      </c>
      <c r="W298">
        <f>M298-(SUM(S298:T298)*V298)</f>
        <v>45.883651000003738</v>
      </c>
      <c r="X298">
        <f>W298/(2*P298*R298)</f>
        <v>5.9970876638924545E-2</v>
      </c>
      <c r="Y298">
        <f>X298*16.02</f>
        <v>0.96073344375557113</v>
      </c>
    </row>
    <row r="299" spans="10:25" x14ac:dyDescent="0.2">
      <c r="K299">
        <v>100000</v>
      </c>
      <c r="L299">
        <v>260.17976800000002</v>
      </c>
      <c r="M299">
        <v>-23306.903942000001</v>
      </c>
      <c r="N299">
        <v>67306.442395000005</v>
      </c>
      <c r="O299">
        <v>-0.16289000000000001</v>
      </c>
      <c r="P299">
        <v>29.46847</v>
      </c>
      <c r="Q299">
        <v>175.87593799999999</v>
      </c>
      <c r="R299">
        <v>12.986518</v>
      </c>
      <c r="S299">
        <v>1124</v>
      </c>
      <c r="T299">
        <v>2780</v>
      </c>
      <c r="U299">
        <f>T299/(T299+S299)</f>
        <v>0.71209016393442626</v>
      </c>
      <c r="V299">
        <f t="shared" si="18"/>
        <v>-5.981943442622951</v>
      </c>
      <c r="W299">
        <f>M299-(SUM(S299:T299)*V299)</f>
        <v>46.603257999999187</v>
      </c>
      <c r="X299">
        <f>W299/(2*P299*R299)</f>
        <v>6.0888597905308671E-2</v>
      </c>
      <c r="Y299">
        <f>X299*16.02</f>
        <v>0.97543533844304486</v>
      </c>
    </row>
    <row r="300" spans="10:25" x14ac:dyDescent="0.2">
      <c r="K300">
        <v>100000</v>
      </c>
      <c r="L300">
        <v>260.18633699999998</v>
      </c>
      <c r="M300">
        <v>-23255.397062</v>
      </c>
      <c r="N300">
        <v>67425.958874999997</v>
      </c>
      <c r="O300">
        <v>-0.119918</v>
      </c>
      <c r="P300">
        <v>29.447609</v>
      </c>
      <c r="Q300">
        <v>176.129245</v>
      </c>
      <c r="R300">
        <v>13.000071999999999</v>
      </c>
      <c r="S300">
        <v>1146</v>
      </c>
      <c r="T300">
        <v>2758</v>
      </c>
      <c r="U300">
        <f>T300/(T300+S300)</f>
        <v>0.70645491803278693</v>
      </c>
      <c r="V300">
        <f t="shared" si="18"/>
        <v>-5.9667282786885254</v>
      </c>
      <c r="W300">
        <f>M300-(SUM(S300:T300)*V300)</f>
        <v>38.710138000002189</v>
      </c>
      <c r="X300">
        <f>W300/(2*P300*R300)</f>
        <v>5.0559052710787464E-2</v>
      </c>
      <c r="Y300">
        <f>X300*16.02</f>
        <v>0.80995602442681514</v>
      </c>
    </row>
    <row r="301" spans="10:25" x14ac:dyDescent="0.2">
      <c r="K301">
        <v>100000</v>
      </c>
      <c r="L301">
        <v>260.16442599999999</v>
      </c>
      <c r="M301">
        <v>-23260.721916999999</v>
      </c>
      <c r="N301">
        <v>67392.456225000002</v>
      </c>
      <c r="O301">
        <v>-3.5513999999999997E-2</v>
      </c>
      <c r="P301">
        <v>29.459595</v>
      </c>
      <c r="Q301">
        <v>176.11647600000001</v>
      </c>
      <c r="R301">
        <v>12.989267</v>
      </c>
      <c r="S301">
        <v>1141</v>
      </c>
      <c r="T301">
        <v>2763</v>
      </c>
      <c r="U301">
        <f>T301/(T301+S301)</f>
        <v>0.70773565573770492</v>
      </c>
      <c r="V301">
        <f t="shared" si="18"/>
        <v>-5.9701862704918041</v>
      </c>
      <c r="W301">
        <f>M301-(SUM(S301:T301)*V301)</f>
        <v>46.885283000003255</v>
      </c>
      <c r="X301">
        <f>W301/(2*P301*R301)</f>
        <v>6.1262558476981227E-2</v>
      </c>
      <c r="Y301">
        <f>X301*16.02</f>
        <v>0.98142618680123928</v>
      </c>
    </row>
    <row r="302" spans="10:25" x14ac:dyDescent="0.2">
      <c r="Y302" s="1">
        <f>AVERAGE(Y297:Y301)</f>
        <v>0.95286852486021589</v>
      </c>
    </row>
    <row r="303" spans="10:25" x14ac:dyDescent="0.2">
      <c r="J303" t="s">
        <v>133</v>
      </c>
      <c r="K303">
        <v>100000</v>
      </c>
      <c r="L303">
        <v>278.98885999999999</v>
      </c>
      <c r="M303">
        <v>-18869.133228999999</v>
      </c>
      <c r="N303">
        <v>54711.026224000001</v>
      </c>
      <c r="O303">
        <v>-0.34581400000000001</v>
      </c>
      <c r="P303">
        <v>23.024967</v>
      </c>
      <c r="Q303">
        <v>182.87090000000001</v>
      </c>
      <c r="R303">
        <v>12.993656</v>
      </c>
      <c r="S303">
        <v>929</v>
      </c>
      <c r="T303">
        <v>2239</v>
      </c>
      <c r="U303">
        <f>T303/(T303+S303)</f>
        <v>0.7067550505050505</v>
      </c>
      <c r="V303">
        <f>-4.0593-2.7*U303</f>
        <v>-5.9675386363636367</v>
      </c>
      <c r="W303">
        <f>M303-(SUM(S303:T303)*V303)</f>
        <v>36.029171000001952</v>
      </c>
      <c r="X303">
        <f>W303/(2*P303*R303)</f>
        <v>6.0213502853011691E-2</v>
      </c>
      <c r="Y303">
        <f>X303*16.02</f>
        <v>0.96462031570524731</v>
      </c>
    </row>
    <row r="304" spans="10:25" x14ac:dyDescent="0.2">
      <c r="K304">
        <v>100000</v>
      </c>
      <c r="L304">
        <v>278.76705700000002</v>
      </c>
      <c r="M304">
        <v>-18909.496921000002</v>
      </c>
      <c r="N304">
        <v>54644.852984999998</v>
      </c>
      <c r="O304">
        <v>-0.40032699999999999</v>
      </c>
      <c r="P304">
        <v>23.011074000000001</v>
      </c>
      <c r="Q304">
        <v>182.94182599999999</v>
      </c>
      <c r="R304">
        <v>12.980741</v>
      </c>
      <c r="S304">
        <v>916</v>
      </c>
      <c r="T304">
        <v>2252</v>
      </c>
      <c r="U304">
        <f>T304/(T304+S304)</f>
        <v>0.71085858585858586</v>
      </c>
      <c r="V304">
        <f t="shared" ref="V304:V307" si="19">-4.0593-2.7*U304</f>
        <v>-5.9786181818181827</v>
      </c>
      <c r="W304">
        <f>M304-(SUM(S304:T304)*V304)</f>
        <v>30.765479000001505</v>
      </c>
      <c r="X304">
        <f>W304/(2*P304*R304)</f>
        <v>5.149882399414589E-2</v>
      </c>
      <c r="Y304">
        <f>X304*16.02</f>
        <v>0.82501116038621713</v>
      </c>
    </row>
    <row r="305" spans="10:25" x14ac:dyDescent="0.2">
      <c r="K305">
        <v>100000</v>
      </c>
      <c r="L305">
        <v>278.89995699999997</v>
      </c>
      <c r="M305">
        <v>-18832.019466999998</v>
      </c>
      <c r="N305">
        <v>54773.268584999998</v>
      </c>
      <c r="O305">
        <v>-0.34143000000000001</v>
      </c>
      <c r="P305">
        <v>23.040513000000001</v>
      </c>
      <c r="Q305">
        <v>182.88909200000001</v>
      </c>
      <c r="R305">
        <v>12.998367999999999</v>
      </c>
      <c r="S305">
        <v>941</v>
      </c>
      <c r="T305">
        <v>2227</v>
      </c>
      <c r="U305">
        <f>T305/(T305+S305)</f>
        <v>0.70296717171717171</v>
      </c>
      <c r="V305">
        <f t="shared" si="19"/>
        <v>-5.9573113636363644</v>
      </c>
      <c r="W305">
        <f>M305-(SUM(S305:T305)*V305)</f>
        <v>40.742933000004996</v>
      </c>
      <c r="X305">
        <f>W305/(2*P305*R305)</f>
        <v>6.8020735154167136E-2</v>
      </c>
      <c r="Y305">
        <f>X305*16.02</f>
        <v>1.0896921771697574</v>
      </c>
    </row>
    <row r="306" spans="10:25" x14ac:dyDescent="0.2">
      <c r="K306">
        <v>100000</v>
      </c>
      <c r="L306">
        <v>278.83312699999999</v>
      </c>
      <c r="M306">
        <v>-18871.477105000002</v>
      </c>
      <c r="N306">
        <v>54738.891075</v>
      </c>
      <c r="O306">
        <v>-0.38092999999999999</v>
      </c>
      <c r="P306">
        <v>23.041795</v>
      </c>
      <c r="Q306">
        <v>182.878108</v>
      </c>
      <c r="R306">
        <v>12.990268</v>
      </c>
      <c r="S306">
        <v>928</v>
      </c>
      <c r="T306">
        <v>2240</v>
      </c>
      <c r="U306">
        <f>T306/(T306+S306)</f>
        <v>0.70707070707070707</v>
      </c>
      <c r="V306">
        <f t="shared" si="19"/>
        <v>-5.9683909090909095</v>
      </c>
      <c r="W306">
        <f>M306-(SUM(S306:T306)*V306)</f>
        <v>36.385295000000042</v>
      </c>
      <c r="X306">
        <f>W306/(2*P306*R306)</f>
        <v>6.0780110494056176E-2</v>
      </c>
      <c r="Y306">
        <f>X306*16.02</f>
        <v>0.97369737011477997</v>
      </c>
    </row>
    <row r="307" spans="10:25" x14ac:dyDescent="0.2">
      <c r="K307">
        <v>100000</v>
      </c>
      <c r="L307">
        <v>278.97815600000001</v>
      </c>
      <c r="M307">
        <v>-18806.484264999999</v>
      </c>
      <c r="N307">
        <v>54800.867904999999</v>
      </c>
      <c r="O307">
        <v>-0.31013099999999999</v>
      </c>
      <c r="P307">
        <v>23.037697000000001</v>
      </c>
      <c r="Q307">
        <v>183.07002399999999</v>
      </c>
      <c r="R307">
        <v>12.993653</v>
      </c>
      <c r="S307">
        <v>953</v>
      </c>
      <c r="T307">
        <v>2215</v>
      </c>
      <c r="U307">
        <f>T307/(T307+S307)</f>
        <v>0.69917929292929293</v>
      </c>
      <c r="V307">
        <f t="shared" si="19"/>
        <v>-5.9470840909090912</v>
      </c>
      <c r="W307">
        <f>M307-(SUM(S307:T307)*V307)</f>
        <v>33.878135000002658</v>
      </c>
      <c r="X307">
        <f>W307/(2*P307*R307)</f>
        <v>5.6587325993708401E-2</v>
      </c>
      <c r="Y307">
        <f>X307*16.02</f>
        <v>0.90652896241920855</v>
      </c>
    </row>
    <row r="308" spans="10:25" x14ac:dyDescent="0.2">
      <c r="Y308" s="1">
        <f>AVERAGE(Y303:Y307)</f>
        <v>0.95190999715904212</v>
      </c>
    </row>
    <row r="309" spans="10:25" x14ac:dyDescent="0.2">
      <c r="J309" t="s">
        <v>28</v>
      </c>
      <c r="K309">
        <v>100000</v>
      </c>
      <c r="L309">
        <v>278.94087000000002</v>
      </c>
      <c r="M309">
        <v>-14684.8159</v>
      </c>
      <c r="N309">
        <v>42759.474189</v>
      </c>
      <c r="O309">
        <v>-0.43845600000000001</v>
      </c>
      <c r="P309">
        <v>33.216625999999998</v>
      </c>
      <c r="Q309">
        <v>132.12779800000001</v>
      </c>
      <c r="R309">
        <v>9.7427779999999995</v>
      </c>
      <c r="S309">
        <v>734</v>
      </c>
      <c r="T309">
        <v>1738</v>
      </c>
      <c r="U309">
        <f>T309/(T309+S309)</f>
        <v>0.70307443365695788</v>
      </c>
      <c r="V309">
        <f>-4.0593-2.7*U309</f>
        <v>-5.9576009708737869</v>
      </c>
      <c r="W309">
        <f>M309-(SUM(S309:T309)*V309)</f>
        <v>42.373700000001918</v>
      </c>
      <c r="X309">
        <f>W309/(2*P309*R309)</f>
        <v>6.5467848457706132E-2</v>
      </c>
      <c r="Y309">
        <f>X309*16.02</f>
        <v>1.0487949322924521</v>
      </c>
    </row>
    <row r="310" spans="10:25" x14ac:dyDescent="0.2">
      <c r="K310">
        <v>100000</v>
      </c>
      <c r="L310">
        <v>279.08530000000002</v>
      </c>
      <c r="M310">
        <v>-14716.533229999999</v>
      </c>
      <c r="N310">
        <v>42699.176788999997</v>
      </c>
      <c r="O310">
        <v>-0.43346400000000002</v>
      </c>
      <c r="P310">
        <v>33.166395000000001</v>
      </c>
      <c r="Q310">
        <v>132.14651599999999</v>
      </c>
      <c r="R310">
        <v>9.7423929999999999</v>
      </c>
      <c r="S310">
        <v>723</v>
      </c>
      <c r="T310">
        <v>1749</v>
      </c>
      <c r="U310">
        <f>T310/(T310+S310)</f>
        <v>0.70752427184466016</v>
      </c>
      <c r="V310">
        <f t="shared" ref="V310:V313" si="20">-4.0593-2.7*U310</f>
        <v>-5.9696155339805834</v>
      </c>
      <c r="W310">
        <f>M310-(SUM(S310:T310)*V310)</f>
        <v>40.356370000003153</v>
      </c>
      <c r="X310">
        <f>W310/(2*P310*R310)</f>
        <v>6.2447949980302189E-2</v>
      </c>
      <c r="Y310">
        <f>X310*16.02</f>
        <v>1.0004161586844411</v>
      </c>
    </row>
    <row r="311" spans="10:25" x14ac:dyDescent="0.2">
      <c r="K311">
        <v>100000</v>
      </c>
      <c r="L311">
        <v>278.828666</v>
      </c>
      <c r="M311">
        <v>-14665.906102999999</v>
      </c>
      <c r="N311">
        <v>42799.342040000003</v>
      </c>
      <c r="O311">
        <v>-0.49778099999999997</v>
      </c>
      <c r="P311">
        <v>33.193905999999998</v>
      </c>
      <c r="Q311">
        <v>132.221642</v>
      </c>
      <c r="R311">
        <v>9.7516099999999994</v>
      </c>
      <c r="S311">
        <v>741</v>
      </c>
      <c r="T311">
        <v>1731</v>
      </c>
      <c r="U311">
        <f>T311/(T311+S311)</f>
        <v>0.70024271844660191</v>
      </c>
      <c r="V311">
        <f t="shared" si="20"/>
        <v>-5.9499553398058254</v>
      </c>
      <c r="W311">
        <f>M311-(SUM(S311:T311)*V311)</f>
        <v>42.383497000000716</v>
      </c>
      <c r="X311">
        <f>W311/(2*P311*R311)</f>
        <v>6.5468457302895383E-2</v>
      </c>
      <c r="Y311">
        <f>X311*16.02</f>
        <v>1.0488046859923841</v>
      </c>
    </row>
    <row r="312" spans="10:25" x14ac:dyDescent="0.2">
      <c r="K312">
        <v>100000</v>
      </c>
      <c r="L312">
        <v>278.83796000000001</v>
      </c>
      <c r="M312">
        <v>-14727.336926</v>
      </c>
      <c r="N312">
        <v>42687.931186000002</v>
      </c>
      <c r="O312">
        <v>-0.50409999999999999</v>
      </c>
      <c r="P312">
        <v>33.195338999999997</v>
      </c>
      <c r="Q312">
        <v>132.13106300000001</v>
      </c>
      <c r="R312">
        <v>9.7324739999999998</v>
      </c>
      <c r="S312">
        <v>716</v>
      </c>
      <c r="T312">
        <v>1756</v>
      </c>
      <c r="U312">
        <f>T312/(T312+S312)</f>
        <v>0.71035598705501624</v>
      </c>
      <c r="V312">
        <f t="shared" si="20"/>
        <v>-5.9772611650485441</v>
      </c>
      <c r="W312">
        <f>M312-(SUM(S312:T312)*V312)</f>
        <v>48.452674000001934</v>
      </c>
      <c r="X312">
        <f>W312/(2*P312*R312)</f>
        <v>7.4987244265888486E-2</v>
      </c>
      <c r="Y312">
        <f>X312*16.02</f>
        <v>1.2012956531395336</v>
      </c>
    </row>
    <row r="313" spans="10:25" x14ac:dyDescent="0.2">
      <c r="K313">
        <v>100000</v>
      </c>
      <c r="L313">
        <v>278.92850399999998</v>
      </c>
      <c r="M313">
        <v>-14611.89322</v>
      </c>
      <c r="N313">
        <v>42850.142717000002</v>
      </c>
      <c r="O313">
        <v>-0.60085299999999997</v>
      </c>
      <c r="P313">
        <v>33.219847999999999</v>
      </c>
      <c r="Q313">
        <v>132.19389799999999</v>
      </c>
      <c r="R313">
        <v>9.7576090000000004</v>
      </c>
      <c r="S313">
        <v>757</v>
      </c>
      <c r="T313">
        <v>1715</v>
      </c>
      <c r="U313">
        <f>T313/(T313+S313)</f>
        <v>0.69377022653721687</v>
      </c>
      <c r="V313">
        <f t="shared" si="20"/>
        <v>-5.9324796116504857</v>
      </c>
      <c r="W313">
        <f>M313-(SUM(S313:T313)*V313)</f>
        <v>53.196380000001227</v>
      </c>
      <c r="X313">
        <f>W313/(2*P313*R313)</f>
        <v>8.2056130207757011E-2</v>
      </c>
      <c r="Y313">
        <f>X313*16.02</f>
        <v>1.3145392059282672</v>
      </c>
    </row>
    <row r="314" spans="10:25" x14ac:dyDescent="0.2">
      <c r="Y314" s="1">
        <f>AVERAGE(Y309:Y313)</f>
        <v>1.1227701272074158</v>
      </c>
    </row>
    <row r="315" spans="10:25" x14ac:dyDescent="0.2">
      <c r="J315" t="s">
        <v>134</v>
      </c>
      <c r="K315">
        <v>100000</v>
      </c>
      <c r="L315">
        <v>278.84028799999999</v>
      </c>
      <c r="M315">
        <v>-19337.587693000001</v>
      </c>
      <c r="N315">
        <v>55695.883491000001</v>
      </c>
      <c r="O315">
        <v>-0.27564</v>
      </c>
      <c r="P315">
        <v>26.794191000000001</v>
      </c>
      <c r="Q315">
        <v>160.23117099999999</v>
      </c>
      <c r="R315">
        <v>12.972854999999999</v>
      </c>
      <c r="S315">
        <v>909</v>
      </c>
      <c r="T315">
        <v>2323</v>
      </c>
      <c r="U315">
        <f>T315/(T315+S315)</f>
        <v>0.71875</v>
      </c>
      <c r="V315">
        <f>-4.0593-2.7*U315</f>
        <v>-5.9999250000000002</v>
      </c>
      <c r="W315">
        <f>M315-(SUM(S315:T315)*V315)</f>
        <v>54.169906999999512</v>
      </c>
      <c r="X315">
        <f>W315/(2*P315*R315)</f>
        <v>7.7920527066802248E-2</v>
      </c>
      <c r="Y315">
        <f>X315*16.02</f>
        <v>1.2482868436101719</v>
      </c>
    </row>
    <row r="316" spans="10:25" x14ac:dyDescent="0.2">
      <c r="K316">
        <v>100000</v>
      </c>
      <c r="L316">
        <v>278.88951500000002</v>
      </c>
      <c r="M316">
        <v>-19281.338145000002</v>
      </c>
      <c r="N316">
        <v>55801.446022999997</v>
      </c>
      <c r="O316">
        <v>-0.34653299999999998</v>
      </c>
      <c r="P316">
        <v>26.838943</v>
      </c>
      <c r="Q316">
        <v>160.164897</v>
      </c>
      <c r="R316">
        <v>12.98114</v>
      </c>
      <c r="S316">
        <v>928</v>
      </c>
      <c r="T316">
        <v>2304</v>
      </c>
      <c r="U316">
        <f>T316/(T316+S316)</f>
        <v>0.71287128712871284</v>
      </c>
      <c r="V316">
        <f t="shared" ref="V316:V319" si="21">-4.0593-2.7*U316</f>
        <v>-5.984052475247525</v>
      </c>
      <c r="W316">
        <f>M316-(SUM(S316:T316)*V316)</f>
        <v>59.119455000000016</v>
      </c>
      <c r="X316">
        <f>W316/(2*P316*R316)</f>
        <v>8.4844204955359034E-2</v>
      </c>
      <c r="Y316">
        <f>X316*16.02</f>
        <v>1.3592041633848517</v>
      </c>
    </row>
    <row r="317" spans="10:25" x14ac:dyDescent="0.2">
      <c r="K317">
        <v>100000</v>
      </c>
      <c r="L317">
        <v>278.86113999999998</v>
      </c>
      <c r="M317">
        <v>-19280.021110999998</v>
      </c>
      <c r="N317">
        <v>55798.573038000002</v>
      </c>
      <c r="O317">
        <v>-0.36100199999999999</v>
      </c>
      <c r="P317">
        <v>26.836713</v>
      </c>
      <c r="Q317">
        <v>160.20662100000001</v>
      </c>
      <c r="R317">
        <v>12.978168999999999</v>
      </c>
      <c r="S317">
        <v>935</v>
      </c>
      <c r="T317">
        <v>2297</v>
      </c>
      <c r="U317">
        <f>T317/(T317+S317)</f>
        <v>0.7107054455445545</v>
      </c>
      <c r="V317">
        <f t="shared" si="21"/>
        <v>-5.9782047029702978</v>
      </c>
      <c r="W317">
        <f>M317-(SUM(S317:T317)*V317)</f>
        <v>41.536489000005531</v>
      </c>
      <c r="X317">
        <f>W317/(2*P317*R317)</f>
        <v>5.9628933403682353E-2</v>
      </c>
      <c r="Y317">
        <f>X317*16.02</f>
        <v>0.95525551312699131</v>
      </c>
    </row>
    <row r="318" spans="10:25" x14ac:dyDescent="0.2">
      <c r="K318">
        <v>100000</v>
      </c>
      <c r="L318">
        <v>278.744663</v>
      </c>
      <c r="M318">
        <v>-19123.408241000001</v>
      </c>
      <c r="N318">
        <v>56050.409673000002</v>
      </c>
      <c r="O318">
        <v>-0.41051500000000002</v>
      </c>
      <c r="P318">
        <v>26.865821</v>
      </c>
      <c r="Q318">
        <v>160.48043000000001</v>
      </c>
      <c r="R318">
        <v>13.000400000000001</v>
      </c>
      <c r="S318">
        <v>990</v>
      </c>
      <c r="T318">
        <v>2242</v>
      </c>
      <c r="U318">
        <f>T318/(T318+S318)</f>
        <v>0.69368811881188119</v>
      </c>
      <c r="V318">
        <f t="shared" si="21"/>
        <v>-5.9322579207920798</v>
      </c>
      <c r="W318">
        <f>M318-(SUM(S318:T318)*V318)</f>
        <v>49.649359000002733</v>
      </c>
      <c r="X318">
        <f>W318/(2*P318*R318)</f>
        <v>7.1076628402285069E-2</v>
      </c>
      <c r="Y318">
        <f>X318*16.02</f>
        <v>1.1386475870046069</v>
      </c>
    </row>
    <row r="319" spans="10:25" x14ac:dyDescent="0.2">
      <c r="K319">
        <v>100000</v>
      </c>
      <c r="L319">
        <v>278.94887299999999</v>
      </c>
      <c r="M319">
        <v>-19243.560393</v>
      </c>
      <c r="N319">
        <v>55813.522411999998</v>
      </c>
      <c r="O319">
        <v>-0.319295</v>
      </c>
      <c r="P319">
        <v>26.836265999999998</v>
      </c>
      <c r="Q319">
        <v>160.270917</v>
      </c>
      <c r="R319">
        <v>12.976654</v>
      </c>
      <c r="S319">
        <v>946</v>
      </c>
      <c r="T319">
        <v>2286</v>
      </c>
      <c r="U319">
        <f>T319/(T319+S319)</f>
        <v>0.70730198019801982</v>
      </c>
      <c r="V319">
        <f t="shared" si="21"/>
        <v>-5.969015346534654</v>
      </c>
      <c r="W319">
        <f>M319-(SUM(S319:T319)*V319)</f>
        <v>48.297207000003255</v>
      </c>
      <c r="X319">
        <f>W319/(2*P319*R319)</f>
        <v>6.9343731459994895E-2</v>
      </c>
      <c r="Y319">
        <f>X319*16.02</f>
        <v>1.1108865779891182</v>
      </c>
    </row>
    <row r="320" spans="10:25" x14ac:dyDescent="0.2">
      <c r="Y320" s="1">
        <f>AVERAGE(Y315:Y319)</f>
        <v>1.1624561370231479</v>
      </c>
    </row>
    <row r="321" spans="10:25" x14ac:dyDescent="0.2">
      <c r="J321" t="s">
        <v>27</v>
      </c>
      <c r="K321">
        <v>100000</v>
      </c>
      <c r="L321">
        <v>278.82627200000002</v>
      </c>
      <c r="M321">
        <v>-17131.766692000001</v>
      </c>
      <c r="N321">
        <v>49763.809204999998</v>
      </c>
      <c r="O321">
        <v>-0.40098099999999998</v>
      </c>
      <c r="P321">
        <v>30.864250999999999</v>
      </c>
      <c r="Q321">
        <v>124.06840699999999</v>
      </c>
      <c r="R321">
        <v>12.995614</v>
      </c>
      <c r="S321">
        <v>846</v>
      </c>
      <c r="T321">
        <v>2034</v>
      </c>
      <c r="U321">
        <f>T321/(T321+S321)</f>
        <v>0.70625000000000004</v>
      </c>
      <c r="V321">
        <f>-4.0593-2.7*U321</f>
        <v>-5.9661750000000007</v>
      </c>
      <c r="W321">
        <f>M321-(SUM(S321:T321)*V321)</f>
        <v>50.817308000001503</v>
      </c>
      <c r="X321">
        <f>W321/(2*P321*R321)</f>
        <v>6.3347446563190024E-2</v>
      </c>
      <c r="Y321">
        <f>X321*16.02</f>
        <v>1.0148260939423042</v>
      </c>
    </row>
    <row r="322" spans="10:25" x14ac:dyDescent="0.2">
      <c r="K322">
        <v>100000</v>
      </c>
      <c r="L322">
        <v>278.82825100000002</v>
      </c>
      <c r="M322">
        <v>-17103.713511999998</v>
      </c>
      <c r="N322">
        <v>49806.889799999997</v>
      </c>
      <c r="O322">
        <v>-0.28176299999999999</v>
      </c>
      <c r="P322">
        <v>30.893253999999999</v>
      </c>
      <c r="Q322">
        <v>124.177699</v>
      </c>
      <c r="R322">
        <v>12.983216000000001</v>
      </c>
      <c r="S322">
        <v>854</v>
      </c>
      <c r="T322">
        <v>2026</v>
      </c>
      <c r="U322">
        <f>T322/(T322+S322)</f>
        <v>0.70347222222222228</v>
      </c>
      <c r="V322">
        <f t="shared" ref="V322:V325" si="22">-4.0593-2.7*U322</f>
        <v>-5.9586750000000004</v>
      </c>
      <c r="W322">
        <f>M322-(SUM(S322:T322)*V322)</f>
        <v>57.270488000001933</v>
      </c>
      <c r="X322">
        <f>W322/(2*P322*R322)</f>
        <v>7.1392887999544963E-2</v>
      </c>
      <c r="Y322">
        <f>X322*16.02</f>
        <v>1.1437140657527103</v>
      </c>
    </row>
    <row r="323" spans="10:25" x14ac:dyDescent="0.2">
      <c r="K323">
        <v>100000</v>
      </c>
      <c r="L323">
        <v>278.87509</v>
      </c>
      <c r="M323">
        <v>-17251.214089000001</v>
      </c>
      <c r="N323">
        <v>49544.558745000002</v>
      </c>
      <c r="O323">
        <v>-0.38357599999999997</v>
      </c>
      <c r="P323">
        <v>30.821124000000001</v>
      </c>
      <c r="Q323">
        <v>124.002364</v>
      </c>
      <c r="R323">
        <v>12.963362</v>
      </c>
      <c r="S323">
        <v>800</v>
      </c>
      <c r="T323">
        <v>2080</v>
      </c>
      <c r="U323">
        <f>T323/(T323+S323)</f>
        <v>0.72222222222222221</v>
      </c>
      <c r="V323">
        <f t="shared" si="22"/>
        <v>-6.0093000000000005</v>
      </c>
      <c r="W323">
        <f>M323-(SUM(S323:T323)*V323)</f>
        <v>55.569911000002321</v>
      </c>
      <c r="X323">
        <f>W323/(2*P323*R323)</f>
        <v>6.9541424724748863E-2</v>
      </c>
      <c r="Y323">
        <f>X323*16.02</f>
        <v>1.1140536240904768</v>
      </c>
    </row>
    <row r="324" spans="10:25" x14ac:dyDescent="0.2">
      <c r="K324">
        <v>100000</v>
      </c>
      <c r="L324">
        <v>278.87753800000002</v>
      </c>
      <c r="M324">
        <v>-17187.816591999999</v>
      </c>
      <c r="N324">
        <v>49650.391088999997</v>
      </c>
      <c r="O324">
        <v>-0.32275900000000002</v>
      </c>
      <c r="P324">
        <v>30.830964999999999</v>
      </c>
      <c r="Q324">
        <v>124.026128</v>
      </c>
      <c r="R324">
        <v>12.984418</v>
      </c>
      <c r="S324">
        <v>820</v>
      </c>
      <c r="T324">
        <v>2060</v>
      </c>
      <c r="U324">
        <f>T324/(T324+S324)</f>
        <v>0.71527777777777779</v>
      </c>
      <c r="V324">
        <f t="shared" si="22"/>
        <v>-5.9905500000000007</v>
      </c>
      <c r="W324">
        <f>M324-(SUM(S324:T324)*V324)</f>
        <v>64.96740800000407</v>
      </c>
      <c r="X324">
        <f>W324/(2*P324*R324)</f>
        <v>8.1143911379157566E-2</v>
      </c>
      <c r="Y324">
        <f>X324*16.02</f>
        <v>1.2999254602941042</v>
      </c>
    </row>
    <row r="325" spans="10:25" x14ac:dyDescent="0.2">
      <c r="K325">
        <v>100000</v>
      </c>
      <c r="L325">
        <v>278.74240700000001</v>
      </c>
      <c r="M325">
        <v>-17162.982375</v>
      </c>
      <c r="N325">
        <v>49735.980990999997</v>
      </c>
      <c r="O325">
        <v>-0.35297299999999998</v>
      </c>
      <c r="P325">
        <v>30.891649999999998</v>
      </c>
      <c r="Q325">
        <v>124.07699100000001</v>
      </c>
      <c r="R325">
        <v>12.975929000000001</v>
      </c>
      <c r="S325">
        <v>834</v>
      </c>
      <c r="T325">
        <v>2046</v>
      </c>
      <c r="U325">
        <f>T325/(T325+S325)</f>
        <v>0.7104166666666667</v>
      </c>
      <c r="V325">
        <f t="shared" si="22"/>
        <v>-5.9774250000000002</v>
      </c>
      <c r="W325">
        <f>M325-(SUM(S325:T325)*V325)</f>
        <v>52.001625000000786</v>
      </c>
      <c r="X325">
        <f>W325/(2*P325*R325)</f>
        <v>6.4864541595834754E-2</v>
      </c>
      <c r="Y325">
        <f>X325*16.02</f>
        <v>1.0391299563652727</v>
      </c>
    </row>
    <row r="326" spans="10:25" x14ac:dyDescent="0.2">
      <c r="Y326" s="1">
        <f>AVERAGE(Y321:Y325)</f>
        <v>1.1223298400889736</v>
      </c>
    </row>
    <row r="327" spans="10:25" x14ac:dyDescent="0.2">
      <c r="J327" t="s">
        <v>172</v>
      </c>
      <c r="K327">
        <v>100000</v>
      </c>
      <c r="L327">
        <v>278.9606</v>
      </c>
      <c r="M327">
        <v>-21764.243134</v>
      </c>
      <c r="N327">
        <v>63818.831087999999</v>
      </c>
      <c r="O327">
        <v>-0.32176399999999999</v>
      </c>
      <c r="P327">
        <v>24.830098</v>
      </c>
      <c r="Q327">
        <v>197.522243</v>
      </c>
      <c r="R327">
        <v>13.012313000000001</v>
      </c>
      <c r="S327">
        <v>1132</v>
      </c>
      <c r="T327">
        <v>2548</v>
      </c>
      <c r="U327">
        <f>T327/(T327+S327)</f>
        <v>0.69239130434782614</v>
      </c>
      <c r="V327">
        <f>-4.0593-2.7*U327</f>
        <v>-5.9287565217391309</v>
      </c>
      <c r="W327">
        <f>M327-(SUM(S327:T327)*V327)</f>
        <v>53.580866000000242</v>
      </c>
      <c r="X327">
        <f>W327/(2*P327*R327)</f>
        <v>8.2917614276370885E-2</v>
      </c>
      <c r="Y327">
        <f>X327*16.02</f>
        <v>1.3283401807074615</v>
      </c>
    </row>
    <row r="328" spans="10:25" x14ac:dyDescent="0.2">
      <c r="K328">
        <v>100000</v>
      </c>
      <c r="L328">
        <v>278.82598899999999</v>
      </c>
      <c r="M328">
        <v>-22021.371566999998</v>
      </c>
      <c r="N328">
        <v>63385.755208000002</v>
      </c>
      <c r="O328">
        <v>-0.32295499999999999</v>
      </c>
      <c r="P328">
        <v>24.770606000000001</v>
      </c>
      <c r="Q328">
        <v>197.26121699999999</v>
      </c>
      <c r="R328">
        <v>12.972194</v>
      </c>
      <c r="S328">
        <v>1039</v>
      </c>
      <c r="T328">
        <v>2641</v>
      </c>
      <c r="U328">
        <f>T328/(T328+S328)</f>
        <v>0.71766304347826082</v>
      </c>
      <c r="V328">
        <f t="shared" ref="V328:V331" si="23">-4.0593-2.7*U328</f>
        <v>-5.9969902173913052</v>
      </c>
      <c r="W328">
        <f>M328-(SUM(S328:T328)*V328)</f>
        <v>47.552433000004385</v>
      </c>
      <c r="X328">
        <f>W328/(2*P328*R328)</f>
        <v>7.3993348305080017E-2</v>
      </c>
      <c r="Y328">
        <f>X328*16.02</f>
        <v>1.1853734398473819</v>
      </c>
    </row>
    <row r="329" spans="10:25" x14ac:dyDescent="0.2">
      <c r="K329">
        <v>100000</v>
      </c>
      <c r="L329">
        <v>279.01154100000002</v>
      </c>
      <c r="M329">
        <v>-21804.050266999999</v>
      </c>
      <c r="N329">
        <v>63800.003208000002</v>
      </c>
      <c r="O329">
        <v>-0.29614699999999999</v>
      </c>
      <c r="P329">
        <v>24.820443999999998</v>
      </c>
      <c r="Q329">
        <v>197.62095500000001</v>
      </c>
      <c r="R329">
        <v>13.007034000000001</v>
      </c>
      <c r="S329">
        <v>1117</v>
      </c>
      <c r="T329">
        <v>2563</v>
      </c>
      <c r="U329">
        <f>T329/(T329+S329)</f>
        <v>0.69646739130434787</v>
      </c>
      <c r="V329">
        <f t="shared" si="23"/>
        <v>-5.9397619565217399</v>
      </c>
      <c r="W329">
        <f>M329-(SUM(S329:T329)*V329)</f>
        <v>54.27373300000545</v>
      </c>
      <c r="X329">
        <f>W329/(2*P329*R329)</f>
        <v>8.4056611087285044E-2</v>
      </c>
      <c r="Y329">
        <f>X329*16.02</f>
        <v>1.3465869096183063</v>
      </c>
    </row>
    <row r="330" spans="10:25" x14ac:dyDescent="0.2">
      <c r="K330">
        <v>100000</v>
      </c>
      <c r="L330">
        <v>278.81104099999999</v>
      </c>
      <c r="M330">
        <v>-22025.495175</v>
      </c>
      <c r="N330">
        <v>63344.428336999998</v>
      </c>
      <c r="O330">
        <v>-0.28224900000000003</v>
      </c>
      <c r="P330">
        <v>24.766193000000001</v>
      </c>
      <c r="Q330">
        <v>197.085871</v>
      </c>
      <c r="R330">
        <v>12.977582</v>
      </c>
      <c r="S330">
        <v>1034</v>
      </c>
      <c r="T330">
        <v>2646</v>
      </c>
      <c r="U330">
        <f>T330/(T330+S330)</f>
        <v>0.71902173913043477</v>
      </c>
      <c r="V330">
        <f t="shared" si="23"/>
        <v>-6.0006586956521746</v>
      </c>
      <c r="W330">
        <f>M330-(SUM(S330:T330)*V330)</f>
        <v>56.928825000002689</v>
      </c>
      <c r="X330">
        <f>W330/(2*P330*R330)</f>
        <v>8.8562361781276563E-2</v>
      </c>
      <c r="Y330">
        <f>X330*16.02</f>
        <v>1.4187690357360505</v>
      </c>
    </row>
    <row r="331" spans="10:25" x14ac:dyDescent="0.2">
      <c r="K331">
        <v>100000</v>
      </c>
      <c r="L331">
        <v>279.00536399999999</v>
      </c>
      <c r="M331">
        <v>-21971.459723</v>
      </c>
      <c r="N331">
        <v>63485.591460000003</v>
      </c>
      <c r="O331">
        <v>-0.28435300000000002</v>
      </c>
      <c r="P331">
        <v>24.791184000000001</v>
      </c>
      <c r="Q331">
        <v>197.26881499999999</v>
      </c>
      <c r="R331">
        <v>12.981341</v>
      </c>
      <c r="S331">
        <v>1054</v>
      </c>
      <c r="T331">
        <v>2626</v>
      </c>
      <c r="U331">
        <f>T331/(T331+S331)</f>
        <v>0.71358695652173909</v>
      </c>
      <c r="V331">
        <f t="shared" si="23"/>
        <v>-5.9859847826086963</v>
      </c>
      <c r="W331">
        <f>M331-(SUM(S331:T331)*V331)</f>
        <v>56.964277000002767</v>
      </c>
      <c r="X331">
        <f>W331/(2*P331*R331)</f>
        <v>8.8502546504216531E-2</v>
      </c>
      <c r="Y331">
        <f>X331*16.02</f>
        <v>1.4178107949975487</v>
      </c>
    </row>
    <row r="332" spans="10:25" x14ac:dyDescent="0.2">
      <c r="Y332" s="1">
        <f>AVERAGE(Y327:Y331)</f>
        <v>1.3393760721813499</v>
      </c>
    </row>
    <row r="333" spans="10:25" x14ac:dyDescent="0.2">
      <c r="J333" t="s">
        <v>17</v>
      </c>
      <c r="K333">
        <v>100000</v>
      </c>
      <c r="L333">
        <v>260.17256700000002</v>
      </c>
      <c r="M333">
        <v>-22401.582849999999</v>
      </c>
      <c r="N333">
        <v>65459.307204999997</v>
      </c>
      <c r="O333">
        <v>9.0980000000000002E-3</v>
      </c>
      <c r="P333">
        <v>29.086386999999998</v>
      </c>
      <c r="Q333">
        <v>86.686029000000005</v>
      </c>
      <c r="R333">
        <v>25.961669000000001</v>
      </c>
      <c r="S333">
        <v>1120</v>
      </c>
      <c r="T333">
        <v>2656</v>
      </c>
      <c r="U333">
        <f>T333/(T333+S333)</f>
        <v>0.70338983050847459</v>
      </c>
      <c r="V333">
        <f>-4.0593-2.7*U333</f>
        <v>-5.958452542372882</v>
      </c>
      <c r="W333">
        <f>M333-(SUM(S333:T333)*V333)</f>
        <v>97.533950000004552</v>
      </c>
      <c r="X333">
        <f>W333/(2*P333*R333)</f>
        <v>6.4580801480936367E-2</v>
      </c>
      <c r="Y333">
        <f>X333*16.02</f>
        <v>1.0345844397246007</v>
      </c>
    </row>
    <row r="334" spans="10:25" x14ac:dyDescent="0.2">
      <c r="K334">
        <v>100000</v>
      </c>
      <c r="L334">
        <v>260.15363500000001</v>
      </c>
      <c r="M334">
        <v>-22589.636607</v>
      </c>
      <c r="N334">
        <v>65170.727586000001</v>
      </c>
      <c r="O334">
        <v>3.3617000000000001E-2</v>
      </c>
      <c r="P334">
        <v>29.068809999999999</v>
      </c>
      <c r="Q334">
        <v>86.554886999999994</v>
      </c>
      <c r="R334">
        <v>25.902031000000001</v>
      </c>
      <c r="S334">
        <v>1048</v>
      </c>
      <c r="T334">
        <v>2728</v>
      </c>
      <c r="U334">
        <f>T334/(T334+S334)</f>
        <v>0.72245762711864403</v>
      </c>
      <c r="V334">
        <f t="shared" ref="V334:V337" si="24">-4.0593-2.7*U334</f>
        <v>-6.0099355932203391</v>
      </c>
      <c r="W334">
        <f>M334-(SUM(S334:T334)*V334)</f>
        <v>103.88019300000087</v>
      </c>
      <c r="X334">
        <f>W334/(2*P334*R334)</f>
        <v>6.8982936881842524E-2</v>
      </c>
      <c r="Y334">
        <f>X334*16.02</f>
        <v>1.1051066488471173</v>
      </c>
    </row>
    <row r="335" spans="10:25" x14ac:dyDescent="0.2">
      <c r="K335">
        <v>100000</v>
      </c>
      <c r="L335">
        <v>260.23518899999999</v>
      </c>
      <c r="M335">
        <v>-22653.327083</v>
      </c>
      <c r="N335">
        <v>65045.882373</v>
      </c>
      <c r="O335">
        <v>2.6120000000000002E-3</v>
      </c>
      <c r="P335">
        <v>29.058434999999999</v>
      </c>
      <c r="Q335">
        <v>86.463971999999998</v>
      </c>
      <c r="R335">
        <v>25.888835</v>
      </c>
      <c r="S335">
        <v>1024</v>
      </c>
      <c r="T335">
        <v>2752</v>
      </c>
      <c r="U335">
        <f>T335/(T335+S335)</f>
        <v>0.72881355932203384</v>
      </c>
      <c r="V335">
        <f t="shared" si="24"/>
        <v>-6.0270966101694921</v>
      </c>
      <c r="W335">
        <f>M335-(SUM(S335:T335)*V335)</f>
        <v>104.98971700000038</v>
      </c>
      <c r="X335">
        <f>W335/(2*P335*R335)</f>
        <v>6.9780172874075688E-2</v>
      </c>
      <c r="Y335">
        <f>X335*16.02</f>
        <v>1.1178783694426926</v>
      </c>
    </row>
    <row r="336" spans="10:25" x14ac:dyDescent="0.2">
      <c r="K336">
        <v>100000</v>
      </c>
      <c r="L336">
        <v>260.17466200000001</v>
      </c>
      <c r="M336">
        <v>-22590.441459999998</v>
      </c>
      <c r="N336">
        <v>65166.911435000002</v>
      </c>
      <c r="O336">
        <v>3.7599999999999999E-3</v>
      </c>
      <c r="P336">
        <v>29.074693</v>
      </c>
      <c r="Q336">
        <v>86.533333999999996</v>
      </c>
      <c r="R336">
        <v>25.901724000000002</v>
      </c>
      <c r="S336">
        <v>1045</v>
      </c>
      <c r="T336">
        <v>2731</v>
      </c>
      <c r="U336">
        <f>T336/(T336+S336)</f>
        <v>0.7232521186440678</v>
      </c>
      <c r="V336">
        <f t="shared" si="24"/>
        <v>-6.0120807203389832</v>
      </c>
      <c r="W336">
        <f>M336-(SUM(S336:T336)*V336)</f>
        <v>111.1753400000016</v>
      </c>
      <c r="X336">
        <f>W336/(2*P336*R336)</f>
        <v>7.381330673457287E-2</v>
      </c>
      <c r="Y336">
        <f>X336*16.02</f>
        <v>1.1824891738878573</v>
      </c>
    </row>
    <row r="337" spans="10:25" x14ac:dyDescent="0.2">
      <c r="K337">
        <v>100000</v>
      </c>
      <c r="L337">
        <v>260.17990700000001</v>
      </c>
      <c r="M337">
        <v>-22550.959503999999</v>
      </c>
      <c r="N337">
        <v>65220.267319999999</v>
      </c>
      <c r="O337">
        <v>-1.7250999999999999E-2</v>
      </c>
      <c r="P337">
        <v>29.073086</v>
      </c>
      <c r="Q337">
        <v>86.617137999999997</v>
      </c>
      <c r="R337">
        <v>25.899280999999998</v>
      </c>
      <c r="S337">
        <v>1060</v>
      </c>
      <c r="T337">
        <v>2716</v>
      </c>
      <c r="U337">
        <f>T337/(T337+S337)</f>
        <v>0.71927966101694918</v>
      </c>
      <c r="V337">
        <f t="shared" si="24"/>
        <v>-6.0013550847457635</v>
      </c>
      <c r="W337">
        <f>M337-(SUM(S337:T337)*V337)</f>
        <v>110.15729600000486</v>
      </c>
      <c r="X337">
        <f>W337/(2*P337*R337)</f>
        <v>7.3148332547995687E-2</v>
      </c>
      <c r="Y337">
        <f>X337*16.02</f>
        <v>1.1718362874188908</v>
      </c>
    </row>
    <row r="338" spans="10:25" x14ac:dyDescent="0.2">
      <c r="Y338" s="1">
        <f>AVERAGE(Y333:Y337)</f>
        <v>1.1223789838642317</v>
      </c>
    </row>
    <row r="339" spans="10:25" x14ac:dyDescent="0.2">
      <c r="J339" t="s">
        <v>173</v>
      </c>
      <c r="K339">
        <v>100000</v>
      </c>
      <c r="L339">
        <v>278.83021600000001</v>
      </c>
      <c r="M339">
        <v>-38556.990418000001</v>
      </c>
      <c r="N339">
        <v>112199.343347</v>
      </c>
      <c r="O339">
        <v>-0.20876</v>
      </c>
      <c r="P339">
        <v>38.010607999999998</v>
      </c>
      <c r="Q339">
        <v>227.07423600000001</v>
      </c>
      <c r="R339">
        <v>12.999231999999999</v>
      </c>
      <c r="S339">
        <v>1935</v>
      </c>
      <c r="T339">
        <v>4553</v>
      </c>
      <c r="U339">
        <f>T339/(T339+S339)</f>
        <v>0.70175709001233044</v>
      </c>
      <c r="V339">
        <f>-4.0593-2.7*U339</f>
        <v>-5.9540441430332924</v>
      </c>
      <c r="W339">
        <f>M339-(SUM(S339:T339)*V339)</f>
        <v>72.84798199999932</v>
      </c>
      <c r="X339">
        <f>W339/(2*P339*R339)</f>
        <v>7.3716552908769342E-2</v>
      </c>
      <c r="Y339">
        <f>X339*16.02</f>
        <v>1.1809391775984848</v>
      </c>
    </row>
    <row r="340" spans="10:25" x14ac:dyDescent="0.2">
      <c r="K340">
        <v>100000</v>
      </c>
      <c r="L340">
        <v>278.91882099999998</v>
      </c>
      <c r="M340">
        <v>-38529.223632000001</v>
      </c>
      <c r="N340">
        <v>112244.85922899999</v>
      </c>
      <c r="O340">
        <v>-0.12828500000000001</v>
      </c>
      <c r="P340">
        <v>37.978188000000003</v>
      </c>
      <c r="Q340">
        <v>227.35411500000001</v>
      </c>
      <c r="R340">
        <v>12.999584</v>
      </c>
      <c r="S340">
        <v>1943</v>
      </c>
      <c r="T340">
        <v>4545</v>
      </c>
      <c r="U340">
        <f>T340/(T340+S340)</f>
        <v>0.70052404438964244</v>
      </c>
      <c r="V340">
        <f t="shared" ref="V340:V343" si="25">-4.0593-2.7*U340</f>
        <v>-5.950714919852035</v>
      </c>
      <c r="W340">
        <f>M340-(SUM(S340:T340)*V340)</f>
        <v>79.014768000000913</v>
      </c>
      <c r="X340">
        <f>W340/(2*P340*R340)</f>
        <v>8.0022953978711939E-2</v>
      </c>
      <c r="Y340">
        <f>X340*16.02</f>
        <v>1.2819677227389652</v>
      </c>
    </row>
    <row r="341" spans="10:25" x14ac:dyDescent="0.2">
      <c r="K341">
        <v>100000</v>
      </c>
      <c r="L341">
        <v>278.89702299999999</v>
      </c>
      <c r="M341">
        <v>-38784.479886000001</v>
      </c>
      <c r="N341">
        <v>111812.21923800001</v>
      </c>
      <c r="O341">
        <v>-0.192936</v>
      </c>
      <c r="P341">
        <v>37.957335</v>
      </c>
      <c r="Q341">
        <v>226.889195</v>
      </c>
      <c r="R341">
        <v>12.983142000000001</v>
      </c>
      <c r="S341">
        <v>1849</v>
      </c>
      <c r="T341">
        <v>4639</v>
      </c>
      <c r="U341">
        <f>T341/(T341+S341)</f>
        <v>0.71501233045622692</v>
      </c>
      <c r="V341">
        <f t="shared" si="25"/>
        <v>-5.9898332922318129</v>
      </c>
      <c r="W341">
        <f>M341-(SUM(S341:T341)*V341)</f>
        <v>77.558514000003925</v>
      </c>
      <c r="X341">
        <f>W341/(2*P341*R341)</f>
        <v>7.8690800612661968E-2</v>
      </c>
      <c r="Y341">
        <f>X341*16.02</f>
        <v>1.2606266258148446</v>
      </c>
    </row>
    <row r="342" spans="10:25" x14ac:dyDescent="0.2">
      <c r="K342">
        <v>100000</v>
      </c>
      <c r="L342">
        <v>278.90325899999999</v>
      </c>
      <c r="M342">
        <v>-38648.780495999999</v>
      </c>
      <c r="N342">
        <v>112077.028319</v>
      </c>
      <c r="O342">
        <v>-0.14982500000000001</v>
      </c>
      <c r="P342">
        <v>37.989255999999997</v>
      </c>
      <c r="Q342">
        <v>227.11218700000001</v>
      </c>
      <c r="R342">
        <v>12.990188</v>
      </c>
      <c r="S342">
        <v>1897</v>
      </c>
      <c r="T342">
        <v>4591</v>
      </c>
      <c r="U342">
        <f>T342/(T342+S342)</f>
        <v>0.70761405672009869</v>
      </c>
      <c r="V342">
        <f t="shared" si="25"/>
        <v>-5.9698579531442668</v>
      </c>
      <c r="W342">
        <f>M342-(SUM(S342:T342)*V342)</f>
        <v>83.657904000006965</v>
      </c>
      <c r="X342">
        <f>W342/(2*P342*R342)</f>
        <v>8.4761914815927847E-2</v>
      </c>
      <c r="Y342">
        <f>X342*16.02</f>
        <v>1.357885875351164</v>
      </c>
    </row>
    <row r="343" spans="10:25" x14ac:dyDescent="0.2">
      <c r="K343">
        <v>100000</v>
      </c>
      <c r="L343">
        <v>278.83645300000001</v>
      </c>
      <c r="M343">
        <v>-38572.161173</v>
      </c>
      <c r="N343">
        <v>112171.144457</v>
      </c>
      <c r="O343">
        <v>-0.170319</v>
      </c>
      <c r="P343">
        <v>37.999299000000001</v>
      </c>
      <c r="Q343">
        <v>227.05780799999999</v>
      </c>
      <c r="R343">
        <v>13.000773000000001</v>
      </c>
      <c r="S343">
        <v>1927</v>
      </c>
      <c r="T343">
        <v>4561</v>
      </c>
      <c r="U343">
        <f>T343/(T343+S343)</f>
        <v>0.70299013563501844</v>
      </c>
      <c r="V343">
        <f t="shared" si="25"/>
        <v>-5.9573733662145507</v>
      </c>
      <c r="W343">
        <f>M343-(SUM(S343:T343)*V343)</f>
        <v>79.277227000005951</v>
      </c>
      <c r="X343">
        <f>W343/(2*P343*R343)</f>
        <v>8.0236817541135499E-2</v>
      </c>
      <c r="Y343">
        <f>X343*16.02</f>
        <v>1.2853938170089907</v>
      </c>
    </row>
    <row r="344" spans="10:25" x14ac:dyDescent="0.2">
      <c r="Y344" s="1">
        <f>AVERAGE(Y339:Y343)</f>
        <v>1.2733626437024899</v>
      </c>
    </row>
    <row r="345" spans="10:25" x14ac:dyDescent="0.2">
      <c r="J345" t="s">
        <v>174</v>
      </c>
      <c r="K345">
        <v>100000</v>
      </c>
      <c r="L345">
        <v>278.88329099999999</v>
      </c>
      <c r="M345">
        <v>-19406.716578</v>
      </c>
      <c r="N345">
        <v>57303.160616000001</v>
      </c>
      <c r="O345">
        <v>-0.29764600000000002</v>
      </c>
      <c r="P345">
        <v>23.535119999999999</v>
      </c>
      <c r="Q345">
        <v>187.143203</v>
      </c>
      <c r="R345">
        <v>13.010325999999999</v>
      </c>
      <c r="S345">
        <v>1048</v>
      </c>
      <c r="T345">
        <v>2248</v>
      </c>
      <c r="U345">
        <f>T345/(T345+S345)</f>
        <v>0.68203883495145634</v>
      </c>
      <c r="V345">
        <f>-4.0593-2.7*U345</f>
        <v>-5.9008048543689329</v>
      </c>
      <c r="W345">
        <f>M345-(SUM(S345:T345)*V345)</f>
        <v>42.336222000001726</v>
      </c>
      <c r="X345">
        <f>W345/(2*P345*R345)</f>
        <v>6.9131743249715882E-2</v>
      </c>
      <c r="Y345">
        <f>X345*16.02</f>
        <v>1.1074905268604485</v>
      </c>
    </row>
    <row r="346" spans="10:25" x14ac:dyDescent="0.2">
      <c r="K346">
        <v>100000</v>
      </c>
      <c r="L346">
        <v>278.90279900000002</v>
      </c>
      <c r="M346">
        <v>-19487.830104000001</v>
      </c>
      <c r="N346">
        <v>57144.506671000003</v>
      </c>
      <c r="O346">
        <v>-0.27988200000000002</v>
      </c>
      <c r="P346">
        <v>23.518772999999999</v>
      </c>
      <c r="Q346">
        <v>186.909649</v>
      </c>
      <c r="R346">
        <v>12.999547</v>
      </c>
      <c r="S346">
        <v>1016</v>
      </c>
      <c r="T346">
        <v>2280</v>
      </c>
      <c r="U346">
        <f>T346/(T346+S346)</f>
        <v>0.69174757281553401</v>
      </c>
      <c r="V346">
        <f t="shared" ref="V346:V349" si="26">-4.0593-2.7*U346</f>
        <v>-5.9270184466019424</v>
      </c>
      <c r="W346">
        <f>M346-(SUM(S346:T346)*V346)</f>
        <v>47.622696000002179</v>
      </c>
      <c r="X346">
        <f>W346/(2*P346*R346)</f>
        <v>7.7882718701127771E-2</v>
      </c>
      <c r="Y346">
        <f>X346*16.02</f>
        <v>1.2476811535920669</v>
      </c>
    </row>
    <row r="347" spans="10:25" x14ac:dyDescent="0.2">
      <c r="K347">
        <v>100000</v>
      </c>
      <c r="L347">
        <v>278.93687899999998</v>
      </c>
      <c r="M347">
        <v>-19510.63696</v>
      </c>
      <c r="N347">
        <v>57123.388773999999</v>
      </c>
      <c r="O347">
        <v>-0.38936500000000002</v>
      </c>
      <c r="P347">
        <v>23.512073999999998</v>
      </c>
      <c r="Q347">
        <v>186.82785699999999</v>
      </c>
      <c r="R347">
        <v>13.004136000000001</v>
      </c>
      <c r="S347">
        <v>1013</v>
      </c>
      <c r="T347">
        <v>2283</v>
      </c>
      <c r="U347">
        <f>T347/(T347+S347)</f>
        <v>0.69265776699029125</v>
      </c>
      <c r="V347">
        <f t="shared" si="26"/>
        <v>-5.9294759708737867</v>
      </c>
      <c r="W347">
        <f>M347-(SUM(S347:T347)*V347)</f>
        <v>32.915840000001481</v>
      </c>
      <c r="X347">
        <f>W347/(2*P347*R347)</f>
        <v>5.3827288628304298E-2</v>
      </c>
      <c r="Y347">
        <f>X347*16.02</f>
        <v>0.86231316382543488</v>
      </c>
    </row>
    <row r="348" spans="10:25" x14ac:dyDescent="0.2">
      <c r="K348">
        <v>100000</v>
      </c>
      <c r="L348">
        <v>278.96724799999998</v>
      </c>
      <c r="M348">
        <v>-19575.676588999999</v>
      </c>
      <c r="N348">
        <v>57013.215048999999</v>
      </c>
      <c r="O348">
        <v>-0.29030699999999998</v>
      </c>
      <c r="P348">
        <v>23.478002</v>
      </c>
      <c r="Q348">
        <v>186.828416</v>
      </c>
      <c r="R348">
        <v>12.997851000000001</v>
      </c>
      <c r="S348">
        <v>988</v>
      </c>
      <c r="T348">
        <v>2308</v>
      </c>
      <c r="U348">
        <f>T348/(T348+S348)</f>
        <v>0.70024271844660191</v>
      </c>
      <c r="V348">
        <f t="shared" si="26"/>
        <v>-5.9499553398058254</v>
      </c>
      <c r="W348">
        <f>M348-(SUM(S348:T348)*V348)</f>
        <v>35.376211000002513</v>
      </c>
      <c r="X348">
        <f>W348/(2*P348*R348)</f>
        <v>5.7962703074920421E-2</v>
      </c>
      <c r="Y348">
        <f>X348*16.02</f>
        <v>0.92856250326022516</v>
      </c>
    </row>
    <row r="349" spans="10:25" x14ac:dyDescent="0.2">
      <c r="K349">
        <v>100000</v>
      </c>
      <c r="L349">
        <v>278.845056</v>
      </c>
      <c r="M349">
        <v>-19553.800670000001</v>
      </c>
      <c r="N349">
        <v>57063.390798</v>
      </c>
      <c r="O349">
        <v>-0.27779799999999999</v>
      </c>
      <c r="P349">
        <v>23.500774</v>
      </c>
      <c r="Q349">
        <v>186.67906500000001</v>
      </c>
      <c r="R349">
        <v>13.007082</v>
      </c>
      <c r="S349">
        <v>993</v>
      </c>
      <c r="T349">
        <v>2303</v>
      </c>
      <c r="U349">
        <f>T349/(T349+S349)</f>
        <v>0.69872572815533984</v>
      </c>
      <c r="V349">
        <f t="shared" si="26"/>
        <v>-5.9458594660194182</v>
      </c>
      <c r="W349">
        <f>M349-(SUM(S349:T349)*V349)</f>
        <v>43.752130000000761</v>
      </c>
      <c r="X349">
        <f>W349/(2*P349*R349)</f>
        <v>7.1566068686798032E-2</v>
      </c>
      <c r="Y349">
        <f>X349*16.02</f>
        <v>1.1464884203625045</v>
      </c>
    </row>
    <row r="350" spans="10:25" x14ac:dyDescent="0.2">
      <c r="Y350" s="1">
        <f>AVERAGE(Y345:Y349)</f>
        <v>1.058507153580136</v>
      </c>
    </row>
    <row r="351" spans="10:25" x14ac:dyDescent="0.2">
      <c r="J351" t="s">
        <v>175</v>
      </c>
      <c r="K351">
        <v>100000</v>
      </c>
      <c r="L351">
        <v>278.877161</v>
      </c>
      <c r="M351">
        <v>-28352.197463</v>
      </c>
      <c r="N351">
        <v>81971.811050999997</v>
      </c>
      <c r="O351">
        <v>-0.208285</v>
      </c>
      <c r="P351">
        <v>32.580841999999997</v>
      </c>
      <c r="Q351">
        <v>193.68347499999999</v>
      </c>
      <c r="R351">
        <v>12.990017</v>
      </c>
      <c r="S351">
        <v>1377</v>
      </c>
      <c r="T351">
        <v>3375</v>
      </c>
      <c r="U351">
        <f>T351/(T351+S351)</f>
        <v>0.71022727272727271</v>
      </c>
      <c r="V351">
        <f>-4.0593-2.7*U351</f>
        <v>-5.976913636363637</v>
      </c>
      <c r="W351">
        <f>M351-(SUM(S351:T351)*V351)</f>
        <v>50.096137000004092</v>
      </c>
      <c r="X351">
        <f>W351/(2*P351*R351)</f>
        <v>5.9183714518677599E-2</v>
      </c>
      <c r="Y351">
        <f>X351*16.02</f>
        <v>0.94812310658921517</v>
      </c>
    </row>
    <row r="352" spans="10:25" x14ac:dyDescent="0.2">
      <c r="K352">
        <v>100000</v>
      </c>
      <c r="L352">
        <v>278.81970000000001</v>
      </c>
      <c r="M352">
        <v>-28290.438309000001</v>
      </c>
      <c r="N352">
        <v>82075.859884999998</v>
      </c>
      <c r="O352">
        <v>-0.19866600000000001</v>
      </c>
      <c r="P352">
        <v>32.565677000000001</v>
      </c>
      <c r="Q352">
        <v>193.927584</v>
      </c>
      <c r="R352">
        <v>12.996181999999999</v>
      </c>
      <c r="S352">
        <v>1398</v>
      </c>
      <c r="T352">
        <v>3354</v>
      </c>
      <c r="U352">
        <f>T352/(T352+S352)</f>
        <v>0.70580808080808077</v>
      </c>
      <c r="V352">
        <f t="shared" ref="V352:V355" si="27">-4.0593-2.7*U352</f>
        <v>-5.9649818181818191</v>
      </c>
      <c r="W352">
        <f>M352-(SUM(S352:T352)*V352)</f>
        <v>55.155291000002762</v>
      </c>
      <c r="X352">
        <f>W352/(2*P352*R352)</f>
        <v>6.5160032003025184E-2</v>
      </c>
      <c r="Y352">
        <f>X352*16.02</f>
        <v>1.0438637126884633</v>
      </c>
    </row>
    <row r="353" spans="11:25" x14ac:dyDescent="0.2">
      <c r="K353">
        <v>100000</v>
      </c>
      <c r="L353">
        <v>278.89504799999997</v>
      </c>
      <c r="M353">
        <v>-28146.41704</v>
      </c>
      <c r="N353">
        <v>82294.496299999999</v>
      </c>
      <c r="O353">
        <v>-0.246421</v>
      </c>
      <c r="P353">
        <v>32.626159999999999</v>
      </c>
      <c r="Q353">
        <v>193.95077000000001</v>
      </c>
      <c r="R353">
        <v>13.005091</v>
      </c>
      <c r="S353">
        <v>1454</v>
      </c>
      <c r="T353">
        <v>3298</v>
      </c>
      <c r="U353">
        <f>T353/(T353+S353)</f>
        <v>0.69402356902356899</v>
      </c>
      <c r="V353">
        <f t="shared" si="27"/>
        <v>-5.9331636363636369</v>
      </c>
      <c r="W353">
        <f>M353-(SUM(S353:T353)*V353)</f>
        <v>47.976560000002792</v>
      </c>
      <c r="X353">
        <f>W353/(2*P353*R353)</f>
        <v>5.6535306679736559E-2</v>
      </c>
      <c r="Y353">
        <f>X353*16.02</f>
        <v>0.90569561300937962</v>
      </c>
    </row>
    <row r="354" spans="11:25" x14ac:dyDescent="0.2">
      <c r="K354">
        <v>100000</v>
      </c>
      <c r="L354">
        <v>278.791178</v>
      </c>
      <c r="M354">
        <v>-28166.044344999998</v>
      </c>
      <c r="N354">
        <v>82313.952273000003</v>
      </c>
      <c r="O354">
        <v>-0.21277299999999999</v>
      </c>
      <c r="P354">
        <v>32.584065000000002</v>
      </c>
      <c r="Q354">
        <v>194.24374</v>
      </c>
      <c r="R354">
        <v>13.005324999999999</v>
      </c>
      <c r="S354">
        <v>1447</v>
      </c>
      <c r="T354">
        <v>3305</v>
      </c>
      <c r="U354">
        <f>T354/(T354+S354)</f>
        <v>0.695496632996633</v>
      </c>
      <c r="V354">
        <f t="shared" si="27"/>
        <v>-5.9371409090909095</v>
      </c>
      <c r="W354">
        <f>M354-(SUM(S354:T354)*V354)</f>
        <v>47.249255000002449</v>
      </c>
      <c r="X354">
        <f>W354/(2*P354*R354)</f>
        <v>5.5749181625933647E-2</v>
      </c>
      <c r="Y354">
        <f>X354*16.02</f>
        <v>0.89310188964745696</v>
      </c>
    </row>
    <row r="355" spans="11:25" x14ac:dyDescent="0.2">
      <c r="K355">
        <v>100000</v>
      </c>
      <c r="L355">
        <v>278.91671100000002</v>
      </c>
      <c r="M355">
        <v>-28118.058008</v>
      </c>
      <c r="N355">
        <v>82333.059374000004</v>
      </c>
      <c r="O355">
        <v>-0.22096399999999999</v>
      </c>
      <c r="P355">
        <v>32.597171000000003</v>
      </c>
      <c r="Q355">
        <v>194.27431300000001</v>
      </c>
      <c r="R355">
        <v>13.001068</v>
      </c>
      <c r="S355">
        <v>1463</v>
      </c>
      <c r="T355">
        <v>3289</v>
      </c>
      <c r="U355">
        <f>T355/(T355+S355)</f>
        <v>0.69212962962962965</v>
      </c>
      <c r="V355">
        <f t="shared" si="27"/>
        <v>-5.9280500000000007</v>
      </c>
      <c r="W355">
        <f>M355-(SUM(S355:T355)*V355)</f>
        <v>52.035592000003817</v>
      </c>
      <c r="X355">
        <f>W355/(2*P355*R355)</f>
        <v>6.1391969150608329E-2</v>
      </c>
      <c r="Y355">
        <f>X355*16.02</f>
        <v>0.98349934579274545</v>
      </c>
    </row>
    <row r="356" spans="11:25" x14ac:dyDescent="0.2">
      <c r="Y356" s="1">
        <f>AVERAGE(Y351:Y355)</f>
        <v>0.95485673354545209</v>
      </c>
    </row>
    <row r="357" spans="11:25" x14ac:dyDescent="0.2">
      <c r="Y357" s="1"/>
    </row>
    <row r="358" spans="11:25" x14ac:dyDescent="0.2">
      <c r="K358" t="s">
        <v>67</v>
      </c>
      <c r="L358" t="s">
        <v>118</v>
      </c>
      <c r="X358" t="s">
        <v>25</v>
      </c>
      <c r="Y358" t="s">
        <v>24</v>
      </c>
    </row>
    <row r="359" spans="11:25" x14ac:dyDescent="0.2">
      <c r="K359">
        <v>600</v>
      </c>
      <c r="L359" t="s">
        <v>18</v>
      </c>
      <c r="M359" t="s">
        <v>5</v>
      </c>
      <c r="N359" t="s">
        <v>7</v>
      </c>
      <c r="O359" t="s">
        <v>19</v>
      </c>
      <c r="P359" t="s">
        <v>20</v>
      </c>
      <c r="Q359" t="s">
        <v>21</v>
      </c>
      <c r="R359" t="s">
        <v>22</v>
      </c>
      <c r="S359" t="s">
        <v>4</v>
      </c>
      <c r="T359" t="s">
        <v>10</v>
      </c>
      <c r="U359" t="s">
        <v>13</v>
      </c>
      <c r="V359" t="s">
        <v>26</v>
      </c>
      <c r="W359" t="s">
        <v>12</v>
      </c>
      <c r="X359" t="s">
        <v>23</v>
      </c>
      <c r="Y359" t="s">
        <v>23</v>
      </c>
    </row>
    <row r="360" spans="11:25" x14ac:dyDescent="0.2">
      <c r="K360" t="s">
        <v>17</v>
      </c>
      <c r="L360">
        <v>520.16558599999996</v>
      </c>
      <c r="M360">
        <v>-11420.369713</v>
      </c>
      <c r="N360">
        <v>66341.229380000004</v>
      </c>
      <c r="O360">
        <v>-0.56252999999999997</v>
      </c>
      <c r="P360">
        <v>29.148582999999999</v>
      </c>
      <c r="Q360">
        <v>175.33973900000001</v>
      </c>
      <c r="R360">
        <v>12.98034</v>
      </c>
      <c r="S360">
        <v>537</v>
      </c>
      <c r="T360">
        <v>1399</v>
      </c>
      <c r="U360">
        <f>T360/(T360+S360)</f>
        <v>0.72262396694214881</v>
      </c>
      <c r="V360">
        <f>-4.0366-2.6749*U360</f>
        <v>-5.9695468491735539</v>
      </c>
      <c r="W360">
        <f>M360-(SUM(S360:T360)*V360)</f>
        <v>136.67298699999992</v>
      </c>
      <c r="X360">
        <f>W360/(2*P360*R360)</f>
        <v>0.18061307007658617</v>
      </c>
      <c r="Y360">
        <f>X360*16.02</f>
        <v>2.8934213826269102</v>
      </c>
    </row>
    <row r="361" spans="11:25" x14ac:dyDescent="0.2">
      <c r="L361">
        <v>520.19881199999998</v>
      </c>
      <c r="M361">
        <v>-11497.409071</v>
      </c>
      <c r="N361">
        <v>66192.890383999998</v>
      </c>
      <c r="O361">
        <v>-0.56064499999999995</v>
      </c>
      <c r="P361">
        <v>29.104105000000001</v>
      </c>
      <c r="Q361">
        <v>175.36163199999999</v>
      </c>
      <c r="R361">
        <v>12.969488</v>
      </c>
      <c r="S361">
        <v>508</v>
      </c>
      <c r="T361">
        <v>1428</v>
      </c>
      <c r="U361">
        <f>T361/(T361+S361)</f>
        <v>0.73760330578512401</v>
      </c>
      <c r="V361">
        <f>-4.0366-2.6749*U361</f>
        <v>-6.0096150826446282</v>
      </c>
      <c r="W361">
        <f>M361-(SUM(S361:T361)*V361)</f>
        <v>137.20572899999934</v>
      </c>
      <c r="X361">
        <f>W361/(2*P361*R361)</f>
        <v>0.18174612906276155</v>
      </c>
      <c r="Y361">
        <f>X361*16.02</f>
        <v>2.9115729875854401</v>
      </c>
    </row>
    <row r="362" spans="11:25" x14ac:dyDescent="0.2">
      <c r="L362">
        <v>520.19936299999995</v>
      </c>
      <c r="M362">
        <v>-11449.781955</v>
      </c>
      <c r="N362">
        <v>66468.952357000002</v>
      </c>
      <c r="O362">
        <v>-0.52231899999999998</v>
      </c>
      <c r="P362">
        <v>29.096505000000001</v>
      </c>
      <c r="Q362">
        <v>175.81463299999999</v>
      </c>
      <c r="R362">
        <v>12.993415000000001</v>
      </c>
      <c r="S362">
        <v>521</v>
      </c>
      <c r="T362">
        <v>1415</v>
      </c>
      <c r="U362">
        <f>T362/(T362+S362)</f>
        <v>0.73088842975206614</v>
      </c>
      <c r="V362">
        <f>-4.0366-2.6749*U362</f>
        <v>-5.9916534607438017</v>
      </c>
      <c r="W362">
        <f>M362-(SUM(S362:T362)*V362)</f>
        <v>150.05914499999926</v>
      </c>
      <c r="X362">
        <f>W362/(2*P362*R362)</f>
        <v>0.19845787485779265</v>
      </c>
      <c r="Y362">
        <f>X362*16.02</f>
        <v>3.1792951552218383</v>
      </c>
    </row>
    <row r="363" spans="11:25" x14ac:dyDescent="0.2">
      <c r="L363">
        <v>520.14123800000004</v>
      </c>
      <c r="M363">
        <v>-11438.328984</v>
      </c>
      <c r="N363">
        <v>66360.285501000006</v>
      </c>
      <c r="O363">
        <v>-0.50384300000000004</v>
      </c>
      <c r="P363">
        <v>29.08915</v>
      </c>
      <c r="Q363">
        <v>175.56004799999999</v>
      </c>
      <c r="R363">
        <v>12.994268999999999</v>
      </c>
      <c r="S363">
        <v>529</v>
      </c>
      <c r="T363">
        <v>1407</v>
      </c>
      <c r="U363">
        <f>T363/(T363+S363)</f>
        <v>0.72675619834710747</v>
      </c>
      <c r="V363">
        <f>-4.0366-2.6749*U363</f>
        <v>-5.9806001549586778</v>
      </c>
      <c r="W363">
        <f>M363-(SUM(S363:T363)*V363)</f>
        <v>140.11291600000004</v>
      </c>
      <c r="X363">
        <f>W363/(2*P363*R363)</f>
        <v>0.18533834976327226</v>
      </c>
      <c r="Y363">
        <f>X363*16.02</f>
        <v>2.9691203632076215</v>
      </c>
    </row>
    <row r="364" spans="11:25" x14ac:dyDescent="0.2">
      <c r="L364">
        <v>520.49337700000001</v>
      </c>
      <c r="M364">
        <v>-11430.530591999999</v>
      </c>
      <c r="N364">
        <v>66400.279186</v>
      </c>
      <c r="O364">
        <v>-0.51975199999999999</v>
      </c>
      <c r="P364">
        <v>29.143174999999999</v>
      </c>
      <c r="Q364">
        <v>175.36780899999999</v>
      </c>
      <c r="R364">
        <v>12.992224999999999</v>
      </c>
      <c r="S364">
        <v>531</v>
      </c>
      <c r="T364">
        <v>1405</v>
      </c>
      <c r="U364">
        <f>T364/(T364+S364)</f>
        <v>0.72572314049586772</v>
      </c>
      <c r="V364">
        <f>-4.0366-2.6749*U364</f>
        <v>-5.9778368285123964</v>
      </c>
      <c r="W364">
        <f>M364-(SUM(S364:T364)*V364)</f>
        <v>142.56150800000069</v>
      </c>
      <c r="X364">
        <f>W364/(2*P364*R364)</f>
        <v>0.18825732687017557</v>
      </c>
      <c r="Y364">
        <f>X364*16.02</f>
        <v>3.0158823764602127</v>
      </c>
    </row>
    <row r="365" spans="11:25" x14ac:dyDescent="0.2">
      <c r="Y365" s="1">
        <f>AVERAGE(Y360:Y364)</f>
        <v>2.9938584530204047</v>
      </c>
    </row>
    <row r="366" spans="11:25" x14ac:dyDescent="0.2">
      <c r="K366" t="s">
        <v>27</v>
      </c>
      <c r="L366">
        <v>557.74062100000003</v>
      </c>
      <c r="M366">
        <v>-8585.2965339999992</v>
      </c>
      <c r="N366">
        <v>49668.030061999998</v>
      </c>
      <c r="O366">
        <v>-1.0489219999999999</v>
      </c>
      <c r="P366">
        <v>30.881343999999999</v>
      </c>
      <c r="Q366">
        <v>124.018004</v>
      </c>
      <c r="R366">
        <v>12.968699000000001</v>
      </c>
      <c r="S366">
        <v>409</v>
      </c>
      <c r="T366">
        <v>1055</v>
      </c>
      <c r="U366">
        <f>T366/(T366+S366)</f>
        <v>0.72062841530054644</v>
      </c>
      <c r="V366">
        <f>-4.0366-2.6749*U366</f>
        <v>-5.9642089480874318</v>
      </c>
      <c r="W366">
        <f>M366-(SUM(S366:T366)*V366)</f>
        <v>146.3053660000005</v>
      </c>
      <c r="X366">
        <f>W366/(2*P366*R366)</f>
        <v>0.18265756153308776</v>
      </c>
      <c r="Y366">
        <f>X366*16.02</f>
        <v>2.9261741357600659</v>
      </c>
    </row>
    <row r="367" spans="11:25" x14ac:dyDescent="0.2">
      <c r="L367">
        <v>557.68528900000001</v>
      </c>
      <c r="M367">
        <v>-8653.8149040000008</v>
      </c>
      <c r="N367">
        <v>49512.613062999997</v>
      </c>
      <c r="O367">
        <v>-0.87894899999999998</v>
      </c>
      <c r="P367">
        <v>30.799944</v>
      </c>
      <c r="Q367">
        <v>124.06966199999999</v>
      </c>
      <c r="R367">
        <v>12.956887999999999</v>
      </c>
      <c r="S367">
        <v>381</v>
      </c>
      <c r="T367">
        <v>1083</v>
      </c>
      <c r="U367">
        <f>T367/(T367+S367)</f>
        <v>0.73975409836065575</v>
      </c>
      <c r="V367">
        <f>-4.0366-2.6749*U367</f>
        <v>-6.0153682377049176</v>
      </c>
      <c r="W367">
        <f>M367-(SUM(S367:T367)*V367)</f>
        <v>152.68419599999834</v>
      </c>
      <c r="X367">
        <f>W367/(2*P367*R367)</f>
        <v>0.191299334537743</v>
      </c>
      <c r="Y367">
        <f>X367*16.02</f>
        <v>3.0646153392946429</v>
      </c>
    </row>
    <row r="368" spans="11:25" x14ac:dyDescent="0.2">
      <c r="L368">
        <v>557.82315700000004</v>
      </c>
      <c r="M368">
        <v>-8591.0288149999997</v>
      </c>
      <c r="N368">
        <v>49782.340620000003</v>
      </c>
      <c r="O368">
        <v>-0.95782500000000004</v>
      </c>
      <c r="P368">
        <v>30.880509</v>
      </c>
      <c r="Q368">
        <v>124.16603499999999</v>
      </c>
      <c r="R368">
        <v>12.983408000000001</v>
      </c>
      <c r="S368">
        <v>403</v>
      </c>
      <c r="T368">
        <v>1061</v>
      </c>
      <c r="U368">
        <f>T368/(T368+S368)</f>
        <v>0.72472677595628421</v>
      </c>
      <c r="V368">
        <f>-4.0366-2.6749*U368</f>
        <v>-5.9751716530054644</v>
      </c>
      <c r="W368">
        <f>M368-(SUM(S368:T368)*V368)</f>
        <v>156.62248499999987</v>
      </c>
      <c r="X368">
        <f>W368/(2*P368*R368)</f>
        <v>0.19532190869154528</v>
      </c>
      <c r="Y368">
        <f>X368*16.02</f>
        <v>3.1290569772385552</v>
      </c>
    </row>
    <row r="369" spans="11:25" x14ac:dyDescent="0.2">
      <c r="L369">
        <v>557.70300099999997</v>
      </c>
      <c r="M369">
        <v>-8587.8430320000007</v>
      </c>
      <c r="N369">
        <v>49756.056120000001</v>
      </c>
      <c r="O369">
        <v>-1.063869</v>
      </c>
      <c r="P369">
        <v>30.853840999999999</v>
      </c>
      <c r="Q369">
        <v>124.161596</v>
      </c>
      <c r="R369">
        <v>12.988227999999999</v>
      </c>
      <c r="S369">
        <v>406</v>
      </c>
      <c r="T369">
        <v>1058</v>
      </c>
      <c r="U369">
        <f>T369/(T369+S369)</f>
        <v>0.72267759562841527</v>
      </c>
      <c r="V369">
        <f>-4.0366-2.6749*U369</f>
        <v>-5.9696903005464481</v>
      </c>
      <c r="W369">
        <f>M369-(SUM(S369:T369)*V369)</f>
        <v>151.78356799999892</v>
      </c>
      <c r="X369">
        <f>W369/(2*P369*R369)</f>
        <v>0.18938065795435025</v>
      </c>
      <c r="Y369">
        <f>X369*16.02</f>
        <v>3.033878140428691</v>
      </c>
    </row>
    <row r="370" spans="11:25" x14ac:dyDescent="0.2">
      <c r="L370">
        <v>557.78187500000001</v>
      </c>
      <c r="M370">
        <v>-8585.3653009999998</v>
      </c>
      <c r="N370">
        <v>49780.234671999999</v>
      </c>
      <c r="O370">
        <v>-0.844136</v>
      </c>
      <c r="P370">
        <v>30.915267</v>
      </c>
      <c r="Q370">
        <v>124.073939</v>
      </c>
      <c r="R370">
        <v>12.977886</v>
      </c>
      <c r="S370">
        <v>404</v>
      </c>
      <c r="T370">
        <v>1060</v>
      </c>
      <c r="U370">
        <f>T370/(T370+S370)</f>
        <v>0.72404371584699456</v>
      </c>
      <c r="V370">
        <f>-4.0366-2.6749*U370</f>
        <v>-5.9733445355191259</v>
      </c>
      <c r="W370">
        <f>M370-(SUM(S370:T370)*V370)</f>
        <v>159.61109899999974</v>
      </c>
      <c r="X370">
        <f>W370/(2*P370*R370)</f>
        <v>0.19890977938661811</v>
      </c>
      <c r="Y370">
        <f>X370*16.02</f>
        <v>3.186534665773622</v>
      </c>
    </row>
    <row r="371" spans="11:25" x14ac:dyDescent="0.2">
      <c r="Y371" s="1">
        <f>AVERAGE(Y366:Y370)</f>
        <v>3.0680518516991149</v>
      </c>
    </row>
    <row r="372" spans="11:25" x14ac:dyDescent="0.2">
      <c r="K372" t="s">
        <v>28</v>
      </c>
      <c r="L372">
        <v>557.54104500000005</v>
      </c>
      <c r="M372">
        <v>-9883.8922110000003</v>
      </c>
      <c r="N372">
        <v>57379.299945999999</v>
      </c>
      <c r="O372">
        <v>-0.84095900000000001</v>
      </c>
      <c r="P372">
        <v>33.160707000000002</v>
      </c>
      <c r="Q372">
        <v>133.555194</v>
      </c>
      <c r="R372">
        <v>12.956008000000001</v>
      </c>
      <c r="S372">
        <v>460</v>
      </c>
      <c r="T372">
        <v>1220</v>
      </c>
      <c r="U372">
        <f>T372/(T372+S372)</f>
        <v>0.72619047619047616</v>
      </c>
      <c r="V372">
        <f>-4.0366-2.6749*U372</f>
        <v>-5.9790869047619051</v>
      </c>
      <c r="W372">
        <f>M372-(SUM(S372:T372)*V372)</f>
        <v>160.97378899999967</v>
      </c>
      <c r="X372">
        <f>W372/(2*P372*R372)</f>
        <v>0.18733985601767383</v>
      </c>
      <c r="Y372">
        <f>X372*16.02</f>
        <v>3.0011844934031346</v>
      </c>
    </row>
    <row r="373" spans="11:25" x14ac:dyDescent="0.2">
      <c r="L373">
        <v>557.64009899999996</v>
      </c>
      <c r="M373">
        <v>-9939.5385619999997</v>
      </c>
      <c r="N373">
        <v>57199.742832999997</v>
      </c>
      <c r="O373">
        <v>-0.74026199999999998</v>
      </c>
      <c r="P373">
        <v>33.114556</v>
      </c>
      <c r="Q373">
        <v>133.16731300000001</v>
      </c>
      <c r="R373">
        <v>12.971133</v>
      </c>
      <c r="S373">
        <v>438</v>
      </c>
      <c r="T373">
        <v>1242</v>
      </c>
      <c r="U373">
        <f t="shared" ref="U373:U394" si="28">T373/(T373+S373)</f>
        <v>0.73928571428571432</v>
      </c>
      <c r="V373">
        <f>-4.0366-2.6749*U373</f>
        <v>-6.0141153571428569</v>
      </c>
      <c r="W373">
        <f>M373-(SUM(S373:T373)*V373)</f>
        <v>164.17523799999981</v>
      </c>
      <c r="X373">
        <f>W373/(2*P373*R373)</f>
        <v>0.19110885481409032</v>
      </c>
      <c r="Y373">
        <f>X373*16.02</f>
        <v>3.0615638541217267</v>
      </c>
    </row>
    <row r="374" spans="11:25" x14ac:dyDescent="0.2">
      <c r="L374">
        <v>557.86133099999995</v>
      </c>
      <c r="M374">
        <v>-9873.5464670000001</v>
      </c>
      <c r="N374">
        <v>57501.396664</v>
      </c>
      <c r="O374">
        <v>-0.828901</v>
      </c>
      <c r="P374">
        <v>33.168816999999997</v>
      </c>
      <c r="Q374">
        <v>133.328191</v>
      </c>
      <c r="R374">
        <v>13.0025</v>
      </c>
      <c r="S374">
        <v>460</v>
      </c>
      <c r="T374">
        <v>1220</v>
      </c>
      <c r="U374">
        <f t="shared" si="28"/>
        <v>0.72619047619047616</v>
      </c>
      <c r="V374">
        <f>-4.0366-2.6749*U374</f>
        <v>-5.9790869047619051</v>
      </c>
      <c r="W374">
        <f>M374-(SUM(S374:T374)*V374)</f>
        <v>171.31953299999986</v>
      </c>
      <c r="X374">
        <f>W374/(2*P374*R374)</f>
        <v>0.19861865724726283</v>
      </c>
      <c r="Y374">
        <f>X374*16.02</f>
        <v>3.1818708891011505</v>
      </c>
    </row>
    <row r="375" spans="11:25" x14ac:dyDescent="0.2">
      <c r="L375">
        <v>557.68395899999996</v>
      </c>
      <c r="M375">
        <v>-9860.7444780000005</v>
      </c>
      <c r="N375">
        <v>57541.493508</v>
      </c>
      <c r="O375">
        <v>-0.81469400000000003</v>
      </c>
      <c r="P375">
        <v>33.146383</v>
      </c>
      <c r="Q375">
        <v>133.58077499999999</v>
      </c>
      <c r="R375">
        <v>12.995755000000001</v>
      </c>
      <c r="S375">
        <v>465</v>
      </c>
      <c r="T375">
        <v>1215</v>
      </c>
      <c r="U375">
        <f t="shared" si="28"/>
        <v>0.7232142857142857</v>
      </c>
      <c r="V375">
        <f>-4.0366-2.6749*U375</f>
        <v>-5.9711258928571427</v>
      </c>
      <c r="W375">
        <f>M375-(SUM(S375:T375)*V375)</f>
        <v>170.74702199999956</v>
      </c>
      <c r="X375">
        <f>W375/(2*P375*R375)</f>
        <v>0.19819170904609604</v>
      </c>
      <c r="Y375">
        <f>X375*16.02</f>
        <v>3.1750311789184584</v>
      </c>
    </row>
    <row r="376" spans="11:25" x14ac:dyDescent="0.2">
      <c r="L376">
        <v>557.66025200000001</v>
      </c>
      <c r="M376">
        <v>-9881.3190720000002</v>
      </c>
      <c r="N376">
        <v>57552.374321000003</v>
      </c>
      <c r="O376">
        <v>-0.82524600000000004</v>
      </c>
      <c r="P376">
        <v>33.168354000000001</v>
      </c>
      <c r="Q376">
        <v>133.68359599999999</v>
      </c>
      <c r="R376">
        <v>12.979614</v>
      </c>
      <c r="S376">
        <v>455</v>
      </c>
      <c r="T376">
        <v>1225</v>
      </c>
      <c r="U376">
        <f t="shared" si="28"/>
        <v>0.72916666666666663</v>
      </c>
      <c r="V376">
        <f>-4.0366-2.6749*U376</f>
        <v>-5.9870479166666666</v>
      </c>
      <c r="W376">
        <f>M376-(SUM(S376:T376)*V376)</f>
        <v>176.92142799999965</v>
      </c>
      <c r="X376">
        <f>W376/(2*P376*R376)</f>
        <v>0.205477722448867</v>
      </c>
      <c r="Y376">
        <f>X376*16.02</f>
        <v>3.2917531136308491</v>
      </c>
    </row>
    <row r="377" spans="11:25" x14ac:dyDescent="0.2">
      <c r="Y377" s="1">
        <f>AVERAGE(Y372:Y376)</f>
        <v>3.1422807058350637</v>
      </c>
    </row>
    <row r="378" spans="11:25" x14ac:dyDescent="0.2">
      <c r="K378" t="s">
        <v>55</v>
      </c>
      <c r="L378">
        <v>520.20224299999995</v>
      </c>
      <c r="M378">
        <v>-11659.867201999999</v>
      </c>
      <c r="N378">
        <v>67960.600957000002</v>
      </c>
      <c r="O378">
        <v>-0.58742399999999995</v>
      </c>
      <c r="P378">
        <v>29.488914999999999</v>
      </c>
      <c r="Q378">
        <v>177.45621199999999</v>
      </c>
      <c r="R378">
        <v>12.986965</v>
      </c>
      <c r="S378">
        <v>546</v>
      </c>
      <c r="T378">
        <v>1430</v>
      </c>
      <c r="U378">
        <f>T378/(T378+S378)</f>
        <v>0.72368421052631582</v>
      </c>
      <c r="V378">
        <f>-4.0366-2.6749*U378</f>
        <v>-5.9723828947368425</v>
      </c>
      <c r="W378">
        <f>M378-(SUM(S378:T378)*V378)</f>
        <v>141.56139800000165</v>
      </c>
      <c r="X378">
        <f>W378/(2*P378*R378)</f>
        <v>0.18481975214228974</v>
      </c>
      <c r="Y378">
        <f>X378*16.02</f>
        <v>2.9608124293194815</v>
      </c>
    </row>
    <row r="379" spans="11:25" x14ac:dyDescent="0.2">
      <c r="L379">
        <v>520.34360700000002</v>
      </c>
      <c r="M379">
        <v>-11743.138872</v>
      </c>
      <c r="N379">
        <v>67593.014947999996</v>
      </c>
      <c r="O379">
        <v>-0.55740800000000001</v>
      </c>
      <c r="P379">
        <v>29.415506000000001</v>
      </c>
      <c r="Q379">
        <v>177.07767000000001</v>
      </c>
      <c r="R379">
        <v>12.976635</v>
      </c>
      <c r="S379">
        <v>514</v>
      </c>
      <c r="T379">
        <v>1462</v>
      </c>
      <c r="U379">
        <f>T379/(T379+S379)</f>
        <v>0.73987854251012142</v>
      </c>
      <c r="V379">
        <f>-4.0366-2.6749*U379</f>
        <v>-6.0157011133603238</v>
      </c>
      <c r="W379">
        <f>M379-(SUM(S379:T379)*V379)</f>
        <v>143.88652800000091</v>
      </c>
      <c r="X379">
        <f>W379/(2*P379*R379)</f>
        <v>0.18847412026015037</v>
      </c>
      <c r="Y379">
        <f>X379*16.02</f>
        <v>3.0193554065676089</v>
      </c>
    </row>
    <row r="380" spans="11:25" x14ac:dyDescent="0.2">
      <c r="L380">
        <v>520.25838099999999</v>
      </c>
      <c r="M380">
        <v>-11680.872223</v>
      </c>
      <c r="N380">
        <v>67834.239331999997</v>
      </c>
      <c r="O380">
        <v>-0.47992800000000002</v>
      </c>
      <c r="P380">
        <v>29.448449</v>
      </c>
      <c r="Q380">
        <v>177.29119499999999</v>
      </c>
      <c r="R380">
        <v>12.992710000000001</v>
      </c>
      <c r="S380">
        <v>533</v>
      </c>
      <c r="T380">
        <v>1443</v>
      </c>
      <c r="U380">
        <f>T380/(T380+S380)</f>
        <v>0.73026315789473684</v>
      </c>
      <c r="V380">
        <f>-4.0366-2.6749*U380</f>
        <v>-5.9899809210526316</v>
      </c>
      <c r="W380">
        <f>M380-(SUM(S380:T380)*V380)</f>
        <v>155.33007700000053</v>
      </c>
      <c r="X380">
        <f>W380/(2*P380*R380)</f>
        <v>0.20298474045092313</v>
      </c>
      <c r="Y380">
        <f>X380*16.02</f>
        <v>3.2518155420237886</v>
      </c>
    </row>
    <row r="381" spans="11:25" x14ac:dyDescent="0.2">
      <c r="L381">
        <v>520.18007399999999</v>
      </c>
      <c r="M381">
        <v>-11667.037738999999</v>
      </c>
      <c r="N381">
        <v>68098.067754000003</v>
      </c>
      <c r="O381">
        <v>-0.52732699999999999</v>
      </c>
      <c r="P381">
        <v>29.429479000000001</v>
      </c>
      <c r="Q381">
        <v>178.05593999999999</v>
      </c>
      <c r="R381">
        <v>12.995594000000001</v>
      </c>
      <c r="S381">
        <v>543</v>
      </c>
      <c r="T381">
        <v>1433</v>
      </c>
      <c r="U381">
        <f>T381/(T381+S381)</f>
        <v>0.7252024291497976</v>
      </c>
      <c r="V381">
        <f>-4.0366-2.6749*U381</f>
        <v>-5.976443977732794</v>
      </c>
      <c r="W381">
        <f>M381-(SUM(S381:T381)*V381)</f>
        <v>142.41556100000162</v>
      </c>
      <c r="X381">
        <f>W381/(2*P381*R381)</f>
        <v>0.18618673693815102</v>
      </c>
      <c r="Y381">
        <f>X381*16.02</f>
        <v>2.9827115257491794</v>
      </c>
    </row>
    <row r="382" spans="11:25" x14ac:dyDescent="0.2">
      <c r="L382">
        <v>520.27311999999995</v>
      </c>
      <c r="M382">
        <v>-11669.9637</v>
      </c>
      <c r="N382">
        <v>67934.034946</v>
      </c>
      <c r="O382">
        <v>-0.55241200000000001</v>
      </c>
      <c r="P382">
        <v>29.468260000000001</v>
      </c>
      <c r="Q382">
        <v>177.33120199999999</v>
      </c>
      <c r="R382">
        <v>13.000145</v>
      </c>
      <c r="S382">
        <v>541</v>
      </c>
      <c r="T382">
        <v>1435</v>
      </c>
      <c r="U382">
        <f>T382/(T382+S382)</f>
        <v>0.72621457489878538</v>
      </c>
      <c r="V382">
        <f>-4.0366-2.6749*U382</f>
        <v>-5.9791513663967608</v>
      </c>
      <c r="W382">
        <f>M382-(SUM(S382:T382)*V382)</f>
        <v>144.83939999999893</v>
      </c>
      <c r="X382">
        <f>W382/(2*P382*R382)</f>
        <v>0.18904014079194326</v>
      </c>
      <c r="Y382">
        <f>X382*16.02</f>
        <v>3.0284230554869307</v>
      </c>
    </row>
    <row r="383" spans="11:25" x14ac:dyDescent="0.2">
      <c r="Y383" s="1">
        <f>AVERAGE(Y378:Y382)</f>
        <v>3.048623591829398</v>
      </c>
    </row>
    <row r="384" spans="11:25" x14ac:dyDescent="0.2">
      <c r="K384">
        <v>100</v>
      </c>
      <c r="L384">
        <v>557.72625000000005</v>
      </c>
      <c r="M384">
        <v>-27701.986130000001</v>
      </c>
      <c r="N384">
        <v>88216.153411000007</v>
      </c>
      <c r="O384">
        <v>-0.54877600000000004</v>
      </c>
      <c r="P384">
        <v>25.985783000000001</v>
      </c>
      <c r="Q384">
        <v>26.028523</v>
      </c>
      <c r="R384">
        <v>130.425635</v>
      </c>
      <c r="S384">
        <v>1278</v>
      </c>
      <c r="T384">
        <v>3394</v>
      </c>
      <c r="U384">
        <f t="shared" si="28"/>
        <v>0.7264554794520548</v>
      </c>
      <c r="V384">
        <f>-4.0366-2.6749*U384</f>
        <v>-5.9797957619863009</v>
      </c>
      <c r="W384">
        <f>M384-(SUM(S384:T384)*V384)</f>
        <v>235.6196699999964</v>
      </c>
      <c r="X384">
        <f>W384/(2*P384*Q384)</f>
        <v>0.17417916959237878</v>
      </c>
      <c r="Y384">
        <f>X384*16.02</f>
        <v>2.7903502968699079</v>
      </c>
    </row>
    <row r="385" spans="11:25" x14ac:dyDescent="0.2">
      <c r="L385">
        <v>557.63707999999997</v>
      </c>
      <c r="M385">
        <v>-27692.863494000001</v>
      </c>
      <c r="N385">
        <v>88362.286154000001</v>
      </c>
      <c r="O385">
        <v>-0.44936199999999998</v>
      </c>
      <c r="P385">
        <v>26.018505999999999</v>
      </c>
      <c r="Q385">
        <v>26.016086999999999</v>
      </c>
      <c r="R385">
        <v>130.53974600000001</v>
      </c>
      <c r="S385">
        <v>1275</v>
      </c>
      <c r="T385">
        <v>3397</v>
      </c>
      <c r="U385">
        <f t="shared" si="28"/>
        <v>0.72709760273972601</v>
      </c>
      <c r="V385">
        <f>-4.0366-2.6749*U385</f>
        <v>-5.9815133775684934</v>
      </c>
      <c r="W385">
        <f>M385-(SUM(S385:T385)*V385)</f>
        <v>252.76700600000186</v>
      </c>
      <c r="X385">
        <f>W385/(2*P385*Q385)</f>
        <v>0.18670934566456429</v>
      </c>
      <c r="Y385">
        <f>X385*16.02</f>
        <v>2.9910837175463199</v>
      </c>
    </row>
    <row r="386" spans="11:25" x14ac:dyDescent="0.2">
      <c r="L386">
        <v>557.63074900000004</v>
      </c>
      <c r="M386">
        <v>-27680.983779999999</v>
      </c>
      <c r="N386">
        <v>88359.345711000002</v>
      </c>
      <c r="O386">
        <v>-0.555701</v>
      </c>
      <c r="P386">
        <v>26.029302000000001</v>
      </c>
      <c r="Q386">
        <v>26.018739</v>
      </c>
      <c r="R386">
        <v>130.467972</v>
      </c>
      <c r="S386">
        <v>1277</v>
      </c>
      <c r="T386">
        <v>3395</v>
      </c>
      <c r="U386">
        <f t="shared" si="28"/>
        <v>0.7266695205479452</v>
      </c>
      <c r="V386">
        <f>-4.0366-2.6749*U386</f>
        <v>-5.9803683005136987</v>
      </c>
      <c r="W386">
        <f>M386-(SUM(S386:T386)*V386)</f>
        <v>259.29692000000068</v>
      </c>
      <c r="X386">
        <f>W386/(2*P386*Q386)</f>
        <v>0.19143378912476341</v>
      </c>
      <c r="Y386">
        <f>X386*16.02</f>
        <v>3.0667693017787099</v>
      </c>
    </row>
    <row r="387" spans="11:25" x14ac:dyDescent="0.2">
      <c r="L387">
        <v>557.58916099999999</v>
      </c>
      <c r="M387">
        <v>-27658.863281999998</v>
      </c>
      <c r="N387">
        <v>88369.570259</v>
      </c>
      <c r="O387">
        <v>-0.49875399999999998</v>
      </c>
      <c r="P387">
        <v>26.028238000000002</v>
      </c>
      <c r="Q387">
        <v>26.024743999999998</v>
      </c>
      <c r="R387">
        <v>130.45829000000001</v>
      </c>
      <c r="S387">
        <v>1290</v>
      </c>
      <c r="T387">
        <v>3382</v>
      </c>
      <c r="U387">
        <f t="shared" si="28"/>
        <v>0.72388698630136983</v>
      </c>
      <c r="V387">
        <f>-4.0366-2.6749*U387</f>
        <v>-5.9729252996575344</v>
      </c>
      <c r="W387">
        <f>M387-(SUM(S387:T387)*V387)</f>
        <v>246.64371800000299</v>
      </c>
      <c r="X387">
        <f>W387/(2*P387*Q387)</f>
        <v>0.18205760593859779</v>
      </c>
      <c r="Y387">
        <f>X387*16.02</f>
        <v>2.9165628471363365</v>
      </c>
    </row>
    <row r="388" spans="11:25" x14ac:dyDescent="0.2">
      <c r="L388">
        <v>557.78276200000005</v>
      </c>
      <c r="M388">
        <v>-27789.672095000002</v>
      </c>
      <c r="N388">
        <v>88034.836872999993</v>
      </c>
      <c r="O388">
        <v>-0.56075900000000001</v>
      </c>
      <c r="P388">
        <v>25.994164999999999</v>
      </c>
      <c r="Q388">
        <v>26.00592</v>
      </c>
      <c r="R388">
        <v>130.22868099999999</v>
      </c>
      <c r="S388">
        <v>1237</v>
      </c>
      <c r="T388">
        <v>3435</v>
      </c>
      <c r="U388">
        <f t="shared" si="28"/>
        <v>0.73523116438356162</v>
      </c>
      <c r="V388">
        <f>-4.0366-2.6749*U388</f>
        <v>-6.0032698416095887</v>
      </c>
      <c r="W388">
        <f>M388-(SUM(S388:T388)*V388)</f>
        <v>257.60460499999681</v>
      </c>
      <c r="X388">
        <f>W388/(2*P388*Q388)</f>
        <v>0.19053533727604038</v>
      </c>
      <c r="Y388">
        <f>X388*16.02</f>
        <v>3.052376103162167</v>
      </c>
    </row>
    <row r="389" spans="11:25" x14ac:dyDescent="0.2">
      <c r="Y389" s="1">
        <f>AVERAGE(Y384:Y388)</f>
        <v>2.9634284532986883</v>
      </c>
    </row>
    <row r="390" spans="11:25" x14ac:dyDescent="0.2">
      <c r="K390">
        <v>110</v>
      </c>
      <c r="L390">
        <v>520.31356400000004</v>
      </c>
      <c r="M390">
        <v>-10591.715346999999</v>
      </c>
      <c r="N390">
        <v>34533.387856000001</v>
      </c>
      <c r="O390">
        <v>-0.98148500000000005</v>
      </c>
      <c r="P390">
        <v>92.119240000000005</v>
      </c>
      <c r="Q390">
        <v>23.059837999999999</v>
      </c>
      <c r="R390">
        <v>16.256719</v>
      </c>
      <c r="S390">
        <v>509</v>
      </c>
      <c r="T390">
        <v>1291</v>
      </c>
      <c r="U390">
        <f t="shared" si="28"/>
        <v>0.71722222222222221</v>
      </c>
      <c r="V390">
        <f>-4.0366-2.6749*U390</f>
        <v>-5.9550977222222219</v>
      </c>
      <c r="W390">
        <f>M390-(SUM(S390:T390)*V390)</f>
        <v>127.4605530000008</v>
      </c>
      <c r="X390">
        <f>W390/(2*R390*Q390)</f>
        <v>0.17000302602003864</v>
      </c>
      <c r="Y390">
        <f>X390*16.02</f>
        <v>2.723448476841019</v>
      </c>
    </row>
    <row r="391" spans="11:25" x14ac:dyDescent="0.2">
      <c r="L391">
        <v>520.645625</v>
      </c>
      <c r="M391">
        <v>-10687.608407</v>
      </c>
      <c r="N391">
        <v>34359.853149000002</v>
      </c>
      <c r="O391">
        <v>-1.0426899999999999</v>
      </c>
      <c r="P391">
        <v>91.994581999999994</v>
      </c>
      <c r="Q391">
        <v>23.016611999999999</v>
      </c>
      <c r="R391">
        <v>16.227364000000001</v>
      </c>
      <c r="S391">
        <v>472</v>
      </c>
      <c r="T391">
        <v>1328</v>
      </c>
      <c r="U391">
        <f t="shared" si="28"/>
        <v>0.73777777777777775</v>
      </c>
      <c r="V391">
        <f>-4.0366-2.6749*U391</f>
        <v>-6.0100817777777777</v>
      </c>
      <c r="W391">
        <f>M391-(SUM(S391:T391)*V391)</f>
        <v>130.53879299999971</v>
      </c>
      <c r="X391">
        <f>W391/(2*R391*Q391)</f>
        <v>0.17475122240067659</v>
      </c>
      <c r="Y391">
        <f>X391*16.02</f>
        <v>2.7995145828588388</v>
      </c>
    </row>
    <row r="392" spans="11:25" x14ac:dyDescent="0.2">
      <c r="L392">
        <v>520.46413099999995</v>
      </c>
      <c r="M392">
        <v>-10610.462028</v>
      </c>
      <c r="N392">
        <v>34576.865443000002</v>
      </c>
      <c r="O392">
        <v>-0.87871100000000002</v>
      </c>
      <c r="P392">
        <v>92.462980999999999</v>
      </c>
      <c r="Q392">
        <v>23.037977000000001</v>
      </c>
      <c r="R392">
        <v>16.232061999999999</v>
      </c>
      <c r="S392">
        <v>499</v>
      </c>
      <c r="T392">
        <v>1301</v>
      </c>
      <c r="U392">
        <f t="shared" si="28"/>
        <v>0.72277777777777774</v>
      </c>
      <c r="V392">
        <f>-4.0366-2.6749*U392</f>
        <v>-5.9699582777777778</v>
      </c>
      <c r="W392">
        <f>M392-(SUM(S392:T392)*V392)</f>
        <v>135.46287200000006</v>
      </c>
      <c r="X392">
        <f>W392/(2*R392*Q392)</f>
        <v>0.18112243581143694</v>
      </c>
      <c r="Y392">
        <f>X392*16.02</f>
        <v>2.9015814216992197</v>
      </c>
    </row>
    <row r="393" spans="11:25" x14ac:dyDescent="0.2">
      <c r="L393">
        <v>520.36111500000004</v>
      </c>
      <c r="M393">
        <v>-10599.387586999999</v>
      </c>
      <c r="N393">
        <v>34547.026078000003</v>
      </c>
      <c r="O393">
        <v>-0.95160900000000004</v>
      </c>
      <c r="P393">
        <v>92.261944</v>
      </c>
      <c r="Q393">
        <v>23.041574000000001</v>
      </c>
      <c r="R393">
        <v>16.250855999999999</v>
      </c>
      <c r="S393">
        <v>508</v>
      </c>
      <c r="T393">
        <v>1292</v>
      </c>
      <c r="U393">
        <f t="shared" si="28"/>
        <v>0.71777777777777774</v>
      </c>
      <c r="V393">
        <f>-4.0366-2.6749*U393</f>
        <v>-5.9565837777777775</v>
      </c>
      <c r="W393">
        <f>M393-(SUM(S393:T393)*V393)</f>
        <v>122.46321300000091</v>
      </c>
      <c r="X393">
        <f>W393/(2*R393*Q393)</f>
        <v>0.16352617143863538</v>
      </c>
      <c r="Y393">
        <f>X393*16.02</f>
        <v>2.6196892664469384</v>
      </c>
    </row>
    <row r="394" spans="11:25" x14ac:dyDescent="0.2">
      <c r="L394">
        <v>520.44647699999996</v>
      </c>
      <c r="M394">
        <v>-10567.330749000001</v>
      </c>
      <c r="N394">
        <v>34637.941940999997</v>
      </c>
      <c r="O394">
        <v>-0.91962699999999997</v>
      </c>
      <c r="P394">
        <v>92.343316000000002</v>
      </c>
      <c r="Q394">
        <v>23.060787999999999</v>
      </c>
      <c r="R394">
        <v>16.265702000000001</v>
      </c>
      <c r="S394">
        <v>518</v>
      </c>
      <c r="T394">
        <v>1282</v>
      </c>
      <c r="U394">
        <f t="shared" si="28"/>
        <v>0.7122222222222222</v>
      </c>
      <c r="V394">
        <f>-4.0366-2.6749*U394</f>
        <v>-5.9417232222222225</v>
      </c>
      <c r="W394">
        <f>M394-(SUM(S394:T394)*V394)</f>
        <v>127.77105099999972</v>
      </c>
      <c r="X394">
        <f>W394/(2*R394*Q394)</f>
        <v>0.17031602664896459</v>
      </c>
      <c r="Y394">
        <f>X394*16.02</f>
        <v>2.7284627469164127</v>
      </c>
    </row>
    <row r="395" spans="11:25" x14ac:dyDescent="0.2">
      <c r="Y395" s="1">
        <f>AVERAGE(Y390:Y394)</f>
        <v>2.7545392989524857</v>
      </c>
    </row>
    <row r="396" spans="11:25" x14ac:dyDescent="0.2">
      <c r="K396">
        <v>111</v>
      </c>
      <c r="L396">
        <v>520.40866800000003</v>
      </c>
      <c r="M396">
        <v>-15948.542694</v>
      </c>
      <c r="N396">
        <v>53149.564408999999</v>
      </c>
      <c r="O396">
        <v>-0.41346100000000002</v>
      </c>
      <c r="P396">
        <v>90.330151000000001</v>
      </c>
      <c r="Q396">
        <v>18.425159000000001</v>
      </c>
      <c r="R396">
        <v>31.934187999999999</v>
      </c>
      <c r="S396">
        <v>750</v>
      </c>
      <c r="T396">
        <v>1961</v>
      </c>
      <c r="U396">
        <f>T396/(T396+S396)</f>
        <v>0.72334931759498344</v>
      </c>
      <c r="V396">
        <f>-4.0366-2.6749*U396</f>
        <v>-5.9714870896348211</v>
      </c>
      <c r="W396">
        <f>M396-(SUM(S396:T396)*V396)</f>
        <v>240.15880599999946</v>
      </c>
      <c r="X396">
        <f>W396/(2*Q396*R396)</f>
        <v>0.20408044757158991</v>
      </c>
      <c r="Y396">
        <f>X396*16.02</f>
        <v>3.2693687700968703</v>
      </c>
    </row>
    <row r="397" spans="11:25" x14ac:dyDescent="0.2">
      <c r="L397">
        <v>520.32114200000001</v>
      </c>
      <c r="M397">
        <v>-16011.81745</v>
      </c>
      <c r="N397">
        <v>53009.732920000002</v>
      </c>
      <c r="O397">
        <v>-0.47511700000000001</v>
      </c>
      <c r="P397">
        <v>90.218310000000002</v>
      </c>
      <c r="Q397">
        <v>18.414829999999998</v>
      </c>
      <c r="R397">
        <v>31.907544000000001</v>
      </c>
      <c r="S397">
        <v>732</v>
      </c>
      <c r="T397">
        <v>1979</v>
      </c>
      <c r="U397">
        <f>T397/(T397+S397)</f>
        <v>0.72998893397270381</v>
      </c>
      <c r="V397">
        <f>-4.0366-2.6749*U397</f>
        <v>-5.9892473994835855</v>
      </c>
      <c r="W397">
        <f>M397-(SUM(S397:T397)*V397)</f>
        <v>225.0322500000002</v>
      </c>
      <c r="X397">
        <f>W397/(2*Q397*R397)</f>
        <v>0.19149334088681028</v>
      </c>
      <c r="Y397">
        <f>X397*16.02</f>
        <v>3.0677233210067008</v>
      </c>
    </row>
    <row r="398" spans="11:25" x14ac:dyDescent="0.2">
      <c r="L398">
        <v>520.49677599999995</v>
      </c>
      <c r="M398">
        <v>-15935.28001</v>
      </c>
      <c r="N398">
        <v>53106.715486000001</v>
      </c>
      <c r="O398">
        <v>-0.53604300000000005</v>
      </c>
      <c r="P398">
        <v>90.232968999999997</v>
      </c>
      <c r="Q398">
        <v>18.434215999999999</v>
      </c>
      <c r="R398">
        <v>31.927114</v>
      </c>
      <c r="S398">
        <v>758</v>
      </c>
      <c r="T398">
        <v>1953</v>
      </c>
      <c r="U398">
        <f>T398/(T398+S398)</f>
        <v>0.72039837698266318</v>
      </c>
      <c r="V398">
        <f>-4.0366-2.6749*U398</f>
        <v>-5.9635936185909255</v>
      </c>
      <c r="W398">
        <f>M398-(SUM(S398:T398)*V398)</f>
        <v>232.02228999999897</v>
      </c>
      <c r="X398">
        <f>W398/(2*Q398*R398)</f>
        <v>0.19711305012646135</v>
      </c>
      <c r="Y398">
        <f>X398*16.02</f>
        <v>3.1577510630259109</v>
      </c>
    </row>
    <row r="399" spans="11:25" x14ac:dyDescent="0.2">
      <c r="L399">
        <v>520.34557900000004</v>
      </c>
      <c r="M399">
        <v>-15962.212463</v>
      </c>
      <c r="N399">
        <v>53106.276466000003</v>
      </c>
      <c r="O399">
        <v>-0.43774200000000002</v>
      </c>
      <c r="P399">
        <v>90.365368000000004</v>
      </c>
      <c r="Q399">
        <v>18.419425</v>
      </c>
      <c r="R399">
        <v>31.905671999999999</v>
      </c>
      <c r="S399">
        <v>754</v>
      </c>
      <c r="T399">
        <v>1957</v>
      </c>
      <c r="U399">
        <f>T399/(T399+S399)</f>
        <v>0.72187384728882331</v>
      </c>
      <c r="V399">
        <f>-4.0366-2.6749*U399</f>
        <v>-5.9675403541128738</v>
      </c>
      <c r="W399">
        <f>M399-(SUM(S399:T399)*V399)</f>
        <v>215.78943700000127</v>
      </c>
      <c r="X399">
        <f>W399/(2*Q399*R399)</f>
        <v>0.18359304350271791</v>
      </c>
      <c r="Y399">
        <f>X399*16.02</f>
        <v>2.9411605569135406</v>
      </c>
    </row>
    <row r="400" spans="11:25" x14ac:dyDescent="0.2">
      <c r="L400">
        <v>520.49601299999995</v>
      </c>
      <c r="M400">
        <v>-15957.476532999999</v>
      </c>
      <c r="N400">
        <v>53105.680629000002</v>
      </c>
      <c r="O400">
        <v>-0.49094199999999999</v>
      </c>
      <c r="P400">
        <v>90.224255999999997</v>
      </c>
      <c r="Q400">
        <v>18.435663000000002</v>
      </c>
      <c r="R400">
        <v>31.927071000000002</v>
      </c>
      <c r="S400">
        <v>750</v>
      </c>
      <c r="T400">
        <v>1961</v>
      </c>
      <c r="U400">
        <f>T400/(T400+S400)</f>
        <v>0.72334931759498344</v>
      </c>
      <c r="V400">
        <f>-4.0366-2.6749*U400</f>
        <v>-5.9714870896348211</v>
      </c>
      <c r="W400">
        <f>M400-(SUM(S400:T400)*V400)</f>
        <v>231.22496700000011</v>
      </c>
      <c r="X400">
        <f>W400/(2*Q400*R400)</f>
        <v>0.19642053594670564</v>
      </c>
      <c r="Y400">
        <f>X400*16.02</f>
        <v>3.1466569858662243</v>
      </c>
    </row>
    <row r="401" spans="11:25" x14ac:dyDescent="0.2">
      <c r="Y401" s="1">
        <f>AVERAGE(Y396:Y400)</f>
        <v>3.1165321393818495</v>
      </c>
    </row>
    <row r="403" spans="11:25" x14ac:dyDescent="0.2">
      <c r="K403" t="s">
        <v>67</v>
      </c>
      <c r="X403" t="s">
        <v>25</v>
      </c>
      <c r="Y403" t="s">
        <v>24</v>
      </c>
    </row>
    <row r="404" spans="11:25" x14ac:dyDescent="0.2">
      <c r="K404">
        <v>800</v>
      </c>
      <c r="L404" t="s">
        <v>18</v>
      </c>
      <c r="M404" t="s">
        <v>5</v>
      </c>
      <c r="N404" t="s">
        <v>7</v>
      </c>
      <c r="O404" t="s">
        <v>19</v>
      </c>
      <c r="P404" t="s">
        <v>20</v>
      </c>
      <c r="Q404" t="s">
        <v>21</v>
      </c>
      <c r="R404" t="s">
        <v>22</v>
      </c>
      <c r="S404" t="s">
        <v>4</v>
      </c>
      <c r="T404" t="s">
        <v>10</v>
      </c>
      <c r="U404" t="s">
        <v>13</v>
      </c>
      <c r="V404" t="s">
        <v>26</v>
      </c>
      <c r="W404" t="s">
        <v>12</v>
      </c>
      <c r="X404" t="s">
        <v>23</v>
      </c>
      <c r="Y404" t="s">
        <v>23</v>
      </c>
    </row>
    <row r="405" spans="11:25" x14ac:dyDescent="0.2">
      <c r="K405" t="s">
        <v>17</v>
      </c>
      <c r="L405">
        <v>693.67264999999998</v>
      </c>
      <c r="M405">
        <v>-11362.543846</v>
      </c>
      <c r="N405">
        <v>66804.097790999993</v>
      </c>
      <c r="O405">
        <v>-0.856097</v>
      </c>
      <c r="P405">
        <v>29.174440000000001</v>
      </c>
      <c r="Q405">
        <v>176.167619</v>
      </c>
      <c r="R405">
        <v>12.997957</v>
      </c>
      <c r="S405">
        <v>534</v>
      </c>
      <c r="T405">
        <v>1402</v>
      </c>
      <c r="U405">
        <f>T405/(T405+S405)</f>
        <v>0.72417355371900827</v>
      </c>
      <c r="V405">
        <f>-4.0083-2.6747*U405</f>
        <v>-5.9452470041322316</v>
      </c>
      <c r="W405">
        <f>M405-(SUM(S405:T405)*V405)</f>
        <v>147.45435399999951</v>
      </c>
      <c r="X405">
        <f>W405/(2*P405*R405)</f>
        <v>0.19442404782189768</v>
      </c>
      <c r="Y405">
        <f>X405*16.02</f>
        <v>3.1146732461068005</v>
      </c>
    </row>
    <row r="406" spans="11:25" x14ac:dyDescent="0.2">
      <c r="L406">
        <v>693.65963199999999</v>
      </c>
      <c r="M406">
        <v>-11353.328802</v>
      </c>
      <c r="N406">
        <v>66976.414023000005</v>
      </c>
      <c r="O406">
        <v>-0.81677599999999995</v>
      </c>
      <c r="P406">
        <v>29.17482</v>
      </c>
      <c r="Q406">
        <v>176.39400599999999</v>
      </c>
      <c r="R406">
        <v>13.014587000000001</v>
      </c>
      <c r="S406">
        <v>542</v>
      </c>
      <c r="T406">
        <v>1394</v>
      </c>
      <c r="U406">
        <f>T406/(T406+S406)</f>
        <v>0.7200413223140496</v>
      </c>
      <c r="V406">
        <f>-4.0083-2.6747*U406</f>
        <v>-5.9341945247933889</v>
      </c>
      <c r="W406">
        <f>M406-(SUM(S406:T406)*V406)</f>
        <v>135.27179800000158</v>
      </c>
      <c r="X406">
        <f>W406/(2*P406*R406)</f>
        <v>0.1781306656286317</v>
      </c>
      <c r="Y406">
        <f>X406*16.02</f>
        <v>2.8536532633706795</v>
      </c>
    </row>
    <row r="407" spans="11:25" x14ac:dyDescent="0.2">
      <c r="L407">
        <v>693.91037100000005</v>
      </c>
      <c r="M407">
        <v>-11346.616655</v>
      </c>
      <c r="N407">
        <v>66890.322421000004</v>
      </c>
      <c r="O407">
        <v>-0.78586800000000001</v>
      </c>
      <c r="P407">
        <v>29.193840000000002</v>
      </c>
      <c r="Q407">
        <v>176.092341</v>
      </c>
      <c r="R407">
        <v>13.011642</v>
      </c>
      <c r="S407">
        <v>541</v>
      </c>
      <c r="T407">
        <v>1395</v>
      </c>
      <c r="U407">
        <f>T407/(T407+S407)</f>
        <v>0.72055785123966942</v>
      </c>
      <c r="V407">
        <f>-4.0083-2.6747*U407</f>
        <v>-5.9355760847107444</v>
      </c>
      <c r="W407">
        <f>M407-(SUM(S407:T407)*V407)</f>
        <v>144.65864500000134</v>
      </c>
      <c r="X407">
        <f>W407/(2*P407*R407)</f>
        <v>0.19041057651264906</v>
      </c>
      <c r="Y407">
        <f>X407*16.02</f>
        <v>3.0503774357326376</v>
      </c>
    </row>
    <row r="408" spans="11:25" x14ac:dyDescent="0.2">
      <c r="L408">
        <v>693.84881399999995</v>
      </c>
      <c r="M408">
        <v>-11383.319276</v>
      </c>
      <c r="N408">
        <v>66781.607682000002</v>
      </c>
      <c r="O408">
        <v>-0.73343100000000006</v>
      </c>
      <c r="P408">
        <v>29.18873</v>
      </c>
      <c r="Q408">
        <v>176.012213</v>
      </c>
      <c r="R408">
        <v>12.998685</v>
      </c>
      <c r="S408">
        <v>525</v>
      </c>
      <c r="T408">
        <v>1411</v>
      </c>
      <c r="U408">
        <f>T408/(T408+S408)</f>
        <v>0.72882231404958675</v>
      </c>
      <c r="V408">
        <f>-4.0083-2.6747*U408</f>
        <v>-5.9576810433884297</v>
      </c>
      <c r="W408">
        <f>M408-(SUM(S408:T408)*V408)</f>
        <v>150.75122399999964</v>
      </c>
      <c r="X408">
        <f>W408/(2*P408*R408)</f>
        <v>0.19866265376657544</v>
      </c>
      <c r="Y408">
        <f>X408*16.02</f>
        <v>3.1825757133405386</v>
      </c>
    </row>
    <row r="409" spans="11:25" x14ac:dyDescent="0.2">
      <c r="L409">
        <v>693.83446800000002</v>
      </c>
      <c r="M409">
        <v>-11318.990338</v>
      </c>
      <c r="N409">
        <v>67126.648698000005</v>
      </c>
      <c r="O409">
        <v>-0.709005</v>
      </c>
      <c r="P409">
        <v>29.224384000000001</v>
      </c>
      <c r="Q409">
        <v>176.385131</v>
      </c>
      <c r="R409">
        <v>13.022315000000001</v>
      </c>
      <c r="S409">
        <v>551</v>
      </c>
      <c r="T409">
        <v>1385</v>
      </c>
      <c r="U409">
        <f>T409/(T409+S409)</f>
        <v>0.71539256198347112</v>
      </c>
      <c r="V409">
        <f>-4.0083-2.6747*U409</f>
        <v>-5.9217604855371899</v>
      </c>
      <c r="W409">
        <f>M409-(SUM(S409:T409)*V409)</f>
        <v>145.53796200000033</v>
      </c>
      <c r="X409">
        <f>W409/(2*P409*R409)</f>
        <v>0.19121093770926154</v>
      </c>
      <c r="Y409">
        <f>X409*16.02</f>
        <v>3.0631992221023698</v>
      </c>
    </row>
    <row r="410" spans="11:25" x14ac:dyDescent="0.2">
      <c r="Y410" s="1">
        <f>AVERAGE(Y405:Y409)</f>
        <v>3.052895776130605</v>
      </c>
    </row>
    <row r="411" spans="11:25" x14ac:dyDescent="0.2">
      <c r="K411" t="s">
        <v>27</v>
      </c>
      <c r="L411">
        <v>743.40840900000001</v>
      </c>
      <c r="M411">
        <v>-8516.5230319999991</v>
      </c>
      <c r="N411">
        <v>49917.421262999997</v>
      </c>
      <c r="O411">
        <v>-1.270723</v>
      </c>
      <c r="P411">
        <v>30.915396000000001</v>
      </c>
      <c r="Q411">
        <v>124.171031</v>
      </c>
      <c r="R411">
        <v>13.003432999999999</v>
      </c>
      <c r="S411">
        <v>419</v>
      </c>
      <c r="T411">
        <v>1045</v>
      </c>
      <c r="U411">
        <f>T411/(T411+S411)</f>
        <v>0.71379781420765032</v>
      </c>
      <c r="V411">
        <f>-4.0083-2.6747*U411</f>
        <v>-5.9174950136612026</v>
      </c>
      <c r="W411">
        <f>M411-(SUM(S411:T411)*V411)</f>
        <v>146.68966800000089</v>
      </c>
      <c r="X411">
        <f>W411/(2*P411*R411)</f>
        <v>0.18244698540241569</v>
      </c>
      <c r="Y411">
        <f>X411*16.02</f>
        <v>2.9228007061466994</v>
      </c>
    </row>
    <row r="412" spans="11:25" x14ac:dyDescent="0.2">
      <c r="L412">
        <v>743.96667400000001</v>
      </c>
      <c r="M412">
        <v>-8541.0745889999998</v>
      </c>
      <c r="N412">
        <v>49902.413591999997</v>
      </c>
      <c r="O412">
        <v>-1.33219</v>
      </c>
      <c r="P412">
        <v>30.925487</v>
      </c>
      <c r="Q412">
        <v>124.178113</v>
      </c>
      <c r="R412">
        <v>12.994534</v>
      </c>
      <c r="S412">
        <v>410</v>
      </c>
      <c r="T412">
        <v>1054</v>
      </c>
      <c r="U412">
        <f>T412/(T412+S412)</f>
        <v>0.7199453551912568</v>
      </c>
      <c r="V412">
        <f>-4.0083-2.6747*U412</f>
        <v>-5.9339378415300548</v>
      </c>
      <c r="W412">
        <f>M412-(SUM(S412:T412)*V412)</f>
        <v>146.21041100000002</v>
      </c>
      <c r="X412">
        <f>W412/(2*P412*R412)</f>
        <v>0.18191606155373652</v>
      </c>
      <c r="Y412">
        <f>X412*16.02</f>
        <v>2.914295306090859</v>
      </c>
    </row>
    <row r="413" spans="11:25" x14ac:dyDescent="0.2">
      <c r="L413">
        <v>743.48594700000001</v>
      </c>
      <c r="M413">
        <v>-8524.7222980000006</v>
      </c>
      <c r="N413">
        <v>50013.429399000001</v>
      </c>
      <c r="O413">
        <v>-1.138239</v>
      </c>
      <c r="P413">
        <v>30.94811</v>
      </c>
      <c r="Q413">
        <v>124.252359</v>
      </c>
      <c r="R413">
        <v>13.006145999999999</v>
      </c>
      <c r="S413">
        <v>412</v>
      </c>
      <c r="T413">
        <v>1052</v>
      </c>
      <c r="U413">
        <f>T413/(T413+S413)</f>
        <v>0.71857923497267762</v>
      </c>
      <c r="V413">
        <f>-4.0083-2.6747*U413</f>
        <v>-5.9302838797814212</v>
      </c>
      <c r="W413">
        <f>M413-(SUM(S413:T413)*V413)</f>
        <v>157.21330200000011</v>
      </c>
      <c r="X413">
        <f>W413/(2*P413*R413)</f>
        <v>0.19528844039314705</v>
      </c>
      <c r="Y413">
        <f>X413*16.02</f>
        <v>3.1285208150982156</v>
      </c>
    </row>
    <row r="414" spans="11:25" x14ac:dyDescent="0.2">
      <c r="L414">
        <v>743.70019200000002</v>
      </c>
      <c r="M414">
        <v>-8557.7535260000004</v>
      </c>
      <c r="N414">
        <v>49938.622547999999</v>
      </c>
      <c r="O414">
        <v>-1.348112</v>
      </c>
      <c r="P414">
        <v>30.901838000000001</v>
      </c>
      <c r="Q414">
        <v>124.36615399999999</v>
      </c>
      <c r="R414">
        <v>12.994237999999999</v>
      </c>
      <c r="S414">
        <v>398</v>
      </c>
      <c r="T414">
        <v>1066</v>
      </c>
      <c r="U414">
        <f>T414/(T414+S414)</f>
        <v>0.72814207650273222</v>
      </c>
      <c r="V414">
        <f>-4.0083-2.6747*U414</f>
        <v>-5.9558616120218577</v>
      </c>
      <c r="W414">
        <f>M414-(SUM(S414:T414)*V414)</f>
        <v>161.62787399999979</v>
      </c>
      <c r="X414">
        <f>W414/(2*P414*R414)</f>
        <v>0.20125706564689147</v>
      </c>
      <c r="Y414">
        <f>X414*16.02</f>
        <v>3.2241381916632013</v>
      </c>
    </row>
    <row r="415" spans="11:25" x14ac:dyDescent="0.2">
      <c r="L415">
        <v>743.88793799999996</v>
      </c>
      <c r="M415">
        <v>-8529.8611110000002</v>
      </c>
      <c r="N415">
        <v>49995.772772999997</v>
      </c>
      <c r="O415">
        <v>-1.2279340000000001</v>
      </c>
      <c r="P415">
        <v>30.884716000000001</v>
      </c>
      <c r="Q415">
        <v>124.396607</v>
      </c>
      <c r="R415">
        <v>13.013139000000001</v>
      </c>
      <c r="S415">
        <v>412</v>
      </c>
      <c r="T415">
        <v>1052</v>
      </c>
      <c r="U415">
        <f>T415/(T415+S415)</f>
        <v>0.71857923497267762</v>
      </c>
      <c r="V415">
        <f>-4.0083-2.6747*U415</f>
        <v>-5.9302838797814212</v>
      </c>
      <c r="W415">
        <f>M415-(SUM(S415:T415)*V415)</f>
        <v>152.07448900000054</v>
      </c>
      <c r="X415">
        <f>W415/(2*P415*R415)</f>
        <v>0.18919109432995301</v>
      </c>
      <c r="Y415">
        <f>X415*16.02</f>
        <v>3.0308413311658473</v>
      </c>
    </row>
    <row r="416" spans="11:25" x14ac:dyDescent="0.2">
      <c r="Y416" s="1">
        <f>AVERAGE(Y411:Y415)</f>
        <v>3.0441192700329642</v>
      </c>
    </row>
    <row r="417" spans="11:25" x14ac:dyDescent="0.2">
      <c r="K417" t="s">
        <v>28</v>
      </c>
      <c r="L417">
        <v>743.92983200000003</v>
      </c>
      <c r="M417">
        <v>-9790.8643580000007</v>
      </c>
      <c r="N417">
        <v>57809.350609000001</v>
      </c>
      <c r="O417">
        <v>-1.014359</v>
      </c>
      <c r="P417">
        <v>33.209345999999996</v>
      </c>
      <c r="Q417">
        <v>133.953664</v>
      </c>
      <c r="R417">
        <v>12.995227999999999</v>
      </c>
      <c r="S417">
        <v>475</v>
      </c>
      <c r="T417">
        <v>1205</v>
      </c>
      <c r="U417">
        <f>T417/(T417+S417)</f>
        <v>0.71726190476190477</v>
      </c>
      <c r="V417">
        <f>-4.0083-2.6747*U417</f>
        <v>-5.9267604166666672</v>
      </c>
      <c r="W417">
        <f>M417-(SUM(S417:T417)*V417)</f>
        <v>166.09314199999972</v>
      </c>
      <c r="X417">
        <f>W417/(2*P417*R417)</f>
        <v>0.19243208192984826</v>
      </c>
      <c r="Y417">
        <f>X417*16.02</f>
        <v>3.0827619525161691</v>
      </c>
    </row>
    <row r="418" spans="11:25" x14ac:dyDescent="0.2">
      <c r="L418">
        <v>744.19579299999998</v>
      </c>
      <c r="M418">
        <v>-9828.5179229999994</v>
      </c>
      <c r="N418">
        <v>57825.316543000001</v>
      </c>
      <c r="O418">
        <v>-1.115337</v>
      </c>
      <c r="P418">
        <v>33.184834000000002</v>
      </c>
      <c r="Q418">
        <v>134.170524</v>
      </c>
      <c r="R418">
        <v>12.987393000000001</v>
      </c>
      <c r="S418">
        <v>459</v>
      </c>
      <c r="T418">
        <v>1221</v>
      </c>
      <c r="U418">
        <f>T418/(T418+S418)</f>
        <v>0.72678571428571426</v>
      </c>
      <c r="V418">
        <f>-4.0083-2.6747*U418</f>
        <v>-5.9522337500000004</v>
      </c>
      <c r="W418">
        <f>M418-(SUM(S418:T418)*V418)</f>
        <v>171.23477700000149</v>
      </c>
      <c r="X418">
        <f>W418/(2*P418*R418)</f>
        <v>0.19865538624852805</v>
      </c>
      <c r="Y418">
        <f>X418*16.02</f>
        <v>3.1824592877014193</v>
      </c>
    </row>
    <row r="419" spans="11:25" x14ac:dyDescent="0.2">
      <c r="L419">
        <v>743.487122</v>
      </c>
      <c r="M419">
        <v>-9799.6999510000005</v>
      </c>
      <c r="N419">
        <v>57766.297661999997</v>
      </c>
      <c r="O419">
        <v>-0.81000499999999998</v>
      </c>
      <c r="P419">
        <v>33.250959999999999</v>
      </c>
      <c r="Q419">
        <v>133.56358299999999</v>
      </c>
      <c r="R419">
        <v>13.007178</v>
      </c>
      <c r="S419">
        <v>470</v>
      </c>
      <c r="T419">
        <v>1210</v>
      </c>
      <c r="U419">
        <f>T419/(T419+S419)</f>
        <v>0.72023809523809523</v>
      </c>
      <c r="V419">
        <f>-4.0083-2.6747*U419</f>
        <v>-5.9347208333333334</v>
      </c>
      <c r="W419">
        <f>M419-(SUM(S419:T419)*V419)</f>
        <v>170.63104899999962</v>
      </c>
      <c r="X419">
        <f>W419/(2*P419*R419)</f>
        <v>0.19726080135645999</v>
      </c>
      <c r="Y419">
        <f>X419*16.02</f>
        <v>3.1601180377304887</v>
      </c>
    </row>
    <row r="420" spans="11:25" x14ac:dyDescent="0.2">
      <c r="L420">
        <v>743.68655000000001</v>
      </c>
      <c r="M420">
        <v>-9850.7286089999998</v>
      </c>
      <c r="N420">
        <v>57688.106039999999</v>
      </c>
      <c r="O420">
        <v>-1.2536020000000001</v>
      </c>
      <c r="P420">
        <v>33.205618000000001</v>
      </c>
      <c r="Q420">
        <v>133.80551800000001</v>
      </c>
      <c r="R420">
        <v>12.983790000000001</v>
      </c>
      <c r="S420">
        <v>452</v>
      </c>
      <c r="T420">
        <v>1228</v>
      </c>
      <c r="U420">
        <f>T420/(T420+S420)</f>
        <v>0.73095238095238091</v>
      </c>
      <c r="V420">
        <f>-4.0083-2.6747*U420</f>
        <v>-5.963378333333333</v>
      </c>
      <c r="W420">
        <f>M420-(SUM(S420:T420)*V420)</f>
        <v>167.74699099999998</v>
      </c>
      <c r="X420">
        <f>W420/(2*P420*R420)</f>
        <v>0.19454124592791425</v>
      </c>
      <c r="Y420">
        <f>X420*16.02</f>
        <v>3.116550759765186</v>
      </c>
    </row>
    <row r="421" spans="11:25" x14ac:dyDescent="0.2">
      <c r="L421">
        <v>743.90040499999998</v>
      </c>
      <c r="M421">
        <v>-9827.2481349999998</v>
      </c>
      <c r="N421">
        <v>57813.960572999997</v>
      </c>
      <c r="O421">
        <v>-1.100522</v>
      </c>
      <c r="P421">
        <v>33.192245</v>
      </c>
      <c r="Q421">
        <v>134.005572</v>
      </c>
      <c r="R421">
        <v>12.997923999999999</v>
      </c>
      <c r="S421">
        <v>462</v>
      </c>
      <c r="T421">
        <v>1218</v>
      </c>
      <c r="U421">
        <f>T421/(T421+S421)</f>
        <v>0.72499999999999998</v>
      </c>
      <c r="V421">
        <f>-4.0083-2.6747*U421</f>
        <v>-5.9474575000000005</v>
      </c>
      <c r="W421">
        <f>M421-(SUM(S421:T421)*V421)</f>
        <v>164.48046500000055</v>
      </c>
      <c r="X421">
        <f>W421/(2*P421*R421)</f>
        <v>0.19062230147690445</v>
      </c>
      <c r="Y421">
        <f>X421*16.02</f>
        <v>3.0537692696600094</v>
      </c>
    </row>
    <row r="422" spans="11:25" x14ac:dyDescent="0.2">
      <c r="Y422" s="1">
        <f>AVERAGE(Y417:Y421)</f>
        <v>3.1191318614746542</v>
      </c>
    </row>
    <row r="423" spans="11:25" x14ac:dyDescent="0.2">
      <c r="K423" t="s">
        <v>55</v>
      </c>
      <c r="L423">
        <v>693.78412300000002</v>
      </c>
      <c r="M423">
        <v>-11592.440462</v>
      </c>
      <c r="N423">
        <v>68423.918606000007</v>
      </c>
      <c r="O423">
        <v>-0.77417999999999998</v>
      </c>
      <c r="P423">
        <v>29.502683000000001</v>
      </c>
      <c r="Q423">
        <v>178.05251000000001</v>
      </c>
      <c r="R423">
        <v>13.025637</v>
      </c>
      <c r="S423">
        <v>545</v>
      </c>
      <c r="T423">
        <v>1431</v>
      </c>
      <c r="U423">
        <f>T423/(T423+S423)</f>
        <v>0.72419028340080971</v>
      </c>
      <c r="V423">
        <f>-4.0083-2.6747*U423</f>
        <v>-5.9452917510121459</v>
      </c>
      <c r="W423">
        <f>M423-(SUM(S423:T423)*V423)</f>
        <v>155.45603800000026</v>
      </c>
      <c r="X423">
        <f>W423/(2*P423*R423)</f>
        <v>0.2022633124419029</v>
      </c>
      <c r="Y423">
        <f>X423*16.02</f>
        <v>3.2402582653192846</v>
      </c>
    </row>
    <row r="424" spans="11:25" x14ac:dyDescent="0.2">
      <c r="L424">
        <v>693.89966100000004</v>
      </c>
      <c r="M424">
        <v>-11599.894326</v>
      </c>
      <c r="N424">
        <v>68475.230752000003</v>
      </c>
      <c r="O424">
        <v>-0.80731200000000003</v>
      </c>
      <c r="P424">
        <v>29.463533999999999</v>
      </c>
      <c r="Q424">
        <v>178.62172200000001</v>
      </c>
      <c r="R424">
        <v>13.01113</v>
      </c>
      <c r="S424">
        <v>550</v>
      </c>
      <c r="T424">
        <v>1426</v>
      </c>
      <c r="U424">
        <f>T424/(T424+S424)</f>
        <v>0.72165991902834004</v>
      </c>
      <c r="V424">
        <f>-4.0083-2.6747*U424</f>
        <v>-5.938523785425101</v>
      </c>
      <c r="W424">
        <f>M424-(SUM(S424:T424)*V424)</f>
        <v>134.62867399999959</v>
      </c>
      <c r="X424">
        <f>W424/(2*P424*R424)</f>
        <v>0.17559321052629243</v>
      </c>
      <c r="Y424">
        <f>X424*16.02</f>
        <v>2.8130032326312047</v>
      </c>
    </row>
    <row r="425" spans="11:25" x14ac:dyDescent="0.2">
      <c r="L425">
        <v>693.92491399999994</v>
      </c>
      <c r="M425">
        <v>-11588.517533</v>
      </c>
      <c r="N425">
        <v>68425.308785000001</v>
      </c>
      <c r="O425">
        <v>-0.72009199999999995</v>
      </c>
      <c r="P425">
        <v>29.499507000000001</v>
      </c>
      <c r="Q425">
        <v>178.06248600000001</v>
      </c>
      <c r="R425">
        <v>13.026578000000001</v>
      </c>
      <c r="S425">
        <v>547</v>
      </c>
      <c r="T425">
        <v>1429</v>
      </c>
      <c r="U425">
        <f>T425/(T425+S425)</f>
        <v>0.72317813765182182</v>
      </c>
      <c r="V425">
        <f>-4.0083-2.6747*U425</f>
        <v>-5.9425845647773281</v>
      </c>
      <c r="W425">
        <f>M425-(SUM(S425:T425)*V425)</f>
        <v>154.02956699999959</v>
      </c>
      <c r="X425">
        <f>W425/(2*P425*R425)</f>
        <v>0.2004144340149274</v>
      </c>
      <c r="Y425">
        <f>X425*16.02</f>
        <v>3.2106392329191369</v>
      </c>
    </row>
    <row r="426" spans="11:25" x14ac:dyDescent="0.2">
      <c r="L426">
        <v>693.88804000000005</v>
      </c>
      <c r="M426">
        <v>-11632.970475</v>
      </c>
      <c r="N426">
        <v>68310.510265999998</v>
      </c>
      <c r="O426">
        <v>-0.822403</v>
      </c>
      <c r="P426">
        <v>29.498265</v>
      </c>
      <c r="Q426">
        <v>178.00378799999999</v>
      </c>
      <c r="R426">
        <v>13.009558</v>
      </c>
      <c r="S426">
        <v>532</v>
      </c>
      <c r="T426">
        <v>1444</v>
      </c>
      <c r="U426">
        <f>T426/(T426+S426)</f>
        <v>0.73076923076923073</v>
      </c>
      <c r="V426">
        <f>-4.0083-2.6747*U426</f>
        <v>-5.9628884615384621</v>
      </c>
      <c r="W426">
        <f>M426-(SUM(S426:T426)*V426)</f>
        <v>149.6971250000006</v>
      </c>
      <c r="X426">
        <f>W426/(2*P426*R426)</f>
        <v>0.19504034184996533</v>
      </c>
      <c r="Y426">
        <f>X426*16.02</f>
        <v>3.1245462764364444</v>
      </c>
    </row>
    <row r="427" spans="11:25" x14ac:dyDescent="0.2">
      <c r="L427">
        <v>693.93768399999999</v>
      </c>
      <c r="M427">
        <v>-11562.569846</v>
      </c>
      <c r="N427">
        <v>68550.865153000006</v>
      </c>
      <c r="O427">
        <v>-0.80641399999999996</v>
      </c>
      <c r="P427">
        <v>29.505313999999998</v>
      </c>
      <c r="Q427">
        <v>178.29518200000001</v>
      </c>
      <c r="R427">
        <v>13.030882999999999</v>
      </c>
      <c r="S427">
        <v>561</v>
      </c>
      <c r="T427">
        <v>1415</v>
      </c>
      <c r="U427">
        <f>T427/(T427+S427)</f>
        <v>0.71609311740890691</v>
      </c>
      <c r="V427">
        <f>-4.0083-2.6747*U427</f>
        <v>-5.9236342611336035</v>
      </c>
      <c r="W427">
        <f>M427-(SUM(S427:T427)*V427)</f>
        <v>142.53145399999994</v>
      </c>
      <c r="X427">
        <f>W427/(2*P427*R427)</f>
        <v>0.18535599352853582</v>
      </c>
      <c r="Y427">
        <f>X427*16.02</f>
        <v>2.9694030163271439</v>
      </c>
    </row>
    <row r="428" spans="11:25" x14ac:dyDescent="0.2">
      <c r="Y428" s="1">
        <f>AVERAGE(Y423:Y427)</f>
        <v>3.0715700047266425</v>
      </c>
    </row>
    <row r="429" spans="11:25" x14ac:dyDescent="0.2">
      <c r="K429">
        <v>100</v>
      </c>
      <c r="L429">
        <v>743.62435500000004</v>
      </c>
      <c r="M429">
        <v>-27554.031158999998</v>
      </c>
      <c r="N429">
        <v>88927.896777999995</v>
      </c>
      <c r="O429">
        <v>-0.81123500000000004</v>
      </c>
      <c r="P429">
        <v>26.053571999999999</v>
      </c>
      <c r="Q429">
        <v>26.056281999999999</v>
      </c>
      <c r="R429">
        <v>130.99616800000001</v>
      </c>
      <c r="S429">
        <v>1273</v>
      </c>
      <c r="T429">
        <v>3399</v>
      </c>
      <c r="U429">
        <f>T429/(T429+S429)</f>
        <v>0.72752568493150682</v>
      </c>
      <c r="V429">
        <f>-4.0083-2.6747*U429</f>
        <v>-5.9542129494863012</v>
      </c>
      <c r="W429">
        <f>M429-(SUM(S429:T429)*V429)</f>
        <v>264.05174099999931</v>
      </c>
      <c r="X429">
        <f>W429/(2*P429*Q429)</f>
        <v>0.19448195852357947</v>
      </c>
      <c r="Y429">
        <f>X429*16.02</f>
        <v>3.1156009755477432</v>
      </c>
    </row>
    <row r="430" spans="11:25" x14ac:dyDescent="0.2">
      <c r="L430">
        <v>743.69113000000004</v>
      </c>
      <c r="M430">
        <v>-27529.975893999999</v>
      </c>
      <c r="N430">
        <v>89024.029452000002</v>
      </c>
      <c r="O430">
        <v>-0.79843500000000001</v>
      </c>
      <c r="P430">
        <v>26.055296999999999</v>
      </c>
      <c r="Q430">
        <v>26.064017</v>
      </c>
      <c r="R430">
        <v>131.09020100000001</v>
      </c>
      <c r="S430">
        <v>1291</v>
      </c>
      <c r="T430">
        <v>3381</v>
      </c>
      <c r="U430">
        <f>T430/(T430+S430)</f>
        <v>0.72367294520547942</v>
      </c>
      <c r="V430">
        <f>-4.0083-2.6747*U430</f>
        <v>-5.943908026541096</v>
      </c>
      <c r="W430">
        <f>M430-(SUM(S430:T430)*V430)</f>
        <v>239.96240600000237</v>
      </c>
      <c r="X430">
        <f>W430/(2*P430*Q430)</f>
        <v>0.17667529856173858</v>
      </c>
      <c r="Y430">
        <f>X430*16.02</f>
        <v>2.830338282959052</v>
      </c>
    </row>
    <row r="431" spans="11:25" x14ac:dyDescent="0.2">
      <c r="L431">
        <v>743.62972600000001</v>
      </c>
      <c r="M431">
        <v>-27497.784652999999</v>
      </c>
      <c r="N431">
        <v>89030.797464999996</v>
      </c>
      <c r="O431">
        <v>-0.86155999999999999</v>
      </c>
      <c r="P431">
        <v>26.06259</v>
      </c>
      <c r="Q431">
        <v>26.056998</v>
      </c>
      <c r="R431">
        <v>131.09877</v>
      </c>
      <c r="S431">
        <v>1293</v>
      </c>
      <c r="T431">
        <v>3379</v>
      </c>
      <c r="U431">
        <f>T431/(T431+S431)</f>
        <v>0.72324486301369861</v>
      </c>
      <c r="V431">
        <f>-4.0083-2.6747*U431</f>
        <v>-5.9427630351027396</v>
      </c>
      <c r="W431">
        <f>M431-(SUM(S431:T431)*V431)</f>
        <v>266.80424700000003</v>
      </c>
      <c r="X431">
        <f>W431/(2*P431*Q431)</f>
        <v>0.19643586838130941</v>
      </c>
      <c r="Y431">
        <f>X431*16.02</f>
        <v>3.1469026114685765</v>
      </c>
    </row>
    <row r="432" spans="11:25" x14ac:dyDescent="0.2">
      <c r="L432">
        <v>743.76184899999998</v>
      </c>
      <c r="M432">
        <v>-27547.194908000001</v>
      </c>
      <c r="N432">
        <v>88869.168153999999</v>
      </c>
      <c r="O432">
        <v>-0.993973</v>
      </c>
      <c r="P432">
        <v>26.074109</v>
      </c>
      <c r="Q432">
        <v>26.05949</v>
      </c>
      <c r="R432">
        <v>130.790435</v>
      </c>
      <c r="S432">
        <v>1279</v>
      </c>
      <c r="T432">
        <v>3393</v>
      </c>
      <c r="U432">
        <f>T432/(T432+S432)</f>
        <v>0.72624143835616439</v>
      </c>
      <c r="V432">
        <f>-4.0083-2.6747*U432</f>
        <v>-5.9507779751712331</v>
      </c>
      <c r="W432">
        <f>M432-(SUM(S432:T432)*V432)</f>
        <v>254.83979199999885</v>
      </c>
      <c r="X432">
        <f>W432/(2*P432*Q432)</f>
        <v>0.1875261586627881</v>
      </c>
      <c r="Y432">
        <f>X432*16.02</f>
        <v>3.0041690617778651</v>
      </c>
    </row>
    <row r="433" spans="11:25" x14ac:dyDescent="0.2">
      <c r="L433">
        <v>743.85155999999995</v>
      </c>
      <c r="M433">
        <v>-27545.415469</v>
      </c>
      <c r="N433">
        <v>88819.932287000003</v>
      </c>
      <c r="O433">
        <v>-0.71777000000000002</v>
      </c>
      <c r="P433">
        <v>26.066628000000001</v>
      </c>
      <c r="Q433">
        <v>26.058025000000001</v>
      </c>
      <c r="R433">
        <v>130.76284000000001</v>
      </c>
      <c r="S433">
        <v>1280</v>
      </c>
      <c r="T433">
        <v>3392</v>
      </c>
      <c r="U433">
        <f>T433/(T433+S433)</f>
        <v>0.72602739726027399</v>
      </c>
      <c r="V433">
        <f>-4.0083-2.6747*U433</f>
        <v>-5.9502054794520554</v>
      </c>
      <c r="W433">
        <f>M433-(SUM(S433:T433)*V433)</f>
        <v>253.94453100000464</v>
      </c>
      <c r="X433">
        <f>W433/(2*P433*Q433)</f>
        <v>0.18693151167038458</v>
      </c>
      <c r="Y433">
        <f>X433*16.02</f>
        <v>2.9946428169595607</v>
      </c>
    </row>
    <row r="434" spans="11:25" x14ac:dyDescent="0.2">
      <c r="Y434" s="1">
        <f>AVERAGE(Y429:Y433)</f>
        <v>3.0183307497425593</v>
      </c>
    </row>
    <row r="435" spans="11:25" x14ac:dyDescent="0.2">
      <c r="K435">
        <v>110</v>
      </c>
      <c r="L435">
        <v>694.00141099999996</v>
      </c>
      <c r="M435">
        <v>-10574.800943</v>
      </c>
      <c r="N435">
        <v>34656.341419999997</v>
      </c>
      <c r="O435">
        <v>-1.3003229999999999</v>
      </c>
      <c r="P435">
        <v>92.367248000000004</v>
      </c>
      <c r="Q435">
        <v>23.091099</v>
      </c>
      <c r="R435">
        <v>16.248774000000001</v>
      </c>
      <c r="S435">
        <v>496</v>
      </c>
      <c r="T435">
        <v>1304</v>
      </c>
      <c r="U435">
        <f>T435/(T435+S435)</f>
        <v>0.72444444444444445</v>
      </c>
      <c r="V435">
        <f>-4.0083-2.6747*U435</f>
        <v>-5.9459715555555555</v>
      </c>
      <c r="W435">
        <f>M435-(SUM(S435:T435)*V435)</f>
        <v>127.9478569999992</v>
      </c>
      <c r="X435">
        <f>W435/(2*R435*Q435)</f>
        <v>0.17050527485078187</v>
      </c>
      <c r="Y435">
        <f>X435*16.02</f>
        <v>2.7314945031095257</v>
      </c>
    </row>
    <row r="436" spans="11:25" x14ac:dyDescent="0.2">
      <c r="L436">
        <v>694.11291700000004</v>
      </c>
      <c r="M436">
        <v>-10575.215099999999</v>
      </c>
      <c r="N436">
        <v>34644.257758</v>
      </c>
      <c r="O436">
        <v>-1.3708910000000001</v>
      </c>
      <c r="P436">
        <v>92.232335000000006</v>
      </c>
      <c r="Q436">
        <v>23.080857000000002</v>
      </c>
      <c r="R436">
        <v>16.274087000000002</v>
      </c>
      <c r="S436">
        <v>496</v>
      </c>
      <c r="T436">
        <v>1304</v>
      </c>
      <c r="U436">
        <f>T436/(T436+S436)</f>
        <v>0.72444444444444445</v>
      </c>
      <c r="V436">
        <f>-4.0083-2.6747*U436</f>
        <v>-5.9459715555555555</v>
      </c>
      <c r="W436">
        <f>M436-(SUM(S436:T436)*V436)</f>
        <v>127.53369999999995</v>
      </c>
      <c r="X436">
        <f>W436/(2*R436*Q436)</f>
        <v>0.16976431299070685</v>
      </c>
      <c r="Y436">
        <f>X436*16.02</f>
        <v>2.7196242941111235</v>
      </c>
    </row>
    <row r="437" spans="11:25" x14ac:dyDescent="0.2">
      <c r="L437">
        <v>693.83874800000001</v>
      </c>
      <c r="M437">
        <v>-10603.075134999999</v>
      </c>
      <c r="N437">
        <v>34605.378734999998</v>
      </c>
      <c r="O437">
        <v>-1.4774290000000001</v>
      </c>
      <c r="P437">
        <v>92.299014999999997</v>
      </c>
      <c r="Q437">
        <v>23.056070999999999</v>
      </c>
      <c r="R437">
        <v>16.261543</v>
      </c>
      <c r="S437">
        <v>484</v>
      </c>
      <c r="T437">
        <v>1316</v>
      </c>
      <c r="U437">
        <f>T437/(T437+S437)</f>
        <v>0.73111111111111116</v>
      </c>
      <c r="V437">
        <f>-4.0083-2.6747*U437</f>
        <v>-5.963802888888889</v>
      </c>
      <c r="W437">
        <f>M437-(SUM(S437:T437)*V437)</f>
        <v>131.77006500000061</v>
      </c>
      <c r="X437">
        <f>W437/(2*R437*Q437)</f>
        <v>0.17572749239977936</v>
      </c>
      <c r="Y437">
        <f>X437*16.02</f>
        <v>2.8151544282444654</v>
      </c>
    </row>
    <row r="438" spans="11:25" x14ac:dyDescent="0.2">
      <c r="L438">
        <v>693.97571800000003</v>
      </c>
      <c r="M438">
        <v>-10603.039809</v>
      </c>
      <c r="N438">
        <v>34634.586689000003</v>
      </c>
      <c r="O438">
        <v>-1.36643</v>
      </c>
      <c r="P438">
        <v>92.346611999999993</v>
      </c>
      <c r="Q438">
        <v>23.056882999999999</v>
      </c>
      <c r="R438">
        <v>16.266304999999999</v>
      </c>
      <c r="S438">
        <v>484</v>
      </c>
      <c r="T438">
        <v>1316</v>
      </c>
      <c r="U438">
        <f>T438/(T438+S438)</f>
        <v>0.73111111111111116</v>
      </c>
      <c r="V438">
        <f>-4.0083-2.6747*U438</f>
        <v>-5.963802888888889</v>
      </c>
      <c r="W438">
        <f>M438-(SUM(S438:T438)*V438)</f>
        <v>131.80539099999987</v>
      </c>
      <c r="X438">
        <f>W438/(2*R438*Q438)</f>
        <v>0.17571695594300135</v>
      </c>
      <c r="Y438">
        <f>X438*16.02</f>
        <v>2.8149856342068817</v>
      </c>
    </row>
    <row r="439" spans="11:25" x14ac:dyDescent="0.2">
      <c r="L439">
        <v>694.12054599999999</v>
      </c>
      <c r="M439">
        <v>-10566.029734</v>
      </c>
      <c r="N439">
        <v>34711.906320000002</v>
      </c>
      <c r="O439">
        <v>-1.3956109999999999</v>
      </c>
      <c r="P439">
        <v>92.402396999999993</v>
      </c>
      <c r="Q439">
        <v>23.085543999999999</v>
      </c>
      <c r="R439">
        <v>16.272549999999999</v>
      </c>
      <c r="S439">
        <v>500</v>
      </c>
      <c r="T439">
        <v>1300</v>
      </c>
      <c r="U439">
        <f>T439/(T439+S439)</f>
        <v>0.72222222222222221</v>
      </c>
      <c r="V439">
        <f>-4.0083-2.6747*U439</f>
        <v>-5.9400277777777779</v>
      </c>
      <c r="W439">
        <f>M439-(SUM(S439:T439)*V439)</f>
        <v>126.02026600000136</v>
      </c>
      <c r="X439">
        <f>W439/(2*R439*Q439)</f>
        <v>0.16773151462687649</v>
      </c>
      <c r="Y439">
        <f>X439*16.02</f>
        <v>2.6870588643225615</v>
      </c>
    </row>
    <row r="440" spans="11:25" x14ac:dyDescent="0.2">
      <c r="Y440" s="1">
        <f>AVERAGE(Y435:Y439)</f>
        <v>2.7536635447989122</v>
      </c>
    </row>
    <row r="441" spans="11:25" x14ac:dyDescent="0.2">
      <c r="K441">
        <v>111</v>
      </c>
      <c r="L441">
        <v>693.80181800000003</v>
      </c>
      <c r="M441">
        <v>-15923.505657</v>
      </c>
      <c r="N441">
        <v>53250.935022999998</v>
      </c>
      <c r="O441">
        <v>-0.80681400000000003</v>
      </c>
      <c r="P441">
        <v>90.378237999999996</v>
      </c>
      <c r="Q441">
        <v>18.441037999999999</v>
      </c>
      <c r="R441">
        <v>31.950543</v>
      </c>
      <c r="S441">
        <v>737</v>
      </c>
      <c r="T441">
        <v>1974</v>
      </c>
      <c r="U441">
        <f>T441/(T441+S441)</f>
        <v>0.7281445960900037</v>
      </c>
      <c r="V441">
        <f>-4.0083-2.6747*U441</f>
        <v>-5.955868351161933</v>
      </c>
      <c r="W441">
        <f>M441-(SUM(S441:T441)*V441)</f>
        <v>222.85344299999997</v>
      </c>
      <c r="X441">
        <f>W441/(2*Q441*R441)</f>
        <v>0.18911489952713742</v>
      </c>
      <c r="Y441">
        <f>X441*16.02</f>
        <v>3.0296206904247414</v>
      </c>
    </row>
    <row r="442" spans="11:25" x14ac:dyDescent="0.2">
      <c r="L442">
        <v>694.04542800000002</v>
      </c>
      <c r="M442">
        <v>-15973.601468000001</v>
      </c>
      <c r="N442">
        <v>53158.618116999998</v>
      </c>
      <c r="O442">
        <v>-0.89124199999999998</v>
      </c>
      <c r="P442">
        <v>90.366072000000003</v>
      </c>
      <c r="Q442">
        <v>18.421499000000001</v>
      </c>
      <c r="R442">
        <v>31.933281000000001</v>
      </c>
      <c r="S442">
        <v>718</v>
      </c>
      <c r="T442">
        <v>1993</v>
      </c>
      <c r="U442">
        <f>T442/(T442+S442)</f>
        <v>0.73515308004426416</v>
      </c>
      <c r="V442">
        <f>-4.0083-2.6747*U442</f>
        <v>-5.9746139431943934</v>
      </c>
      <c r="W442">
        <f>M442-(SUM(S442:T442)*V442)</f>
        <v>223.57693199999994</v>
      </c>
      <c r="X442">
        <f>W442/(2*Q442*R442)</f>
        <v>0.19003276489026691</v>
      </c>
      <c r="Y442">
        <f>X442*16.02</f>
        <v>3.0443248935420759</v>
      </c>
    </row>
    <row r="443" spans="11:25" x14ac:dyDescent="0.2">
      <c r="L443">
        <v>693.767877</v>
      </c>
      <c r="M443">
        <v>-15872.872401000001</v>
      </c>
      <c r="N443">
        <v>53295.204221</v>
      </c>
      <c r="O443">
        <v>-0.81934499999999999</v>
      </c>
      <c r="P443">
        <v>90.294289000000006</v>
      </c>
      <c r="Q443">
        <v>18.462057999999999</v>
      </c>
      <c r="R443">
        <v>31.970393000000001</v>
      </c>
      <c r="S443">
        <v>751</v>
      </c>
      <c r="T443">
        <v>1960</v>
      </c>
      <c r="U443">
        <f>T443/(T443+S443)</f>
        <v>0.72298045001844335</v>
      </c>
      <c r="V443">
        <f>-4.0083-2.6747*U443</f>
        <v>-5.942055809664331</v>
      </c>
      <c r="W443">
        <f>M443-(SUM(S443:T443)*V443)</f>
        <v>236.04089900000145</v>
      </c>
      <c r="X443">
        <f>W443/(2*Q443*R443)</f>
        <v>0.19995357735059963</v>
      </c>
      <c r="Y443">
        <f>X443*16.02</f>
        <v>3.2032563091566058</v>
      </c>
    </row>
    <row r="444" spans="11:25" x14ac:dyDescent="0.2">
      <c r="L444">
        <v>693.87631999999996</v>
      </c>
      <c r="M444">
        <v>-15873.158589000001</v>
      </c>
      <c r="N444">
        <v>53431.495879000002</v>
      </c>
      <c r="O444">
        <v>-0.751749</v>
      </c>
      <c r="P444">
        <v>90.441528000000005</v>
      </c>
      <c r="Q444">
        <v>18.478372</v>
      </c>
      <c r="R444">
        <v>31.971717000000002</v>
      </c>
      <c r="S444">
        <v>756</v>
      </c>
      <c r="T444">
        <v>1955</v>
      </c>
      <c r="U444">
        <f>T444/(T444+S444)</f>
        <v>0.72113611213574325</v>
      </c>
      <c r="V444">
        <f>-4.0083-2.6747*U444</f>
        <v>-5.9371227591294726</v>
      </c>
      <c r="W444">
        <f>M444-(SUM(S444:T444)*V444)</f>
        <v>222.38121099999989</v>
      </c>
      <c r="X444">
        <f>W444/(2*Q444*R444)</f>
        <v>0.188208151464893</v>
      </c>
      <c r="Y444">
        <f>X444*16.02</f>
        <v>3.015094586467586</v>
      </c>
    </row>
    <row r="445" spans="11:25" x14ac:dyDescent="0.2">
      <c r="L445">
        <v>693.81680700000004</v>
      </c>
      <c r="M445">
        <v>-15850.000049</v>
      </c>
      <c r="N445">
        <v>53511.564531000004</v>
      </c>
      <c r="O445">
        <v>-0.90890599999999999</v>
      </c>
      <c r="P445">
        <v>90.663700000000006</v>
      </c>
      <c r="Q445">
        <v>18.464395</v>
      </c>
      <c r="R445">
        <v>31.965347000000001</v>
      </c>
      <c r="S445">
        <v>765</v>
      </c>
      <c r="T445">
        <v>1946</v>
      </c>
      <c r="U445">
        <f>T445/(T445+S445)</f>
        <v>0.71781630394688312</v>
      </c>
      <c r="V445">
        <f>-4.0083-2.6747*U445</f>
        <v>-5.9282432681667281</v>
      </c>
      <c r="W445">
        <f>M445-(SUM(S445:T445)*V445)</f>
        <v>221.46745100000044</v>
      </c>
      <c r="X445">
        <f>W445/(2*Q445*R445)</f>
        <v>0.18761407045168521</v>
      </c>
      <c r="Y445">
        <f>X445*16.02</f>
        <v>3.0055774086359972</v>
      </c>
    </row>
    <row r="446" spans="11:25" x14ac:dyDescent="0.2">
      <c r="Y446" s="1">
        <f>AVERAGE(Y441:Y445)</f>
        <v>3.059574777645401</v>
      </c>
    </row>
    <row r="448" spans="11:25" x14ac:dyDescent="0.2">
      <c r="K448" t="s">
        <v>67</v>
      </c>
      <c r="X448" t="s">
        <v>25</v>
      </c>
      <c r="Y448" t="s">
        <v>24</v>
      </c>
    </row>
    <row r="449" spans="11:25" x14ac:dyDescent="0.2">
      <c r="K449">
        <v>1000</v>
      </c>
      <c r="L449" t="s">
        <v>18</v>
      </c>
      <c r="M449" t="s">
        <v>5</v>
      </c>
      <c r="N449" t="s">
        <v>7</v>
      </c>
      <c r="O449" t="s">
        <v>19</v>
      </c>
      <c r="P449" t="s">
        <v>20</v>
      </c>
      <c r="Q449" t="s">
        <v>21</v>
      </c>
      <c r="R449" t="s">
        <v>22</v>
      </c>
      <c r="S449" t="s">
        <v>4</v>
      </c>
      <c r="T449" t="s">
        <v>10</v>
      </c>
      <c r="U449" t="s">
        <v>13</v>
      </c>
      <c r="V449" t="s">
        <v>26</v>
      </c>
      <c r="W449" t="s">
        <v>12</v>
      </c>
      <c r="X449" t="s">
        <v>23</v>
      </c>
      <c r="Y449" t="s">
        <v>23</v>
      </c>
    </row>
    <row r="450" spans="11:25" x14ac:dyDescent="0.2">
      <c r="K450" t="s">
        <v>17</v>
      </c>
      <c r="L450">
        <v>867.260266</v>
      </c>
      <c r="M450">
        <v>-11302.917437</v>
      </c>
      <c r="N450">
        <v>67256.055911999996</v>
      </c>
      <c r="O450">
        <v>-0.99229800000000001</v>
      </c>
      <c r="P450">
        <v>29.234701000000001</v>
      </c>
      <c r="Q450">
        <v>176.78355300000001</v>
      </c>
      <c r="R450">
        <v>13.013427</v>
      </c>
      <c r="S450">
        <v>534</v>
      </c>
      <c r="T450">
        <v>1402</v>
      </c>
      <c r="U450">
        <f>T450/(T450+S450)</f>
        <v>0.72417355371900827</v>
      </c>
      <c r="V450">
        <f>-3.9676-2.6902*U450</f>
        <v>-5.9157716942148761</v>
      </c>
      <c r="W450">
        <f>M450-(SUM(S450:T450)*V450)</f>
        <v>150.01656300000104</v>
      </c>
      <c r="X450">
        <f>W450/(2*P450*R450)</f>
        <v>0.19716003152202261</v>
      </c>
      <c r="Y450">
        <f>X450*16.02</f>
        <v>3.158503704982802</v>
      </c>
    </row>
    <row r="451" spans="11:25" x14ac:dyDescent="0.2">
      <c r="L451">
        <v>867.41273100000001</v>
      </c>
      <c r="M451">
        <v>-11294.549342</v>
      </c>
      <c r="N451">
        <v>67324.032051999995</v>
      </c>
      <c r="O451">
        <v>-1.020357</v>
      </c>
      <c r="P451">
        <v>29.240703</v>
      </c>
      <c r="Q451">
        <v>176.69050899999999</v>
      </c>
      <c r="R451">
        <v>13.030763</v>
      </c>
      <c r="S451">
        <v>542</v>
      </c>
      <c r="T451">
        <v>1394</v>
      </c>
      <c r="U451">
        <f>T451/(T451+S451)</f>
        <v>0.7200413223140496</v>
      </c>
      <c r="V451">
        <f>-3.9676-2.6902*U451</f>
        <v>-5.904655165289256</v>
      </c>
      <c r="W451">
        <f>M451-(SUM(S451:T451)*V451)</f>
        <v>136.863057999999</v>
      </c>
      <c r="X451">
        <f>W451/(2*P451*R451)</f>
        <v>0.17959679744295992</v>
      </c>
      <c r="Y451">
        <f>X451*16.02</f>
        <v>2.8771406950362177</v>
      </c>
    </row>
    <row r="452" spans="11:25" x14ac:dyDescent="0.2">
      <c r="L452">
        <v>867.30215599999997</v>
      </c>
      <c r="M452">
        <v>-11287.463437</v>
      </c>
      <c r="N452">
        <v>67266.041159</v>
      </c>
      <c r="O452">
        <v>-0.88523700000000005</v>
      </c>
      <c r="P452">
        <v>29.267678</v>
      </c>
      <c r="Q452">
        <v>176.43159700000001</v>
      </c>
      <c r="R452">
        <v>13.026627</v>
      </c>
      <c r="S452">
        <v>541</v>
      </c>
      <c r="T452">
        <v>1395</v>
      </c>
      <c r="U452">
        <f>T452/(T452+S452)</f>
        <v>0.72055785123966942</v>
      </c>
      <c r="V452">
        <f>-3.9676-2.6902*U452</f>
        <v>-5.9060447314049584</v>
      </c>
      <c r="W452">
        <f>M452-(SUM(S452:T452)*V452)</f>
        <v>146.63916299999983</v>
      </c>
      <c r="X452">
        <f>W452/(2*P452*R452)</f>
        <v>0.19230905385790253</v>
      </c>
      <c r="Y452">
        <f>X452*16.02</f>
        <v>3.0807910428035985</v>
      </c>
    </row>
    <row r="453" spans="11:25" x14ac:dyDescent="0.2">
      <c r="L453">
        <v>867.40180699999996</v>
      </c>
      <c r="M453">
        <v>-11324.514827000001</v>
      </c>
      <c r="N453">
        <v>67234.722301999995</v>
      </c>
      <c r="O453">
        <v>-0.96553</v>
      </c>
      <c r="P453">
        <v>29.245864999999998</v>
      </c>
      <c r="Q453">
        <v>176.661846</v>
      </c>
      <c r="R453">
        <v>13.013296</v>
      </c>
      <c r="S453">
        <v>525</v>
      </c>
      <c r="T453">
        <v>1411</v>
      </c>
      <c r="U453">
        <f>T453/(T453+S453)</f>
        <v>0.72882231404958675</v>
      </c>
      <c r="V453">
        <f>-3.9676-2.6902*U453</f>
        <v>-5.9282777892561977</v>
      </c>
      <c r="W453">
        <f>M453-(SUM(S453:T453)*V453)</f>
        <v>152.63097299999754</v>
      </c>
      <c r="X453">
        <f>W453/(2*P453*R453)</f>
        <v>0.20052147836797279</v>
      </c>
      <c r="Y453">
        <f>X453*16.02</f>
        <v>3.2123540834549242</v>
      </c>
    </row>
    <row r="454" spans="11:25" x14ac:dyDescent="0.2">
      <c r="L454">
        <v>867.29764699999998</v>
      </c>
      <c r="M454">
        <v>-11259.315866999999</v>
      </c>
      <c r="N454">
        <v>67426.682971999995</v>
      </c>
      <c r="O454">
        <v>-1.0303230000000001</v>
      </c>
      <c r="P454">
        <v>29.291419000000001</v>
      </c>
      <c r="Q454">
        <v>176.50421700000001</v>
      </c>
      <c r="R454">
        <v>13.041788</v>
      </c>
      <c r="S454">
        <v>551</v>
      </c>
      <c r="T454">
        <v>1385</v>
      </c>
      <c r="U454">
        <f>T454/(T454+S454)</f>
        <v>0.71539256198347112</v>
      </c>
      <c r="V454">
        <f>-3.9676-2.6902*U454</f>
        <v>-5.8921490702479336</v>
      </c>
      <c r="W454">
        <f>M454-(SUM(S454:T454)*V454)</f>
        <v>147.88473300000078</v>
      </c>
      <c r="X454">
        <f>W454/(2*P454*R454)</f>
        <v>0.19356008242471251</v>
      </c>
      <c r="Y454">
        <f>X454*16.02</f>
        <v>3.1008325204438942</v>
      </c>
    </row>
    <row r="455" spans="11:25" x14ac:dyDescent="0.2">
      <c r="Y455" s="1">
        <f>AVERAGE(Y450:Y454)</f>
        <v>3.0859244093442877</v>
      </c>
    </row>
    <row r="456" spans="11:25" x14ac:dyDescent="0.2">
      <c r="K456" t="s">
        <v>27</v>
      </c>
      <c r="L456">
        <v>929.50008300000002</v>
      </c>
      <c r="M456">
        <v>-8470.787284</v>
      </c>
      <c r="N456">
        <v>50318.100095000002</v>
      </c>
      <c r="O456">
        <v>-1.644477</v>
      </c>
      <c r="P456">
        <v>30.969083999999999</v>
      </c>
      <c r="Q456">
        <v>124.80857</v>
      </c>
      <c r="R456">
        <v>13.018259</v>
      </c>
      <c r="S456">
        <v>419</v>
      </c>
      <c r="T456">
        <v>1045</v>
      </c>
      <c r="U456">
        <f>T456/(T456+S456)</f>
        <v>0.71379781420765032</v>
      </c>
      <c r="V456">
        <f>-3.9676-2.6902*U456</f>
        <v>-5.8878588797814206</v>
      </c>
      <c r="W456">
        <f>M456-(SUM(S456:T456)*V456)</f>
        <v>149.03811599999972</v>
      </c>
      <c r="X456">
        <f>W456/(2*P456*R456)</f>
        <v>0.18483579876625278</v>
      </c>
      <c r="Y456">
        <f>X456*16.02</f>
        <v>2.9610694962353694</v>
      </c>
    </row>
    <row r="457" spans="11:25" x14ac:dyDescent="0.2">
      <c r="L457">
        <v>929.43235900000002</v>
      </c>
      <c r="M457">
        <v>-8494.6364290000001</v>
      </c>
      <c r="N457">
        <v>50219.266156999998</v>
      </c>
      <c r="O457">
        <v>-1.5700259999999999</v>
      </c>
      <c r="P457">
        <v>30.974698</v>
      </c>
      <c r="Q457">
        <v>124.66516</v>
      </c>
      <c r="R457">
        <v>13.005274</v>
      </c>
      <c r="S457">
        <v>410</v>
      </c>
      <c r="T457">
        <v>1054</v>
      </c>
      <c r="U457">
        <f>T457/(T457+S457)</f>
        <v>0.7199453551912568</v>
      </c>
      <c r="V457">
        <f>-3.9676-2.6902*U457</f>
        <v>-5.904396994535519</v>
      </c>
      <c r="W457">
        <f>M457-(SUM(S457:T457)*V457)</f>
        <v>149.40077100000053</v>
      </c>
      <c r="X457">
        <f>W457/(2*P457*R457)</f>
        <v>0.18543694156161725</v>
      </c>
      <c r="Y457">
        <f>X457*16.02</f>
        <v>2.9706998038171082</v>
      </c>
    </row>
    <row r="458" spans="11:25" x14ac:dyDescent="0.2">
      <c r="L458">
        <v>929.82795399999998</v>
      </c>
      <c r="M458">
        <v>-8478.0888759999998</v>
      </c>
      <c r="N458">
        <v>50226.001092999999</v>
      </c>
      <c r="O458">
        <v>-1.4892559999999999</v>
      </c>
      <c r="P458">
        <v>30.979343</v>
      </c>
      <c r="Q458">
        <v>124.557636</v>
      </c>
      <c r="R458">
        <v>13.016296000000001</v>
      </c>
      <c r="S458">
        <v>412</v>
      </c>
      <c r="T458">
        <v>1052</v>
      </c>
      <c r="U458">
        <f>T458/(T458+S458)</f>
        <v>0.71857923497267762</v>
      </c>
      <c r="V458">
        <f>-3.9676-2.6902*U458</f>
        <v>-5.9007218579234975</v>
      </c>
      <c r="W458">
        <f>M458-(SUM(S458:T458)*V458)</f>
        <v>160.56792400000086</v>
      </c>
      <c r="X458">
        <f>W458/(2*P458*R458)</f>
        <v>0.1990990452095445</v>
      </c>
      <c r="Y458">
        <f>X458*16.02</f>
        <v>3.1895667042569027</v>
      </c>
    </row>
    <row r="459" spans="11:25" x14ac:dyDescent="0.2">
      <c r="L459">
        <v>929.99548800000002</v>
      </c>
      <c r="M459">
        <v>-8512.3971330000004</v>
      </c>
      <c r="N459">
        <v>50222.707369000003</v>
      </c>
      <c r="O459">
        <v>-1.59491</v>
      </c>
      <c r="P459">
        <v>30.949113000000001</v>
      </c>
      <c r="Q459">
        <v>124.706216</v>
      </c>
      <c r="R459">
        <v>13.012627999999999</v>
      </c>
      <c r="S459">
        <v>398</v>
      </c>
      <c r="T459">
        <v>1066</v>
      </c>
      <c r="U459">
        <f>T459/(T459+S459)</f>
        <v>0.72814207650273222</v>
      </c>
      <c r="V459">
        <f>-3.9676-2.6902*U459</f>
        <v>-5.9264478142076502</v>
      </c>
      <c r="W459">
        <f>M459-(SUM(S459:T459)*V459)</f>
        <v>163.92246700000032</v>
      </c>
      <c r="X459">
        <f>W459/(2*P459*R459)</f>
        <v>0.20351445658384421</v>
      </c>
      <c r="Y459">
        <f>X459*16.02</f>
        <v>3.2603015944731841</v>
      </c>
    </row>
    <row r="460" spans="11:25" x14ac:dyDescent="0.2">
      <c r="L460">
        <v>929.93654100000003</v>
      </c>
      <c r="M460">
        <v>-8484.4796349999997</v>
      </c>
      <c r="N460">
        <v>50296.705097999999</v>
      </c>
      <c r="O460">
        <v>-1.6709609999999999</v>
      </c>
      <c r="P460">
        <v>30.950552999999999</v>
      </c>
      <c r="Q460">
        <v>124.777621</v>
      </c>
      <c r="R460">
        <v>13.023739000000001</v>
      </c>
      <c r="S460">
        <v>412</v>
      </c>
      <c r="T460">
        <v>1052</v>
      </c>
      <c r="U460">
        <f>T460/(T460+S460)</f>
        <v>0.71857923497267762</v>
      </c>
      <c r="V460">
        <f>-3.9676-2.6902*U460</f>
        <v>-5.9007218579234975</v>
      </c>
      <c r="W460">
        <f>M460-(SUM(S460:T460)*V460)</f>
        <v>154.17716500000097</v>
      </c>
      <c r="X460">
        <f>W460/(2*P460*R460)</f>
        <v>0.19124318269899865</v>
      </c>
      <c r="Y460">
        <f>X460*16.02</f>
        <v>3.0637157868379581</v>
      </c>
    </row>
    <row r="461" spans="11:25" x14ac:dyDescent="0.2">
      <c r="Y461" s="1">
        <f>AVERAGE(Y456:Y460)</f>
        <v>3.0890706771241048</v>
      </c>
    </row>
    <row r="462" spans="11:25" x14ac:dyDescent="0.2">
      <c r="K462" t="s">
        <v>28</v>
      </c>
      <c r="L462">
        <v>929.46015299999999</v>
      </c>
      <c r="M462">
        <v>-9740.5287850000004</v>
      </c>
      <c r="N462">
        <v>58039.845948000002</v>
      </c>
      <c r="O462">
        <v>-1.3509899999999999</v>
      </c>
      <c r="P462">
        <v>33.264859999999999</v>
      </c>
      <c r="Q462">
        <v>134.13830100000001</v>
      </c>
      <c r="R462">
        <v>13.007353999999999</v>
      </c>
      <c r="S462">
        <v>475</v>
      </c>
      <c r="T462">
        <v>1205</v>
      </c>
      <c r="U462">
        <f>T462/(T462+S462)</f>
        <v>0.71726190476190477</v>
      </c>
      <c r="V462">
        <f>-3.9676-2.6902*U462</f>
        <v>-5.8971779761904761</v>
      </c>
      <c r="W462">
        <f>M462-(SUM(S462:T462)*V462)</f>
        <v>166.73021499999959</v>
      </c>
      <c r="X462">
        <f>W462/(2*P462*R462)</f>
        <v>0.19266802903992603</v>
      </c>
      <c r="Y462">
        <f>X462*16.02</f>
        <v>3.0865418252196148</v>
      </c>
    </row>
    <row r="463" spans="11:25" x14ac:dyDescent="0.2">
      <c r="L463">
        <v>929.52128400000004</v>
      </c>
      <c r="M463">
        <v>-9777.0437020000008</v>
      </c>
      <c r="N463">
        <v>58079.829339999997</v>
      </c>
      <c r="O463">
        <v>-1.4050039999999999</v>
      </c>
      <c r="P463">
        <v>33.223027999999999</v>
      </c>
      <c r="Q463">
        <v>134.45465899999999</v>
      </c>
      <c r="R463">
        <v>13.002043</v>
      </c>
      <c r="S463">
        <v>459</v>
      </c>
      <c r="T463">
        <v>1221</v>
      </c>
      <c r="U463">
        <f>T463/(T463+S463)</f>
        <v>0.72678571428571426</v>
      </c>
      <c r="V463">
        <f>-3.9676-2.6902*U463</f>
        <v>-5.922798928571428</v>
      </c>
      <c r="W463">
        <f>M463-(SUM(S463:T463)*V463)</f>
        <v>173.25849799999742</v>
      </c>
      <c r="X463">
        <f>W463/(2*P463*R463)</f>
        <v>0.2005458776723367</v>
      </c>
      <c r="Y463">
        <f>X463*16.02</f>
        <v>3.2127449603108338</v>
      </c>
    </row>
    <row r="464" spans="11:25" x14ac:dyDescent="0.2">
      <c r="L464">
        <v>929.51844000000006</v>
      </c>
      <c r="M464">
        <v>-9746.55501</v>
      </c>
      <c r="N464">
        <v>58189.393408999997</v>
      </c>
      <c r="O464">
        <v>-1.42709</v>
      </c>
      <c r="P464">
        <v>33.295814999999997</v>
      </c>
      <c r="Q464">
        <v>134.19626500000001</v>
      </c>
      <c r="R464">
        <v>13.023118</v>
      </c>
      <c r="S464">
        <v>470</v>
      </c>
      <c r="T464">
        <v>1210</v>
      </c>
      <c r="U464">
        <f>T464/(T464+S464)</f>
        <v>0.72023809523809523</v>
      </c>
      <c r="V464">
        <f>-3.9676-2.6902*U464</f>
        <v>-5.905184523809524</v>
      </c>
      <c r="W464">
        <f>M464-(SUM(S464:T464)*V464)</f>
        <v>174.15499000000091</v>
      </c>
      <c r="X464">
        <f>W464/(2*P464*R464)</f>
        <v>0.2008173822445031</v>
      </c>
      <c r="Y464">
        <f>X464*16.02</f>
        <v>3.2170944635569394</v>
      </c>
    </row>
    <row r="465" spans="11:25" x14ac:dyDescent="0.2">
      <c r="L465">
        <v>930.24016800000004</v>
      </c>
      <c r="M465">
        <v>-9797.8323259999997</v>
      </c>
      <c r="N465">
        <v>58063.106233999999</v>
      </c>
      <c r="O465">
        <v>-1.37174</v>
      </c>
      <c r="P465">
        <v>33.261994000000001</v>
      </c>
      <c r="Q465">
        <v>134.31539599999999</v>
      </c>
      <c r="R465">
        <v>12.996535</v>
      </c>
      <c r="S465">
        <v>452</v>
      </c>
      <c r="T465">
        <v>1228</v>
      </c>
      <c r="U465">
        <f>T465/(T465+S465)</f>
        <v>0.73095238095238091</v>
      </c>
      <c r="V465">
        <f>-3.9676-2.6902*U465</f>
        <v>-5.9340080952380951</v>
      </c>
      <c r="W465">
        <f>M465-(SUM(S465:T465)*V465)</f>
        <v>171.30127399999947</v>
      </c>
      <c r="X465">
        <f>W465/(2*P465*R465)</f>
        <v>0.19813205119677962</v>
      </c>
      <c r="Y465">
        <f>X465*16.02</f>
        <v>3.1740754601724093</v>
      </c>
    </row>
    <row r="466" spans="11:25" x14ac:dyDescent="0.2">
      <c r="L466">
        <v>930.01624300000003</v>
      </c>
      <c r="M466">
        <v>-9774.9774319999997</v>
      </c>
      <c r="N466">
        <v>58130.113157</v>
      </c>
      <c r="O466">
        <v>-1.640568</v>
      </c>
      <c r="P466">
        <v>33.238334999999999</v>
      </c>
      <c r="Q466">
        <v>134.30066600000001</v>
      </c>
      <c r="R466">
        <v>13.022216999999999</v>
      </c>
      <c r="S466">
        <v>462</v>
      </c>
      <c r="T466">
        <v>1218</v>
      </c>
      <c r="U466">
        <f>T466/(T466+S466)</f>
        <v>0.72499999999999998</v>
      </c>
      <c r="V466">
        <f>-3.9676-2.6902*U466</f>
        <v>-5.9179949999999995</v>
      </c>
      <c r="W466">
        <f>M466-(SUM(S466:T466)*V466)</f>
        <v>167.25416799999948</v>
      </c>
      <c r="X466">
        <f>W466/(2*P466*R466)</f>
        <v>0.19320695896833798</v>
      </c>
      <c r="Y466">
        <f>X466*16.02</f>
        <v>3.0951754826727744</v>
      </c>
    </row>
    <row r="467" spans="11:25" x14ac:dyDescent="0.2">
      <c r="Y467" s="1">
        <f>AVERAGE(Y462:Y466)</f>
        <v>3.1571264383865141</v>
      </c>
    </row>
    <row r="468" spans="11:25" x14ac:dyDescent="0.2">
      <c r="K468" t="s">
        <v>55</v>
      </c>
      <c r="L468">
        <v>867.24677799999995</v>
      </c>
      <c r="M468">
        <v>-11531.501172</v>
      </c>
      <c r="N468">
        <v>68865.639144000001</v>
      </c>
      <c r="O468">
        <v>-0.92730400000000002</v>
      </c>
      <c r="P468">
        <v>29.544820000000001</v>
      </c>
      <c r="Q468">
        <v>178.70604599999999</v>
      </c>
      <c r="R468">
        <v>13.043167</v>
      </c>
      <c r="S468">
        <v>545</v>
      </c>
      <c r="T468">
        <v>1431</v>
      </c>
      <c r="U468">
        <f>T468/(T468+S468)</f>
        <v>0.72419028340080971</v>
      </c>
      <c r="V468">
        <f>-3.9676-2.6902*U468</f>
        <v>-5.9158167004048581</v>
      </c>
      <c r="W468">
        <f>M468-(SUM(S468:T468)*V468)</f>
        <v>158.15262799999982</v>
      </c>
      <c r="X468">
        <f>W468/(2*P468*R468)</f>
        <v>0.20520220065625072</v>
      </c>
      <c r="Y468">
        <f>X468*16.02</f>
        <v>3.2873392545131366</v>
      </c>
    </row>
    <row r="469" spans="11:25" x14ac:dyDescent="0.2">
      <c r="L469">
        <v>867.28226700000005</v>
      </c>
      <c r="M469">
        <v>-11540.123168</v>
      </c>
      <c r="N469">
        <v>68763.334166000001</v>
      </c>
      <c r="O469">
        <v>-1.018705</v>
      </c>
      <c r="P469">
        <v>29.512017</v>
      </c>
      <c r="Q469">
        <v>178.86528300000001</v>
      </c>
      <c r="R469">
        <v>13.026657999999999</v>
      </c>
      <c r="S469">
        <v>550</v>
      </c>
      <c r="T469">
        <v>1426</v>
      </c>
      <c r="U469">
        <f>T469/(T469+S469)</f>
        <v>0.72165991902834004</v>
      </c>
      <c r="V469">
        <f>-3.9676-2.6902*U469</f>
        <v>-5.9090095141700401</v>
      </c>
      <c r="W469">
        <f>M469-(SUM(S469:T469)*V469)</f>
        <v>136.07963199999904</v>
      </c>
      <c r="X469">
        <f>W469/(2*P469*R469)</f>
        <v>0.17698286724788123</v>
      </c>
      <c r="Y469">
        <f>X469*16.02</f>
        <v>2.8352655333110572</v>
      </c>
    </row>
    <row r="470" spans="11:25" x14ac:dyDescent="0.2">
      <c r="L470">
        <v>867.52146400000004</v>
      </c>
      <c r="M470">
        <v>-11526.741207999999</v>
      </c>
      <c r="N470">
        <v>68752.224002000003</v>
      </c>
      <c r="O470">
        <v>-1.009009</v>
      </c>
      <c r="P470">
        <v>29.543032</v>
      </c>
      <c r="Q470">
        <v>178.37251800000001</v>
      </c>
      <c r="R470">
        <v>13.04682</v>
      </c>
      <c r="S470">
        <v>547</v>
      </c>
      <c r="T470">
        <v>1429</v>
      </c>
      <c r="U470">
        <f>T470/(T470+S470)</f>
        <v>0.72317813765182182</v>
      </c>
      <c r="V470">
        <f>-3.9676-2.6902*U470</f>
        <v>-5.9130938259109307</v>
      </c>
      <c r="W470">
        <f>M470-(SUM(S470:T470)*V470)</f>
        <v>157.53219199999876</v>
      </c>
      <c r="X470">
        <f>W470/(2*P470*R470)</f>
        <v>0.20435232576265508</v>
      </c>
      <c r="Y470">
        <f>X470*16.02</f>
        <v>3.2737242587177344</v>
      </c>
    </row>
    <row r="471" spans="11:25" x14ac:dyDescent="0.2">
      <c r="L471">
        <v>867.19579099999999</v>
      </c>
      <c r="M471">
        <v>-11572.609109999999</v>
      </c>
      <c r="N471">
        <v>68627.938152999996</v>
      </c>
      <c r="O471">
        <v>-1.0441309999999999</v>
      </c>
      <c r="P471">
        <v>29.536987</v>
      </c>
      <c r="Q471">
        <v>178.329364</v>
      </c>
      <c r="R471">
        <v>13.029056000000001</v>
      </c>
      <c r="S471">
        <v>532</v>
      </c>
      <c r="T471">
        <v>1444</v>
      </c>
      <c r="U471">
        <f>T471/(T471+S471)</f>
        <v>0.73076923076923073</v>
      </c>
      <c r="V471">
        <f>-3.9676-2.6902*U471</f>
        <v>-5.9335153846153847</v>
      </c>
      <c r="W471">
        <f>M471-(SUM(S471:T471)*V471)</f>
        <v>152.01729000000159</v>
      </c>
      <c r="X471">
        <f>W471/(2*P471*R471)</f>
        <v>0.19750761644464998</v>
      </c>
      <c r="Y471">
        <f>X471*16.02</f>
        <v>3.1640720154432924</v>
      </c>
    </row>
    <row r="472" spans="11:25" x14ac:dyDescent="0.2">
      <c r="L472">
        <v>867.41574800000001</v>
      </c>
      <c r="M472">
        <v>-11500.626603000001</v>
      </c>
      <c r="N472">
        <v>68879.293359999996</v>
      </c>
      <c r="O472">
        <v>-1.0265759999999999</v>
      </c>
      <c r="P472">
        <v>29.547464999999999</v>
      </c>
      <c r="Q472">
        <v>178.675882</v>
      </c>
      <c r="R472">
        <v>13.04679</v>
      </c>
      <c r="S472">
        <v>561</v>
      </c>
      <c r="T472">
        <v>1415</v>
      </c>
      <c r="U472">
        <f>T472/(T472+S472)</f>
        <v>0.71609311740890691</v>
      </c>
      <c r="V472">
        <f>-3.9676-2.6902*U472</f>
        <v>-5.8940337044534417</v>
      </c>
      <c r="W472">
        <f>M472-(SUM(S472:T472)*V472)</f>
        <v>145.98399699999936</v>
      </c>
      <c r="X472">
        <f>W472/(2*P472*R472)</f>
        <v>0.18934391634207365</v>
      </c>
      <c r="Y472">
        <f>X472*16.02</f>
        <v>3.0332895398000197</v>
      </c>
    </row>
    <row r="473" spans="11:25" x14ac:dyDescent="0.2">
      <c r="Y473" s="1">
        <f>AVERAGE(Y468:Y472)</f>
        <v>3.1187381203570483</v>
      </c>
    </row>
    <row r="474" spans="11:25" x14ac:dyDescent="0.2">
      <c r="K474">
        <v>100</v>
      </c>
      <c r="L474">
        <v>929.58178299999997</v>
      </c>
      <c r="M474">
        <v>-27414.199763000001</v>
      </c>
      <c r="N474">
        <v>89407.081388999999</v>
      </c>
      <c r="O474">
        <v>-0.98502199999999995</v>
      </c>
      <c r="P474">
        <v>26.096378000000001</v>
      </c>
      <c r="Q474">
        <v>26.101476000000002</v>
      </c>
      <c r="R474">
        <v>131.258376</v>
      </c>
      <c r="S474">
        <v>1273</v>
      </c>
      <c r="T474">
        <v>3399</v>
      </c>
      <c r="U474">
        <f>T474/(T474+S474)</f>
        <v>0.72752568493150682</v>
      </c>
      <c r="V474">
        <f>-3.9676-2.6902*U474</f>
        <v>-5.9247895976027394</v>
      </c>
      <c r="W474">
        <f>M474-(SUM(S474:T474)*V474)</f>
        <v>266.41723699999784</v>
      </c>
      <c r="X474">
        <f>W474/(2*P474*Q474)</f>
        <v>0.19556314962323201</v>
      </c>
      <c r="Y474">
        <f>X474*16.02</f>
        <v>3.1329216569641769</v>
      </c>
    </row>
    <row r="475" spans="11:25" x14ac:dyDescent="0.2">
      <c r="L475">
        <v>929.609601</v>
      </c>
      <c r="M475">
        <v>-27387.6639</v>
      </c>
      <c r="N475">
        <v>89548.059611000004</v>
      </c>
      <c r="O475">
        <v>-1.137634</v>
      </c>
      <c r="P475">
        <v>26.098490000000002</v>
      </c>
      <c r="Q475">
        <v>26.103334</v>
      </c>
      <c r="R475">
        <v>131.44536500000001</v>
      </c>
      <c r="S475">
        <v>1291</v>
      </c>
      <c r="T475">
        <v>3381</v>
      </c>
      <c r="U475">
        <f>T475/(T475+S475)</f>
        <v>0.72367294520547942</v>
      </c>
      <c r="V475">
        <f>-3.9676-2.6902*U475</f>
        <v>-5.9144249571917804</v>
      </c>
      <c r="W475">
        <f>M475-(SUM(S475:T475)*V475)</f>
        <v>244.52949999999691</v>
      </c>
      <c r="X475">
        <f>W475/(2*P475*Q475)</f>
        <v>0.17946919014907803</v>
      </c>
      <c r="Y475">
        <f>X475*16.02</f>
        <v>2.8750964261882301</v>
      </c>
    </row>
    <row r="476" spans="11:25" x14ac:dyDescent="0.2">
      <c r="L476">
        <v>929.74068699999998</v>
      </c>
      <c r="M476">
        <v>-27354.218328999999</v>
      </c>
      <c r="N476">
        <v>89513.899344999998</v>
      </c>
      <c r="O476">
        <v>-0.915238</v>
      </c>
      <c r="P476">
        <v>26.106010000000001</v>
      </c>
      <c r="Q476">
        <v>26.097735</v>
      </c>
      <c r="R476">
        <v>131.385547</v>
      </c>
      <c r="S476">
        <v>1293</v>
      </c>
      <c r="T476">
        <v>3379</v>
      </c>
      <c r="U476">
        <f>T476/(T476+S476)</f>
        <v>0.72324486301369861</v>
      </c>
      <c r="V476">
        <f>-3.9676-2.6902*U476</f>
        <v>-5.913273330479452</v>
      </c>
      <c r="W476">
        <f>M476-(SUM(S476:T476)*V476)</f>
        <v>272.59467099999893</v>
      </c>
      <c r="X476">
        <f>W476/(2*P476*Q476)</f>
        <v>0.20005253033380793</v>
      </c>
      <c r="Y476">
        <f>X476*16.02</f>
        <v>3.2048415359476028</v>
      </c>
    </row>
    <row r="477" spans="11:25" x14ac:dyDescent="0.2">
      <c r="L477">
        <v>929.75558699999999</v>
      </c>
      <c r="M477">
        <v>-27404.291475000002</v>
      </c>
      <c r="N477">
        <v>89330.644646999994</v>
      </c>
      <c r="O477">
        <v>-0.77667900000000001</v>
      </c>
      <c r="P477">
        <v>26.110465000000001</v>
      </c>
      <c r="Q477">
        <v>26.092988999999999</v>
      </c>
      <c r="R477">
        <v>131.118043</v>
      </c>
      <c r="S477">
        <v>1279</v>
      </c>
      <c r="T477">
        <v>3393</v>
      </c>
      <c r="U477">
        <f>T477/(T477+S477)</f>
        <v>0.72624143835616439</v>
      </c>
      <c r="V477">
        <f>-3.9676-2.6902*U477</f>
        <v>-5.9213347174657534</v>
      </c>
      <c r="W477">
        <f>M477-(SUM(S477:T477)*V477)</f>
        <v>260.18432499999835</v>
      </c>
      <c r="X477">
        <f>W477/(2*P477*Q477)</f>
        <v>0.19094693671264573</v>
      </c>
      <c r="Y477">
        <f>X477*16.02</f>
        <v>3.0589699261365846</v>
      </c>
    </row>
    <row r="478" spans="11:25" x14ac:dyDescent="0.2">
      <c r="L478">
        <v>929.67347600000005</v>
      </c>
      <c r="M478">
        <v>-27403.408383000002</v>
      </c>
      <c r="N478">
        <v>89326.516264000005</v>
      </c>
      <c r="O478">
        <v>-0.81467100000000003</v>
      </c>
      <c r="P478">
        <v>26.108515000000001</v>
      </c>
      <c r="Q478">
        <v>26.098870999999999</v>
      </c>
      <c r="R478">
        <v>131.092221</v>
      </c>
      <c r="S478">
        <v>1280</v>
      </c>
      <c r="T478">
        <v>3392</v>
      </c>
      <c r="U478">
        <f>T478/(T478+S478)</f>
        <v>0.72602739726027399</v>
      </c>
      <c r="V478">
        <f>-3.9676-2.6902*U478</f>
        <v>-5.9207589041095892</v>
      </c>
      <c r="W478">
        <f>M478-(SUM(S478:T478)*V478)</f>
        <v>258.37721699999747</v>
      </c>
      <c r="X478">
        <f>W478/(2*P478*Q478)</f>
        <v>0.18959214012368428</v>
      </c>
      <c r="Y478">
        <f>X478*16.02</f>
        <v>3.0372660847814221</v>
      </c>
    </row>
    <row r="479" spans="11:25" x14ac:dyDescent="0.2">
      <c r="Y479" s="1">
        <f>AVERAGE(Y474:Y478)</f>
        <v>3.0618191260036034</v>
      </c>
    </row>
    <row r="480" spans="11:25" x14ac:dyDescent="0.2">
      <c r="K480">
        <v>110</v>
      </c>
      <c r="L480">
        <v>867.71370400000001</v>
      </c>
      <c r="M480">
        <v>-10533.417285</v>
      </c>
      <c r="N480">
        <v>34721.539036000002</v>
      </c>
      <c r="O480">
        <v>-1.840829</v>
      </c>
      <c r="P480">
        <v>92.192635999999993</v>
      </c>
      <c r="Q480">
        <v>23.131454000000002</v>
      </c>
      <c r="R480">
        <v>16.281727</v>
      </c>
      <c r="S480">
        <v>489</v>
      </c>
      <c r="T480">
        <v>1311</v>
      </c>
      <c r="U480">
        <f>T480/(T480+S480)</f>
        <v>0.72833333333333339</v>
      </c>
      <c r="V480">
        <f>-3.9676-2.6902*U480</f>
        <v>-5.9269623333333339</v>
      </c>
      <c r="W480">
        <f>M480-(SUM(S480:T480)*V480)</f>
        <v>135.11491500000193</v>
      </c>
      <c r="X480">
        <f>W480/(2*R480*Q480)</f>
        <v>0.17937829660270452</v>
      </c>
      <c r="Y480">
        <f>X480*16.02</f>
        <v>2.8736403115753264</v>
      </c>
    </row>
    <row r="481" spans="11:25" x14ac:dyDescent="0.2">
      <c r="L481">
        <v>866.84728600000005</v>
      </c>
      <c r="M481">
        <v>-10519.75475</v>
      </c>
      <c r="N481">
        <v>34819.927624000004</v>
      </c>
      <c r="O481">
        <v>-1.81264</v>
      </c>
      <c r="P481">
        <v>92.376244999999997</v>
      </c>
      <c r="Q481">
        <v>23.130403999999999</v>
      </c>
      <c r="R481">
        <v>16.296150999999998</v>
      </c>
      <c r="S481">
        <v>496</v>
      </c>
      <c r="T481">
        <v>1304</v>
      </c>
      <c r="U481">
        <f>T481/(T481+S481)</f>
        <v>0.72444444444444445</v>
      </c>
      <c r="V481">
        <f>-3.9676-2.6902*U481</f>
        <v>-5.9165004444444449</v>
      </c>
      <c r="W481">
        <f>M481-(SUM(S481:T481)*V481)</f>
        <v>129.94605000000047</v>
      </c>
      <c r="X481">
        <f>W481/(2*R481*Q481)</f>
        <v>0.17237124900296871</v>
      </c>
      <c r="Y481">
        <f>X481*16.02</f>
        <v>2.7613874090275585</v>
      </c>
    </row>
    <row r="482" spans="11:25" x14ac:dyDescent="0.2">
      <c r="L482">
        <v>867.23947299999998</v>
      </c>
      <c r="M482">
        <v>-10548.635606</v>
      </c>
      <c r="N482">
        <v>34757.396030999997</v>
      </c>
      <c r="O482">
        <v>-1.8314839999999999</v>
      </c>
      <c r="P482">
        <v>92.397915999999995</v>
      </c>
      <c r="Q482">
        <v>23.107156</v>
      </c>
      <c r="R482">
        <v>16.279433000000001</v>
      </c>
      <c r="S482">
        <v>484</v>
      </c>
      <c r="T482">
        <v>1316</v>
      </c>
      <c r="U482">
        <f>T482/(T482+S482)</f>
        <v>0.73111111111111116</v>
      </c>
      <c r="V482">
        <f>-3.9676-2.6902*U482</f>
        <v>-5.9344351111111111</v>
      </c>
      <c r="W482">
        <f>M482-(SUM(S482:T482)*V482)</f>
        <v>133.34759400000075</v>
      </c>
      <c r="X482">
        <f>W482/(2*R482*Q482)</f>
        <v>0.17724313270018527</v>
      </c>
      <c r="Y482">
        <f>X482*16.02</f>
        <v>2.8394349858569679</v>
      </c>
    </row>
    <row r="483" spans="11:25" x14ac:dyDescent="0.2">
      <c r="L483">
        <v>867.59425399999998</v>
      </c>
      <c r="M483">
        <v>-10547.759918</v>
      </c>
      <c r="N483">
        <v>34753.068486999997</v>
      </c>
      <c r="O483">
        <v>-1.9358610000000001</v>
      </c>
      <c r="P483">
        <v>92.347797</v>
      </c>
      <c r="Q483">
        <v>23.108998</v>
      </c>
      <c r="R483">
        <v>16.284946999999999</v>
      </c>
      <c r="S483">
        <v>484</v>
      </c>
      <c r="T483">
        <v>1316</v>
      </c>
      <c r="U483">
        <f>T483/(T483+S483)</f>
        <v>0.73111111111111116</v>
      </c>
      <c r="V483">
        <f>-3.9676-2.6902*U483</f>
        <v>-5.9344351111111111</v>
      </c>
      <c r="W483">
        <f>M483-(SUM(S483:T483)*V483)</f>
        <v>134.22328200000084</v>
      </c>
      <c r="X483">
        <f>W483/(2*R483*Q483)</f>
        <v>0.1783324572427176</v>
      </c>
      <c r="Y483">
        <f>X483*16.02</f>
        <v>2.856885965028336</v>
      </c>
    </row>
    <row r="484" spans="11:25" x14ac:dyDescent="0.2">
      <c r="L484">
        <v>867.54101000000003</v>
      </c>
      <c r="M484">
        <v>-10511.346871</v>
      </c>
      <c r="N484">
        <v>34859.637269999999</v>
      </c>
      <c r="O484">
        <v>-2.111294</v>
      </c>
      <c r="P484">
        <v>92.477967000000007</v>
      </c>
      <c r="Q484">
        <v>23.136417000000002</v>
      </c>
      <c r="R484">
        <v>16.292556000000001</v>
      </c>
      <c r="S484">
        <v>500</v>
      </c>
      <c r="T484">
        <v>1300</v>
      </c>
      <c r="U484">
        <f>T484/(T484+S484)</f>
        <v>0.72222222222222221</v>
      </c>
      <c r="V484">
        <f>-3.9676-2.6902*U484</f>
        <v>-5.9105222222222222</v>
      </c>
      <c r="W484">
        <f>M484-(SUM(S484:T484)*V484)</f>
        <v>127.59312900000077</v>
      </c>
      <c r="X484">
        <f>W484/(2*R484*Q484)</f>
        <v>0.16924348773607562</v>
      </c>
      <c r="Y484">
        <f>X484*16.02</f>
        <v>2.7112806735319315</v>
      </c>
    </row>
    <row r="485" spans="11:25" x14ac:dyDescent="0.2">
      <c r="Y485" s="1">
        <f>AVERAGE(Y480:Y484)</f>
        <v>2.8085258690040242</v>
      </c>
    </row>
    <row r="486" spans="11:25" x14ac:dyDescent="0.2">
      <c r="K486">
        <v>111</v>
      </c>
      <c r="L486">
        <v>867.24470699999995</v>
      </c>
      <c r="M486">
        <v>-15843.961429999999</v>
      </c>
      <c r="N486">
        <v>53677.526279999998</v>
      </c>
      <c r="O486">
        <v>-1.1172359999999999</v>
      </c>
      <c r="P486">
        <v>90.778876999999994</v>
      </c>
      <c r="Q486">
        <v>18.471556</v>
      </c>
      <c r="R486">
        <v>32.011389999999999</v>
      </c>
      <c r="S486">
        <v>737</v>
      </c>
      <c r="T486">
        <v>1974</v>
      </c>
      <c r="U486">
        <f>T486/(T486+S486)</f>
        <v>0.7281445960900037</v>
      </c>
      <c r="V486">
        <f>-3.9676-2.6902*U486</f>
        <v>-5.9264545924013277</v>
      </c>
      <c r="W486">
        <f>M486-(SUM(S486:T486)*V486)</f>
        <v>222.65697</v>
      </c>
      <c r="X486">
        <f>W486/(2*Q486*R486)</f>
        <v>0.18827744045480829</v>
      </c>
      <c r="Y486">
        <f>X486*16.02</f>
        <v>3.0162045960860286</v>
      </c>
    </row>
    <row r="487" spans="11:25" x14ac:dyDescent="0.2">
      <c r="L487">
        <v>867.28156200000001</v>
      </c>
      <c r="M487">
        <v>-15891.949925000001</v>
      </c>
      <c r="N487">
        <v>53470.999295000001</v>
      </c>
      <c r="O487">
        <v>-0.92316699999999996</v>
      </c>
      <c r="P487">
        <v>90.601505000000003</v>
      </c>
      <c r="Q487">
        <v>18.450531000000002</v>
      </c>
      <c r="R487">
        <v>31.987064</v>
      </c>
      <c r="S487">
        <v>718</v>
      </c>
      <c r="T487">
        <v>1993</v>
      </c>
      <c r="U487">
        <f>T487/(T487+S487)</f>
        <v>0.73515308004426416</v>
      </c>
      <c r="V487">
        <f>-3.9676-2.6902*U487</f>
        <v>-5.9453088159350793</v>
      </c>
      <c r="W487">
        <f>M487-(SUM(S487:T487)*V487)</f>
        <v>225.78227499999957</v>
      </c>
      <c r="X487">
        <f>W487/(2*Q487*R487)</f>
        <v>0.19128309945091473</v>
      </c>
      <c r="Y487">
        <f>X487*16.02</f>
        <v>3.064355253203654</v>
      </c>
    </row>
    <row r="488" spans="11:25" x14ac:dyDescent="0.2">
      <c r="L488">
        <v>867.15381100000002</v>
      </c>
      <c r="M488">
        <v>-15791.992963999999</v>
      </c>
      <c r="N488">
        <v>53621.078902000001</v>
      </c>
      <c r="O488">
        <v>-1.2030780000000001</v>
      </c>
      <c r="P488">
        <v>90.541488999999999</v>
      </c>
      <c r="Q488">
        <v>18.490378</v>
      </c>
      <c r="R488">
        <v>32.028936000000002</v>
      </c>
      <c r="S488">
        <v>751</v>
      </c>
      <c r="T488">
        <v>1960</v>
      </c>
      <c r="U488">
        <f>T488/(T488+S488)</f>
        <v>0.72298045001844335</v>
      </c>
      <c r="V488">
        <f>-3.9676-2.6902*U488</f>
        <v>-5.9125620066396163</v>
      </c>
      <c r="W488">
        <f>M488-(SUM(S488:T488)*V488)</f>
        <v>236.9626360000002</v>
      </c>
      <c r="X488">
        <f>W488/(2*Q488*R488)</f>
        <v>0.20006060391765854</v>
      </c>
      <c r="Y488">
        <f>X488*16.02</f>
        <v>3.2049708747608898</v>
      </c>
    </row>
    <row r="489" spans="11:25" x14ac:dyDescent="0.2">
      <c r="L489">
        <v>867.37003900000002</v>
      </c>
      <c r="M489">
        <v>-15793.438634</v>
      </c>
      <c r="N489">
        <v>53602.589490999999</v>
      </c>
      <c r="O489">
        <v>-0.85383900000000001</v>
      </c>
      <c r="P489">
        <v>90.467810999999998</v>
      </c>
      <c r="Q489">
        <v>18.509917999999999</v>
      </c>
      <c r="R489">
        <v>32.010131999999999</v>
      </c>
      <c r="S489">
        <v>756</v>
      </c>
      <c r="T489">
        <v>1955</v>
      </c>
      <c r="U489">
        <f>T489/(T489+S489)</f>
        <v>0.72113611213574325</v>
      </c>
      <c r="V489">
        <f>-3.9676-2.6902*U489</f>
        <v>-5.9076003688675769</v>
      </c>
      <c r="W489">
        <f>M489-(SUM(S489:T489)*V489)</f>
        <v>222.06596600000012</v>
      </c>
      <c r="X489">
        <f>W489/(2*Q489*R489)</f>
        <v>0.18739588404282326</v>
      </c>
      <c r="Y489">
        <f>X489*16.02</f>
        <v>3.0020820623660285</v>
      </c>
    </row>
    <row r="490" spans="11:25" x14ac:dyDescent="0.2">
      <c r="L490">
        <v>867.299711</v>
      </c>
      <c r="M490">
        <v>-15767.755676999999</v>
      </c>
      <c r="N490">
        <v>53703.004395000004</v>
      </c>
      <c r="O490">
        <v>-0.980688</v>
      </c>
      <c r="P490">
        <v>90.663415000000001</v>
      </c>
      <c r="Q490">
        <v>18.499030000000001</v>
      </c>
      <c r="R490">
        <v>32.019753000000001</v>
      </c>
      <c r="S490">
        <v>765</v>
      </c>
      <c r="T490">
        <v>1946</v>
      </c>
      <c r="U490">
        <f>T490/(T490+S490)</f>
        <v>0.71781630394688312</v>
      </c>
      <c r="V490">
        <f>-3.9676-2.6902*U490</f>
        <v>-5.8986694208779049</v>
      </c>
      <c r="W490">
        <f>M490-(SUM(S490:T490)*V490)</f>
        <v>223.53712300000188</v>
      </c>
      <c r="X490">
        <f>W490/(2*Q490*R490)</f>
        <v>0.18869166961767125</v>
      </c>
      <c r="Y490">
        <f>X490*16.02</f>
        <v>3.0228405472750932</v>
      </c>
    </row>
    <row r="491" spans="11:25" x14ac:dyDescent="0.2">
      <c r="Y491" s="1">
        <f>AVERAGE(Y486:Y490)</f>
        <v>3.0620906667383392</v>
      </c>
    </row>
    <row r="492" spans="11:25" x14ac:dyDescent="0.2">
      <c r="K492" s="3"/>
    </row>
    <row r="493" spans="11:25" x14ac:dyDescent="0.2">
      <c r="K493">
        <v>1200</v>
      </c>
      <c r="L493" t="s">
        <v>18</v>
      </c>
      <c r="M493" t="s">
        <v>5</v>
      </c>
      <c r="N493" t="s">
        <v>7</v>
      </c>
      <c r="O493" t="s">
        <v>19</v>
      </c>
      <c r="P493" t="s">
        <v>20</v>
      </c>
      <c r="Q493" t="s">
        <v>21</v>
      </c>
      <c r="R493" t="s">
        <v>22</v>
      </c>
      <c r="S493" t="s">
        <v>4</v>
      </c>
      <c r="T493" t="s">
        <v>10</v>
      </c>
      <c r="U493" t="s">
        <v>13</v>
      </c>
      <c r="V493" t="s">
        <v>26</v>
      </c>
      <c r="W493" t="s">
        <v>12</v>
      </c>
      <c r="X493" t="s">
        <v>23</v>
      </c>
      <c r="Y493" t="s">
        <v>23</v>
      </c>
    </row>
    <row r="494" spans="11:25" x14ac:dyDescent="0.2">
      <c r="K494" t="s">
        <v>17</v>
      </c>
      <c r="L494">
        <v>1041.0638280000001</v>
      </c>
      <c r="M494">
        <v>-11241.794042</v>
      </c>
      <c r="N494">
        <v>67689.701190000007</v>
      </c>
      <c r="O494">
        <v>-1.2719739999999999</v>
      </c>
      <c r="P494">
        <v>29.291566</v>
      </c>
      <c r="Q494">
        <v>177.343312</v>
      </c>
      <c r="R494">
        <v>13.030657</v>
      </c>
      <c r="S494">
        <v>534</v>
      </c>
      <c r="T494">
        <v>1402</v>
      </c>
      <c r="U494">
        <f>T494/(T494+S494)</f>
        <v>0.72417355371900827</v>
      </c>
      <c r="V494">
        <f>-3.9347-2.6927*U494</f>
        <v>-5.8846821280991737</v>
      </c>
      <c r="W494">
        <f>M494-(SUM(S494:T494)*V494)</f>
        <v>150.95055800000046</v>
      </c>
      <c r="X494">
        <f>W494/(2*P494*R494)</f>
        <v>0.19774058886310239</v>
      </c>
      <c r="Y494">
        <f>X494*16.02</f>
        <v>3.1678042335869003</v>
      </c>
    </row>
    <row r="495" spans="11:25" x14ac:dyDescent="0.2">
      <c r="L495">
        <v>1040.7994759999999</v>
      </c>
      <c r="M495">
        <v>-11233.61412</v>
      </c>
      <c r="N495">
        <v>67609.949433999995</v>
      </c>
      <c r="O495">
        <v>-1.2692330000000001</v>
      </c>
      <c r="P495">
        <v>29.306398999999999</v>
      </c>
      <c r="Q495">
        <v>176.79415299999999</v>
      </c>
      <c r="R495">
        <v>13.049121</v>
      </c>
      <c r="S495">
        <v>542</v>
      </c>
      <c r="T495">
        <v>1394</v>
      </c>
      <c r="U495">
        <f>T495/(T495+S495)</f>
        <v>0.7200413223140496</v>
      </c>
      <c r="V495">
        <f>-3.9347-2.6927*U495</f>
        <v>-5.873555268595041</v>
      </c>
      <c r="W495">
        <f>M495-(SUM(S495:T495)*V495)</f>
        <v>137.58887999999934</v>
      </c>
      <c r="X495">
        <f>W495/(2*P495*R495)</f>
        <v>0.17989107762831022</v>
      </c>
      <c r="Y495">
        <f>X495*16.02</f>
        <v>2.8818550636055296</v>
      </c>
    </row>
    <row r="496" spans="11:25" x14ac:dyDescent="0.2">
      <c r="L496">
        <v>1040.8557490000001</v>
      </c>
      <c r="M496">
        <v>-11223.738708000001</v>
      </c>
      <c r="N496">
        <v>67629.655236000006</v>
      </c>
      <c r="O496">
        <v>-1.2269920000000001</v>
      </c>
      <c r="P496">
        <v>29.317993999999999</v>
      </c>
      <c r="Q496">
        <v>176.76874799999999</v>
      </c>
      <c r="R496">
        <v>13.049649</v>
      </c>
      <c r="S496">
        <v>541</v>
      </c>
      <c r="T496">
        <v>1395</v>
      </c>
      <c r="U496">
        <f>T496/(T496+S496)</f>
        <v>0.72055785123966942</v>
      </c>
      <c r="V496">
        <f>-3.9347-2.6927*U496</f>
        <v>-5.8749461260330573</v>
      </c>
      <c r="W496">
        <f>M496-(SUM(S496:T496)*V496)</f>
        <v>150.15699199999835</v>
      </c>
      <c r="X496">
        <f>W496/(2*P496*R496)</f>
        <v>0.19623771666531672</v>
      </c>
      <c r="Y496">
        <f>X496*16.02</f>
        <v>3.1437282209783737</v>
      </c>
    </row>
    <row r="497" spans="11:25" x14ac:dyDescent="0.2">
      <c r="L497">
        <v>1040.6083329999999</v>
      </c>
      <c r="M497">
        <v>-11260.967862</v>
      </c>
      <c r="N497">
        <v>67628.063773999995</v>
      </c>
      <c r="O497">
        <v>-1.2667729999999999</v>
      </c>
      <c r="P497">
        <v>29.312258</v>
      </c>
      <c r="Q497">
        <v>176.97533300000001</v>
      </c>
      <c r="R497">
        <v>13.036657</v>
      </c>
      <c r="S497">
        <v>525</v>
      </c>
      <c r="T497">
        <v>1411</v>
      </c>
      <c r="U497">
        <f>T497/(T497+S497)</f>
        <v>0.72882231404958675</v>
      </c>
      <c r="V497">
        <f>-3.9347-2.6927*U497</f>
        <v>-5.8971998450413219</v>
      </c>
      <c r="W497">
        <f>M497-(SUM(S497:T497)*V497)</f>
        <v>156.01103800000055</v>
      </c>
      <c r="X497">
        <f>W497/(2*P497*R497)</f>
        <v>0.20413140133354016</v>
      </c>
      <c r="Y497">
        <f>X497*16.02</f>
        <v>3.2701850493633131</v>
      </c>
    </row>
    <row r="498" spans="11:25" x14ac:dyDescent="0.2">
      <c r="L498">
        <v>1041.0495020000001</v>
      </c>
      <c r="M498">
        <v>-11197.508797</v>
      </c>
      <c r="N498">
        <v>67740.642647999994</v>
      </c>
      <c r="O498">
        <v>-1.395607</v>
      </c>
      <c r="P498">
        <v>29.341783</v>
      </c>
      <c r="Q498">
        <v>176.75414900000001</v>
      </c>
      <c r="R498">
        <v>13.061539</v>
      </c>
      <c r="S498">
        <v>551</v>
      </c>
      <c r="T498">
        <v>1385</v>
      </c>
      <c r="U498">
        <f>T498/(T498+S498)</f>
        <v>0.71539256198347112</v>
      </c>
      <c r="V498">
        <f>-3.9347-2.6927*U498</f>
        <v>-5.8610375516528928</v>
      </c>
      <c r="W498">
        <f>M498-(SUM(S498:T498)*V498)</f>
        <v>149.45990300000085</v>
      </c>
      <c r="X498">
        <f>W498/(2*P498*R498)</f>
        <v>0.19499067738376202</v>
      </c>
      <c r="Y498">
        <f>X498*16.02</f>
        <v>3.1237506516878675</v>
      </c>
    </row>
    <row r="499" spans="11:25" x14ac:dyDescent="0.2">
      <c r="Y499" s="1">
        <f>AVERAGE(Y494:Y498)</f>
        <v>3.1174646438443969</v>
      </c>
    </row>
    <row r="500" spans="11:25" x14ac:dyDescent="0.2">
      <c r="K500" t="s">
        <v>27</v>
      </c>
      <c r="L500">
        <v>1114.730102</v>
      </c>
      <c r="M500">
        <v>-8422.9781210000001</v>
      </c>
      <c r="N500">
        <v>50514.162449000003</v>
      </c>
      <c r="O500">
        <v>-2.1999209999999998</v>
      </c>
      <c r="P500">
        <v>30.996469000000001</v>
      </c>
      <c r="Q500">
        <v>125.014166</v>
      </c>
      <c r="R500">
        <v>13.035971</v>
      </c>
      <c r="S500">
        <v>419</v>
      </c>
      <c r="T500">
        <v>1045</v>
      </c>
      <c r="U500">
        <f>T500/(T500+S500)</f>
        <v>0.71379781420765032</v>
      </c>
      <c r="V500">
        <f>-3.9347-2.6927*U500</f>
        <v>-5.8567433743169399</v>
      </c>
      <c r="W500">
        <f>M500-(SUM(S500:T500)*V500)</f>
        <v>151.29417900000044</v>
      </c>
      <c r="X500">
        <f>W500/(2*P500*R500)</f>
        <v>0.18721326360202042</v>
      </c>
      <c r="Y500">
        <f>X500*16.02</f>
        <v>2.9991564829043673</v>
      </c>
    </row>
    <row r="501" spans="11:25" x14ac:dyDescent="0.2">
      <c r="L501">
        <v>1115.5624439999999</v>
      </c>
      <c r="M501">
        <v>-8446.8674850000007</v>
      </c>
      <c r="N501">
        <v>50484.927607999998</v>
      </c>
      <c r="O501">
        <v>-2.2778939999999999</v>
      </c>
      <c r="P501">
        <v>31.001902999999999</v>
      </c>
      <c r="Q501">
        <v>125.094425</v>
      </c>
      <c r="R501">
        <v>13.017799999999999</v>
      </c>
      <c r="S501">
        <v>410</v>
      </c>
      <c r="T501">
        <v>1054</v>
      </c>
      <c r="U501">
        <f>T501/(T501+S501)</f>
        <v>0.7199453551912568</v>
      </c>
      <c r="V501">
        <f>-3.9347-2.6927*U501</f>
        <v>-5.8732968579234974</v>
      </c>
      <c r="W501">
        <f>M501-(SUM(S501:T501)*V501)</f>
        <v>151.63911499999995</v>
      </c>
      <c r="X501">
        <f>W501/(2*P501*R501)</f>
        <v>0.18786907515512355</v>
      </c>
      <c r="Y501">
        <f>X501*16.02</f>
        <v>3.009662583985079</v>
      </c>
    </row>
    <row r="502" spans="11:25" x14ac:dyDescent="0.2">
      <c r="L502">
        <v>1115.394781</v>
      </c>
      <c r="M502">
        <v>-8432.1800590000003</v>
      </c>
      <c r="N502">
        <v>50540.220386000001</v>
      </c>
      <c r="O502">
        <v>-2.0956929999999998</v>
      </c>
      <c r="P502">
        <v>31.054516</v>
      </c>
      <c r="Q502">
        <v>124.86201800000001</v>
      </c>
      <c r="R502">
        <v>13.034196</v>
      </c>
      <c r="S502">
        <v>412</v>
      </c>
      <c r="T502">
        <v>1052</v>
      </c>
      <c r="U502">
        <f>T502/(T502+S502)</f>
        <v>0.71857923497267762</v>
      </c>
      <c r="V502">
        <f>-3.9347-2.6927*U502</f>
        <v>-5.8696183060109286</v>
      </c>
      <c r="W502">
        <f>M502-(SUM(S502:T502)*V502)</f>
        <v>160.94114099999933</v>
      </c>
      <c r="X502">
        <f>W502/(2*P502*R502)</f>
        <v>0.19880535026948448</v>
      </c>
      <c r="Y502">
        <f>X502*16.02</f>
        <v>3.1848617113171414</v>
      </c>
    </row>
    <row r="503" spans="11:25" x14ac:dyDescent="0.2">
      <c r="L503">
        <v>1115.1069210000001</v>
      </c>
      <c r="M503">
        <v>-8464.8181879999993</v>
      </c>
      <c r="N503">
        <v>50527.086949999997</v>
      </c>
      <c r="O503">
        <v>-2.2510569999999999</v>
      </c>
      <c r="P503">
        <v>30.992971000000001</v>
      </c>
      <c r="Q503">
        <v>125.11057099999999</v>
      </c>
      <c r="R503">
        <v>13.030726</v>
      </c>
      <c r="S503">
        <v>398</v>
      </c>
      <c r="T503">
        <v>1066</v>
      </c>
      <c r="U503">
        <f>T503/(T503+S503)</f>
        <v>0.72814207650273222</v>
      </c>
      <c r="V503">
        <f>-3.9347-2.6927*U503</f>
        <v>-5.8953681693989068</v>
      </c>
      <c r="W503">
        <f>M503-(SUM(S503:T503)*V503)</f>
        <v>166.00081200000022</v>
      </c>
      <c r="X503">
        <f>W503/(2*P503*R503)</f>
        <v>0.20551730391017625</v>
      </c>
      <c r="Y503">
        <f>X503*16.02</f>
        <v>3.2923872086410233</v>
      </c>
    </row>
    <row r="504" spans="11:25" x14ac:dyDescent="0.2">
      <c r="L504">
        <v>1115.0350900000001</v>
      </c>
      <c r="M504">
        <v>-8433.2470360000007</v>
      </c>
      <c r="N504">
        <v>50665.822323</v>
      </c>
      <c r="O504">
        <v>-1.640363</v>
      </c>
      <c r="P504">
        <v>30.980971</v>
      </c>
      <c r="Q504">
        <v>125.42774</v>
      </c>
      <c r="R504">
        <v>13.038524000000001</v>
      </c>
      <c r="S504">
        <v>412</v>
      </c>
      <c r="T504">
        <v>1052</v>
      </c>
      <c r="U504">
        <f>T504/(T504+S504)</f>
        <v>0.71857923497267762</v>
      </c>
      <c r="V504">
        <f>-3.9347-2.6927*U504</f>
        <v>-5.8696183060109286</v>
      </c>
      <c r="W504">
        <f>M504-(SUM(S504:T504)*V504)</f>
        <v>159.87416399999893</v>
      </c>
      <c r="X504">
        <f>W504/(2*P504*R504)</f>
        <v>0.19789044945899706</v>
      </c>
      <c r="Y504">
        <f>X504*16.02</f>
        <v>3.1702050003331328</v>
      </c>
    </row>
    <row r="505" spans="11:25" x14ac:dyDescent="0.2">
      <c r="Y505" s="1">
        <f>AVERAGE(Y500:Y504)</f>
        <v>3.1312545974361492</v>
      </c>
    </row>
    <row r="506" spans="11:25" x14ac:dyDescent="0.2">
      <c r="K506" t="s">
        <v>28</v>
      </c>
      <c r="L506">
        <v>1116.1590409999999</v>
      </c>
      <c r="M506">
        <v>-9686.4417420000009</v>
      </c>
      <c r="N506">
        <v>58482.472372999997</v>
      </c>
      <c r="O506">
        <v>-1.8753219999999999</v>
      </c>
      <c r="P506">
        <v>33.325696999999998</v>
      </c>
      <c r="Q506">
        <v>134.769541</v>
      </c>
      <c r="R506">
        <v>13.021364999999999</v>
      </c>
      <c r="S506">
        <v>475</v>
      </c>
      <c r="T506">
        <v>1205</v>
      </c>
      <c r="U506">
        <f>T506/(T506+S506)</f>
        <v>0.71726190476190477</v>
      </c>
      <c r="V506">
        <f>-3.9347-2.6927*U506</f>
        <v>-5.8660711309523812</v>
      </c>
      <c r="W506">
        <f>M506-(SUM(S506:T506)*V506)</f>
        <v>168.55775799999901</v>
      </c>
      <c r="X506">
        <f>W506/(2*P506*R506)</f>
        <v>0.19421510157931948</v>
      </c>
      <c r="Y506">
        <f>X506*16.02</f>
        <v>3.1113259273006979</v>
      </c>
    </row>
    <row r="507" spans="11:25" x14ac:dyDescent="0.2">
      <c r="L507">
        <v>1115.4784749999999</v>
      </c>
      <c r="M507">
        <v>-9721.7918109999991</v>
      </c>
      <c r="N507">
        <v>58370.262260000003</v>
      </c>
      <c r="O507">
        <v>-1.9189970000000001</v>
      </c>
      <c r="P507">
        <v>33.249347999999998</v>
      </c>
      <c r="Q507">
        <v>134.82261800000001</v>
      </c>
      <c r="R507">
        <v>13.021098</v>
      </c>
      <c r="S507">
        <v>459</v>
      </c>
      <c r="T507">
        <v>1221</v>
      </c>
      <c r="U507">
        <f>T507/(T507+S507)</f>
        <v>0.72678571428571426</v>
      </c>
      <c r="V507">
        <f>-3.9347-2.6927*U507</f>
        <v>-5.8917158928571425</v>
      </c>
      <c r="W507">
        <f>M507-(SUM(S507:T507)*V507)</f>
        <v>176.29088899999988</v>
      </c>
      <c r="X507">
        <f>W507/(2*P507*R507)</f>
        <v>0.2035959483899181</v>
      </c>
      <c r="Y507">
        <f>X507*16.02</f>
        <v>3.261607093206488</v>
      </c>
    </row>
    <row r="508" spans="11:25" x14ac:dyDescent="0.2">
      <c r="L508">
        <v>1115.5710039999999</v>
      </c>
      <c r="M508">
        <v>-9692.4827769999993</v>
      </c>
      <c r="N508">
        <v>58584.073945999997</v>
      </c>
      <c r="O508">
        <v>-1.7143299999999999</v>
      </c>
      <c r="P508">
        <v>33.346226999999999</v>
      </c>
      <c r="Q508">
        <v>134.74400199999999</v>
      </c>
      <c r="R508">
        <v>13.038421</v>
      </c>
      <c r="S508">
        <v>470</v>
      </c>
      <c r="T508">
        <v>1210</v>
      </c>
      <c r="U508">
        <f>T508/(T508+S508)</f>
        <v>0.72023809523809523</v>
      </c>
      <c r="V508">
        <f>-3.9347-2.6927*U508</f>
        <v>-5.8740851190476189</v>
      </c>
      <c r="W508">
        <f>M508-(SUM(S508:T508)*V508)</f>
        <v>175.98022300000048</v>
      </c>
      <c r="X508">
        <f>W508/(2*P508*R508)</f>
        <v>0.20237747163970576</v>
      </c>
      <c r="Y508">
        <f>X508*16.02</f>
        <v>3.2420870956680861</v>
      </c>
    </row>
    <row r="509" spans="11:25" x14ac:dyDescent="0.2">
      <c r="L509">
        <v>1115.3832890000001</v>
      </c>
      <c r="M509">
        <v>-9742.2094350000007</v>
      </c>
      <c r="N509">
        <v>58284.034782000002</v>
      </c>
      <c r="O509">
        <v>-1.6882410000000001</v>
      </c>
      <c r="P509">
        <v>33.301076000000002</v>
      </c>
      <c r="Q509">
        <v>134.44246899999999</v>
      </c>
      <c r="R509">
        <v>13.018373</v>
      </c>
      <c r="S509">
        <v>452</v>
      </c>
      <c r="T509">
        <v>1228</v>
      </c>
      <c r="U509">
        <f>T509/(T509+S509)</f>
        <v>0.73095238095238091</v>
      </c>
      <c r="V509">
        <f>-3.9347-2.6927*U509</f>
        <v>-5.9029354761904758</v>
      </c>
      <c r="W509">
        <f>M509-(SUM(S509:T509)*V509)</f>
        <v>174.72216499999922</v>
      </c>
      <c r="X509">
        <f>W509/(2*P509*R509)</f>
        <v>0.20151298197882064</v>
      </c>
      <c r="Y509">
        <f>X509*16.02</f>
        <v>3.2282379713007066</v>
      </c>
    </row>
    <row r="510" spans="11:25" x14ac:dyDescent="0.2">
      <c r="L510">
        <v>1116.440769</v>
      </c>
      <c r="M510">
        <v>-9719.7788070000006</v>
      </c>
      <c r="N510">
        <v>58503.169192000001</v>
      </c>
      <c r="O510">
        <v>-1.787134</v>
      </c>
      <c r="P510">
        <v>33.288279000000003</v>
      </c>
      <c r="Q510">
        <v>134.735829</v>
      </c>
      <c r="R510">
        <v>13.043879</v>
      </c>
      <c r="S510">
        <v>462</v>
      </c>
      <c r="T510">
        <v>1218</v>
      </c>
      <c r="U510">
        <f>T510/(T510+S510)</f>
        <v>0.72499999999999998</v>
      </c>
      <c r="V510">
        <f>-3.9347-2.6927*U510</f>
        <v>-5.8869074999999995</v>
      </c>
      <c r="W510">
        <f>M510-(SUM(S510:T510)*V510)</f>
        <v>170.22579299999779</v>
      </c>
      <c r="X510">
        <f>W510/(2*P510*R510)</f>
        <v>0.19601859235541189</v>
      </c>
      <c r="Y510">
        <f>X510*16.02</f>
        <v>3.1402178495336983</v>
      </c>
    </row>
    <row r="511" spans="11:25" x14ac:dyDescent="0.2">
      <c r="Y511" s="1">
        <f>AVERAGE(Y506:Y510)</f>
        <v>3.1966951874019349</v>
      </c>
    </row>
    <row r="512" spans="11:25" x14ac:dyDescent="0.2">
      <c r="K512" t="s">
        <v>55</v>
      </c>
      <c r="L512">
        <v>1040.8102269999999</v>
      </c>
      <c r="M512">
        <v>-11469.551148</v>
      </c>
      <c r="N512">
        <v>69252.735088999994</v>
      </c>
      <c r="O512">
        <v>-1.2994399999999999</v>
      </c>
      <c r="P512">
        <v>29.606629000000002</v>
      </c>
      <c r="Q512">
        <v>179.08211</v>
      </c>
      <c r="R512">
        <v>13.061633</v>
      </c>
      <c r="S512">
        <v>545</v>
      </c>
      <c r="T512">
        <v>1431</v>
      </c>
      <c r="U512">
        <f>T512/(T512+S512)</f>
        <v>0.72419028340080971</v>
      </c>
      <c r="V512">
        <f>-3.9347-2.6927*U512</f>
        <v>-5.8847271761133602</v>
      </c>
      <c r="W512">
        <f>M512-(SUM(S512:T512)*V512)</f>
        <v>158.66975199999979</v>
      </c>
      <c r="X512">
        <f>W512/(2*P512*R512)</f>
        <v>0.2051529227950972</v>
      </c>
      <c r="Y512">
        <f>X512*16.02</f>
        <v>3.2865498231774568</v>
      </c>
    </row>
    <row r="513" spans="11:25" x14ac:dyDescent="0.2">
      <c r="L513">
        <v>1040.901766</v>
      </c>
      <c r="M513">
        <v>-11477.571964999999</v>
      </c>
      <c r="N513">
        <v>69241.061564999996</v>
      </c>
      <c r="O513">
        <v>-1.3473299999999999</v>
      </c>
      <c r="P513">
        <v>29.566255000000002</v>
      </c>
      <c r="Q513">
        <v>179.52866</v>
      </c>
      <c r="R513">
        <v>13.044729</v>
      </c>
      <c r="S513">
        <v>550</v>
      </c>
      <c r="T513">
        <v>1426</v>
      </c>
      <c r="U513">
        <f>T513/(T513+S513)</f>
        <v>0.72165991902834004</v>
      </c>
      <c r="V513">
        <f>-3.9347-2.6927*U513</f>
        <v>-5.8779136639676111</v>
      </c>
      <c r="W513">
        <f>M513-(SUM(S513:T513)*V513)</f>
        <v>137.18543499999942</v>
      </c>
      <c r="X513">
        <f>W513/(2*P513*R513)</f>
        <v>0.17784703516718617</v>
      </c>
      <c r="Y513">
        <f>X513*16.02</f>
        <v>2.8491095033783225</v>
      </c>
    </row>
    <row r="514" spans="11:25" x14ac:dyDescent="0.2">
      <c r="L514">
        <v>1040.8952019999999</v>
      </c>
      <c r="M514">
        <v>-11465.770755</v>
      </c>
      <c r="N514">
        <v>69278.732176999998</v>
      </c>
      <c r="O514">
        <v>-1.319869</v>
      </c>
      <c r="P514">
        <v>29.583901000000001</v>
      </c>
      <c r="Q514">
        <v>179.20327800000001</v>
      </c>
      <c r="R514">
        <v>13.067731</v>
      </c>
      <c r="S514">
        <v>547</v>
      </c>
      <c r="T514">
        <v>1429</v>
      </c>
      <c r="U514">
        <f>T514/(T514+S514)</f>
        <v>0.72317813765182182</v>
      </c>
      <c r="V514">
        <f>-3.9347-2.6927*U514</f>
        <v>-5.8820017712550605</v>
      </c>
      <c r="W514">
        <f>M514-(SUM(S514:T514)*V514)</f>
        <v>157.06474499999968</v>
      </c>
      <c r="X514">
        <f>W514/(2*P514*R514)</f>
        <v>0.20313889769566318</v>
      </c>
      <c r="Y514">
        <f>X514*16.02</f>
        <v>3.2542851410845239</v>
      </c>
    </row>
    <row r="515" spans="11:25" x14ac:dyDescent="0.2">
      <c r="L515">
        <v>1040.687563</v>
      </c>
      <c r="M515">
        <v>-11508.19204</v>
      </c>
      <c r="N515">
        <v>69043.809517000002</v>
      </c>
      <c r="O515">
        <v>-1.3215730000000001</v>
      </c>
      <c r="P515">
        <v>29.572686000000001</v>
      </c>
      <c r="Q515">
        <v>178.86287100000001</v>
      </c>
      <c r="R515">
        <v>13.053140000000001</v>
      </c>
      <c r="S515">
        <v>532</v>
      </c>
      <c r="T515">
        <v>1444</v>
      </c>
      <c r="U515">
        <f>T515/(T515+S515)</f>
        <v>0.73076923076923073</v>
      </c>
      <c r="V515">
        <f>-3.9347-2.6927*U515</f>
        <v>-5.9024423076923078</v>
      </c>
      <c r="W515">
        <f>M515-(SUM(S515:T515)*V515)</f>
        <v>155.03396000000066</v>
      </c>
      <c r="X515">
        <f>W515/(2*P515*R515)</f>
        <v>0.20081265429300876</v>
      </c>
      <c r="Y515">
        <f>X515*16.02</f>
        <v>3.2170187217740005</v>
      </c>
    </row>
    <row r="516" spans="11:25" x14ac:dyDescent="0.2">
      <c r="L516">
        <v>1041.043903</v>
      </c>
      <c r="M516">
        <v>-11438.699633</v>
      </c>
      <c r="N516">
        <v>69339.317534999995</v>
      </c>
      <c r="O516">
        <v>-1.2022010000000001</v>
      </c>
      <c r="P516">
        <v>29.585037</v>
      </c>
      <c r="Q516">
        <v>179.417563</v>
      </c>
      <c r="R516">
        <v>13.063038000000001</v>
      </c>
      <c r="S516">
        <v>561</v>
      </c>
      <c r="T516">
        <v>1415</v>
      </c>
      <c r="U516">
        <f>T516/(T516+S516)</f>
        <v>0.71609311740890691</v>
      </c>
      <c r="V516">
        <f>-3.9347-2.6927*U516</f>
        <v>-5.862923937246963</v>
      </c>
      <c r="W516">
        <f>M516-(SUM(S516:T516)*V516)</f>
        <v>146.43806699999914</v>
      </c>
      <c r="X516">
        <f>W516/(2*P516*R516)</f>
        <v>0.18945570384483496</v>
      </c>
      <c r="Y516">
        <f>X516*16.02</f>
        <v>3.0350803755942559</v>
      </c>
    </row>
    <row r="517" spans="11:25" x14ac:dyDescent="0.2">
      <c r="Y517" s="1">
        <f>AVERAGE(Y512:Y516)</f>
        <v>3.1284087130017122</v>
      </c>
    </row>
    <row r="518" spans="11:25" x14ac:dyDescent="0.2">
      <c r="K518">
        <v>100</v>
      </c>
      <c r="L518">
        <v>1115.6309819999999</v>
      </c>
      <c r="M518">
        <v>-27259.598779</v>
      </c>
      <c r="N518">
        <v>89932.162052</v>
      </c>
      <c r="O518">
        <v>-1.0845560000000001</v>
      </c>
      <c r="P518">
        <v>26.138325999999999</v>
      </c>
      <c r="Q518">
        <v>26.142094</v>
      </c>
      <c r="R518">
        <v>131.61262500000001</v>
      </c>
      <c r="S518">
        <v>1273</v>
      </c>
      <c r="T518">
        <v>3399</v>
      </c>
      <c r="U518">
        <f>T518/(T518+S518)</f>
        <v>0.72752568493150682</v>
      </c>
      <c r="V518">
        <f>-3.9347-2.6927*U518</f>
        <v>-5.8937084118150684</v>
      </c>
      <c r="W518">
        <f>M518-(SUM(S518:T518)*V518)</f>
        <v>275.80692099999942</v>
      </c>
      <c r="X518">
        <f>W518/(2*P518*Q518)</f>
        <v>0.20181666358746994</v>
      </c>
      <c r="Y518">
        <f>X518*16.02</f>
        <v>3.2331029506712685</v>
      </c>
    </row>
    <row r="519" spans="11:25" x14ac:dyDescent="0.2">
      <c r="L519">
        <v>1115.4761599999999</v>
      </c>
      <c r="M519">
        <v>-27236.255198999999</v>
      </c>
      <c r="N519">
        <v>90091.947260000001</v>
      </c>
      <c r="O519">
        <v>-1.2430939999999999</v>
      </c>
      <c r="P519">
        <v>26.133512</v>
      </c>
      <c r="Q519">
        <v>26.142569999999999</v>
      </c>
      <c r="R519">
        <v>131.86837600000001</v>
      </c>
      <c r="S519">
        <v>1291</v>
      </c>
      <c r="T519">
        <v>3381</v>
      </c>
      <c r="U519">
        <f>T519/(T519+S519)</f>
        <v>0.72367294520547942</v>
      </c>
      <c r="V519">
        <f>-3.9347-2.6927*U519</f>
        <v>-5.883334139554794</v>
      </c>
      <c r="W519">
        <f>M519-(SUM(S519:T519)*V519)</f>
        <v>250.68190099999993</v>
      </c>
      <c r="X519">
        <f>W519/(2*P519*Q519)</f>
        <v>0.18346233940929238</v>
      </c>
      <c r="Y519">
        <f>X519*16.02</f>
        <v>2.9390666773368639</v>
      </c>
    </row>
    <row r="520" spans="11:25" x14ac:dyDescent="0.2">
      <c r="L520">
        <v>1115.6756290000001</v>
      </c>
      <c r="M520">
        <v>-27204.235045000001</v>
      </c>
      <c r="N520">
        <v>90028.614331999997</v>
      </c>
      <c r="O520">
        <v>-1.301946</v>
      </c>
      <c r="P520">
        <v>26.147366000000002</v>
      </c>
      <c r="Q520">
        <v>26.140326999999999</v>
      </c>
      <c r="R520">
        <v>131.717129</v>
      </c>
      <c r="S520">
        <v>1293</v>
      </c>
      <c r="T520">
        <v>3379</v>
      </c>
      <c r="U520">
        <f>T520/(T520+S520)</f>
        <v>0.72324486301369861</v>
      </c>
      <c r="V520">
        <f>-3.9347-2.6927*U520</f>
        <v>-5.8821814426369858</v>
      </c>
      <c r="W520">
        <f>M520-(SUM(S520:T520)*V520)</f>
        <v>277.31665499999508</v>
      </c>
      <c r="X520">
        <f>W520/(2*P520*Q520)</f>
        <v>0.20286493930675978</v>
      </c>
      <c r="Y520">
        <f>X520*16.02</f>
        <v>3.2498963276942914</v>
      </c>
    </row>
    <row r="521" spans="11:25" x14ac:dyDescent="0.2">
      <c r="L521">
        <v>1115.63337</v>
      </c>
      <c r="M521">
        <v>-27252.686315999999</v>
      </c>
      <c r="N521">
        <v>89945.628230000002</v>
      </c>
      <c r="O521">
        <v>-1.163089</v>
      </c>
      <c r="P521">
        <v>26.157623000000001</v>
      </c>
      <c r="Q521">
        <v>26.132836000000001</v>
      </c>
      <c r="R521">
        <v>131.58182199999999</v>
      </c>
      <c r="S521">
        <v>1279</v>
      </c>
      <c r="T521">
        <v>3393</v>
      </c>
      <c r="U521">
        <f>T521/(T521+S521)</f>
        <v>0.72624143835616439</v>
      </c>
      <c r="V521">
        <f>-3.9347-2.6927*U521</f>
        <v>-5.8902503210616439</v>
      </c>
      <c r="W521">
        <f>M521-(SUM(S521:T521)*V521)</f>
        <v>266.56318400000237</v>
      </c>
      <c r="X521">
        <f>W521/(2*P521*Q521)</f>
        <v>0.19497788378922079</v>
      </c>
      <c r="Y521">
        <f>X521*16.02</f>
        <v>3.123545698303317</v>
      </c>
    </row>
    <row r="522" spans="11:25" x14ac:dyDescent="0.2">
      <c r="L522">
        <v>1115.321066</v>
      </c>
      <c r="M522">
        <v>-27252.42554</v>
      </c>
      <c r="N522">
        <v>89801.436361</v>
      </c>
      <c r="O522">
        <v>-1.146064</v>
      </c>
      <c r="P522">
        <v>26.140409999999999</v>
      </c>
      <c r="Q522">
        <v>26.144938</v>
      </c>
      <c r="R522">
        <v>131.396556</v>
      </c>
      <c r="S522">
        <v>1280</v>
      </c>
      <c r="T522">
        <v>3392</v>
      </c>
      <c r="U522">
        <f>T522/(T522+S522)</f>
        <v>0.72602739726027399</v>
      </c>
      <c r="V522">
        <f>-3.9347-2.6927*U522</f>
        <v>-5.8896739726027398</v>
      </c>
      <c r="W522">
        <f>M522-(SUM(S522:T522)*V522)</f>
        <v>264.13126000000193</v>
      </c>
      <c r="X522">
        <f>W522/(2*P522*Q522)</f>
        <v>0.19323678184575588</v>
      </c>
      <c r="Y522">
        <f>X522*16.02</f>
        <v>3.0956532451690091</v>
      </c>
    </row>
    <row r="523" spans="11:25" x14ac:dyDescent="0.2">
      <c r="Y523" s="1">
        <f>AVERAGE(Y518:Y522)</f>
        <v>3.1282529798349499</v>
      </c>
    </row>
    <row r="524" spans="11:25" x14ac:dyDescent="0.2">
      <c r="K524">
        <v>110</v>
      </c>
      <c r="L524">
        <v>1041.2608720000001</v>
      </c>
      <c r="M524">
        <v>-10461.235314</v>
      </c>
      <c r="N524">
        <v>35027.751432999998</v>
      </c>
      <c r="O524">
        <v>-2.0362580000000001</v>
      </c>
      <c r="P524">
        <v>92.694807999999995</v>
      </c>
      <c r="Q524">
        <v>23.198038</v>
      </c>
      <c r="R524">
        <v>16.289453000000002</v>
      </c>
      <c r="S524">
        <v>496</v>
      </c>
      <c r="T524">
        <v>1304</v>
      </c>
      <c r="U524">
        <f>T524/(T524+S524)</f>
        <v>0.72444444444444445</v>
      </c>
      <c r="V524">
        <f>-3.9347-2.6927*U524</f>
        <v>-5.8854115555555548</v>
      </c>
      <c r="W524">
        <f>M524-(SUM(S524:T524)*V524)</f>
        <v>132.50548600000002</v>
      </c>
      <c r="X524">
        <f>W524/(2*R524*Q524)</f>
        <v>0.17532591222605479</v>
      </c>
      <c r="Y524">
        <f>X524*16.02</f>
        <v>2.8087211138613974</v>
      </c>
    </row>
    <row r="525" spans="11:25" x14ac:dyDescent="0.2">
      <c r="L525">
        <v>1041.0153949999999</v>
      </c>
      <c r="M525">
        <v>-10462.337313</v>
      </c>
      <c r="N525">
        <v>35030.894448999999</v>
      </c>
      <c r="O525">
        <v>-2.3805930000000002</v>
      </c>
      <c r="P525">
        <v>92.598771999999997</v>
      </c>
      <c r="Q525">
        <v>23.181616000000002</v>
      </c>
      <c r="R525">
        <v>16.319375999999998</v>
      </c>
      <c r="S525">
        <v>496</v>
      </c>
      <c r="T525">
        <v>1304</v>
      </c>
      <c r="U525">
        <f>T525/(T525+S525)</f>
        <v>0.72444444444444445</v>
      </c>
      <c r="V525">
        <f>-3.9347-2.6927*U525</f>
        <v>-5.8854115555555548</v>
      </c>
      <c r="W525">
        <f>M525-(SUM(S525:T525)*V525)</f>
        <v>131.40348699999959</v>
      </c>
      <c r="X525">
        <f>W525/(2*R525*Q525)</f>
        <v>0.17367193302524728</v>
      </c>
      <c r="Y525">
        <f>X525*16.02</f>
        <v>2.7822243670644613</v>
      </c>
    </row>
    <row r="526" spans="11:25" x14ac:dyDescent="0.2">
      <c r="L526">
        <v>1041.2132449999999</v>
      </c>
      <c r="M526">
        <v>-10489.607698</v>
      </c>
      <c r="N526">
        <v>34918.063238000002</v>
      </c>
      <c r="O526">
        <v>-2.4467080000000001</v>
      </c>
      <c r="P526">
        <v>92.513630000000006</v>
      </c>
      <c r="Q526">
        <v>23.155162000000001</v>
      </c>
      <c r="R526">
        <v>16.300373</v>
      </c>
      <c r="S526">
        <v>484</v>
      </c>
      <c r="T526">
        <v>1316</v>
      </c>
      <c r="U526">
        <f>T526/(T526+S526)</f>
        <v>0.73111111111111116</v>
      </c>
      <c r="V526">
        <f>-3.9347-2.6927*U526</f>
        <v>-5.9033628888888892</v>
      </c>
      <c r="W526">
        <f>M526-(SUM(S526:T526)*V526)</f>
        <v>136.44550200000049</v>
      </c>
      <c r="X526">
        <f>W526/(2*R526*Q526)</f>
        <v>0.18075231222566759</v>
      </c>
      <c r="Y526">
        <f>X526*16.02</f>
        <v>2.895652041855195</v>
      </c>
    </row>
    <row r="527" spans="11:25" x14ac:dyDescent="0.2">
      <c r="L527">
        <v>1040.8965009999999</v>
      </c>
      <c r="M527">
        <v>-10488.572255999999</v>
      </c>
      <c r="N527">
        <v>35003.749067999997</v>
      </c>
      <c r="O527">
        <v>-2.534554</v>
      </c>
      <c r="P527">
        <v>92.695250000000001</v>
      </c>
      <c r="Q527">
        <v>23.159884999999999</v>
      </c>
      <c r="R527">
        <v>16.305026999999999</v>
      </c>
      <c r="S527">
        <v>484</v>
      </c>
      <c r="T527">
        <v>1316</v>
      </c>
      <c r="U527">
        <f>T527/(T527+S527)</f>
        <v>0.73111111111111116</v>
      </c>
      <c r="V527">
        <f>-3.9347-2.6927*U527</f>
        <v>-5.9033628888888892</v>
      </c>
      <c r="W527">
        <f>M527-(SUM(S527:T527)*V527)</f>
        <v>137.48094400000082</v>
      </c>
      <c r="X527">
        <f>W527/(2*R527*Q527)</f>
        <v>0.18203487041747665</v>
      </c>
      <c r="Y527">
        <f>X527*16.02</f>
        <v>2.916198624087976</v>
      </c>
    </row>
    <row r="528" spans="11:25" x14ac:dyDescent="0.2">
      <c r="L528">
        <v>1041.4456250000001</v>
      </c>
      <c r="M528">
        <v>-10452.557575000001</v>
      </c>
      <c r="N528">
        <v>35067.395483</v>
      </c>
      <c r="O528">
        <v>-2.2902</v>
      </c>
      <c r="P528">
        <v>92.676689999999994</v>
      </c>
      <c r="Q528">
        <v>23.188358999999998</v>
      </c>
      <c r="R528">
        <v>16.317893999999999</v>
      </c>
      <c r="S528">
        <v>500</v>
      </c>
      <c r="T528">
        <v>1300</v>
      </c>
      <c r="U528">
        <f>T528/(T528+S528)</f>
        <v>0.72222222222222221</v>
      </c>
      <c r="V528">
        <f>-3.9347-2.6927*U528</f>
        <v>-5.8794277777777779</v>
      </c>
      <c r="W528">
        <f>M528-(SUM(S528:T528)*V528)</f>
        <v>130.41242500000044</v>
      </c>
      <c r="X528">
        <f>W528/(2*R528*Q528)</f>
        <v>0.17232760484150808</v>
      </c>
      <c r="Y528">
        <f>X528*16.02</f>
        <v>2.7606882295609592</v>
      </c>
    </row>
    <row r="529" spans="11:25" x14ac:dyDescent="0.2">
      <c r="Y529" s="1">
        <f>AVERAGE(Y524:Y528)</f>
        <v>2.8326968752859978</v>
      </c>
    </row>
    <row r="530" spans="11:25" x14ac:dyDescent="0.2">
      <c r="K530">
        <v>111</v>
      </c>
      <c r="L530">
        <v>1040.8888300000001</v>
      </c>
      <c r="M530">
        <v>-15756.234151000001</v>
      </c>
      <c r="N530">
        <v>53773.911781000003</v>
      </c>
      <c r="O530">
        <v>-1.3654500000000001</v>
      </c>
      <c r="P530">
        <v>90.619990999999999</v>
      </c>
      <c r="Q530">
        <v>18.507179000000001</v>
      </c>
      <c r="R530">
        <v>32.063274</v>
      </c>
      <c r="S530">
        <v>737</v>
      </c>
      <c r="T530">
        <v>1974</v>
      </c>
      <c r="U530">
        <f>T530/(T530+S530)</f>
        <v>0.7281445960900037</v>
      </c>
      <c r="V530">
        <f>-3.9347-2.6927*U530</f>
        <v>-5.8953749538915527</v>
      </c>
      <c r="W530">
        <f>M530-(SUM(S530:T530)*V530)</f>
        <v>226.1273489999985</v>
      </c>
      <c r="X530">
        <f>W530/(2*Q530*R530)</f>
        <v>0.1905351050920728</v>
      </c>
      <c r="Y530">
        <f>X530*16.02</f>
        <v>3.0523723835750061</v>
      </c>
    </row>
    <row r="531" spans="11:25" x14ac:dyDescent="0.2">
      <c r="L531">
        <v>1040.8021450000001</v>
      </c>
      <c r="M531">
        <v>-15802.259109000001</v>
      </c>
      <c r="N531">
        <v>53746.364757000003</v>
      </c>
      <c r="O531">
        <v>-1.3482190000000001</v>
      </c>
      <c r="P531">
        <v>90.758250000000004</v>
      </c>
      <c r="Q531">
        <v>18.484857000000002</v>
      </c>
      <c r="R531">
        <v>32.036672000000003</v>
      </c>
      <c r="S531">
        <v>718</v>
      </c>
      <c r="T531">
        <v>1993</v>
      </c>
      <c r="U531">
        <f>T531/(T531+S531)</f>
        <v>0.73515308004426416</v>
      </c>
      <c r="V531">
        <f>-3.9347-2.6927*U531</f>
        <v>-5.91424669863519</v>
      </c>
      <c r="W531">
        <f>M531-(SUM(S531:T531)*V531)</f>
        <v>231.26369100000011</v>
      </c>
      <c r="X531">
        <f>W531/(2*Q531*R531)</f>
        <v>0.19526030667355207</v>
      </c>
      <c r="Y531">
        <f>X531*16.02</f>
        <v>3.1280701129103039</v>
      </c>
    </row>
    <row r="532" spans="11:25" x14ac:dyDescent="0.2">
      <c r="L532">
        <v>1040.7976739999999</v>
      </c>
      <c r="M532">
        <v>-15703.892793000001</v>
      </c>
      <c r="N532">
        <v>54045.997602000003</v>
      </c>
      <c r="O532">
        <v>-1.468661</v>
      </c>
      <c r="P532">
        <v>90.929359000000005</v>
      </c>
      <c r="Q532">
        <v>18.530269000000001</v>
      </c>
      <c r="R532">
        <v>32.075854</v>
      </c>
      <c r="S532">
        <v>751</v>
      </c>
      <c r="T532">
        <v>1960</v>
      </c>
      <c r="U532">
        <f>T532/(T532+S532)</f>
        <v>0.72298045001844335</v>
      </c>
      <c r="V532">
        <f>-3.9347-2.6927*U532</f>
        <v>-5.8814694577646627</v>
      </c>
      <c r="W532">
        <f>M532-(SUM(S532:T532)*V532)</f>
        <v>240.77090700000008</v>
      </c>
      <c r="X532">
        <f>W532/(2*Q532*R532)</f>
        <v>0.20254151826806654</v>
      </c>
      <c r="Y532">
        <f>X532*16.02</f>
        <v>3.244715122654426</v>
      </c>
    </row>
    <row r="533" spans="11:25" x14ac:dyDescent="0.2">
      <c r="L533">
        <v>1040.7026519999999</v>
      </c>
      <c r="M533">
        <v>-15706.152006</v>
      </c>
      <c r="N533">
        <v>54006.168175999999</v>
      </c>
      <c r="O533">
        <v>-1.6353150000000001</v>
      </c>
      <c r="P533">
        <v>90.798061000000004</v>
      </c>
      <c r="Q533">
        <v>18.544484000000001</v>
      </c>
      <c r="R533">
        <v>32.073957999999998</v>
      </c>
      <c r="S533">
        <v>756</v>
      </c>
      <c r="T533">
        <v>1955</v>
      </c>
      <c r="U533">
        <f>T533/(T533+S533)</f>
        <v>0.72113611213574325</v>
      </c>
      <c r="V533">
        <f>-3.9347-2.6927*U533</f>
        <v>-5.8765032091479155</v>
      </c>
      <c r="W533">
        <f>M533-(SUM(S533:T533)*V533)</f>
        <v>225.04819399999906</v>
      </c>
      <c r="X533">
        <f>W533/(2*Q533*R533)</f>
        <v>0.18918130922539314</v>
      </c>
      <c r="Y533">
        <f>X533*16.02</f>
        <v>3.0306845737907979</v>
      </c>
    </row>
    <row r="534" spans="11:25" x14ac:dyDescent="0.2">
      <c r="L534">
        <v>1040.71299</v>
      </c>
      <c r="M534">
        <v>-15681.99763</v>
      </c>
      <c r="N534">
        <v>54026.758903000002</v>
      </c>
      <c r="O534">
        <v>-1.3451090000000001</v>
      </c>
      <c r="P534">
        <v>90.863146</v>
      </c>
      <c r="Q534">
        <v>18.526066</v>
      </c>
      <c r="R534">
        <v>32.095067999999998</v>
      </c>
      <c r="S534">
        <v>765</v>
      </c>
      <c r="T534">
        <v>1946</v>
      </c>
      <c r="U534">
        <f>T534/(T534+S534)</f>
        <v>0.71781630394688312</v>
      </c>
      <c r="V534">
        <f>-3.9347-2.6927*U534</f>
        <v>-5.8675639616377717</v>
      </c>
      <c r="W534">
        <f>M534-(SUM(S534:T534)*V534)</f>
        <v>224.96826999999939</v>
      </c>
      <c r="X534">
        <f>W534/(2*Q534*R534)</f>
        <v>0.18917762369032512</v>
      </c>
      <c r="Y534">
        <f>X534*16.02</f>
        <v>3.0306255315190085</v>
      </c>
    </row>
    <row r="535" spans="11:25" x14ac:dyDescent="0.2">
      <c r="Y535" s="1">
        <f>AVERAGE(Y530:Y534)</f>
        <v>3.0972935448899084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2:W69"/>
  <sheetViews>
    <sheetView topLeftCell="A18" workbookViewId="0">
      <selection activeCell="S73" sqref="S73"/>
    </sheetView>
  </sheetViews>
  <sheetFormatPr baseColWidth="10" defaultRowHeight="16" x14ac:dyDescent="0.2"/>
  <sheetData>
    <row r="2" spans="1:17" x14ac:dyDescent="0.2">
      <c r="B2" t="s">
        <v>29</v>
      </c>
      <c r="E2" t="s">
        <v>30</v>
      </c>
      <c r="H2" t="s">
        <v>54</v>
      </c>
      <c r="K2" t="s">
        <v>16</v>
      </c>
      <c r="P2" t="s">
        <v>12</v>
      </c>
      <c r="Q2" t="s">
        <v>7</v>
      </c>
    </row>
    <row r="3" spans="1:17" x14ac:dyDescent="0.2">
      <c r="B3">
        <v>-8266.2094249999991</v>
      </c>
      <c r="C3">
        <v>43531.821044999997</v>
      </c>
      <c r="E3">
        <v>-13653.395627</v>
      </c>
      <c r="F3">
        <v>31520.917165999999</v>
      </c>
      <c r="H3">
        <v>-9608.8216740000007</v>
      </c>
      <c r="I3">
        <v>47873.195909000002</v>
      </c>
      <c r="K3">
        <v>-9386.9937499999996</v>
      </c>
      <c r="L3">
        <v>39434.761297999998</v>
      </c>
      <c r="M3">
        <v>1558</v>
      </c>
      <c r="N3">
        <v>442</v>
      </c>
      <c r="O3">
        <f>N3/2000</f>
        <v>0.221</v>
      </c>
      <c r="P3">
        <f>-5114*O3-8254.6</f>
        <v>-9384.7939999999999</v>
      </c>
      <c r="Q3">
        <f>-13439*O3+42434</f>
        <v>39463.981</v>
      </c>
    </row>
    <row r="4" spans="1:17" x14ac:dyDescent="0.2">
      <c r="B4">
        <v>-8266.2563269999991</v>
      </c>
      <c r="C4">
        <v>43523.160938000001</v>
      </c>
      <c r="E4">
        <v>-13653.573235</v>
      </c>
      <c r="F4">
        <v>31520.429967</v>
      </c>
      <c r="H4">
        <v>-9608.903757</v>
      </c>
      <c r="I4">
        <v>47871.437302999999</v>
      </c>
      <c r="K4">
        <v>-9381.4220700000005</v>
      </c>
      <c r="L4">
        <v>39469.812361999997</v>
      </c>
      <c r="M4">
        <v>1559</v>
      </c>
      <c r="N4">
        <v>441</v>
      </c>
      <c r="O4">
        <f t="shared" ref="O4:O12" si="0">N4/2000</f>
        <v>0.2205</v>
      </c>
      <c r="P4">
        <f t="shared" ref="P4:P12" si="1">-5114*O4-8254.6</f>
        <v>-9382.237000000001</v>
      </c>
      <c r="Q4">
        <f t="shared" ref="Q4:Q12" si="2">-13439*O4+42434</f>
        <v>39470.700499999999</v>
      </c>
    </row>
    <row r="5" spans="1:17" x14ac:dyDescent="0.2">
      <c r="B5">
        <v>-8266.2343710000005</v>
      </c>
      <c r="C5">
        <v>43520.598451999998</v>
      </c>
      <c r="E5">
        <v>-13653.497862</v>
      </c>
      <c r="F5">
        <v>31520.863859000001</v>
      </c>
      <c r="H5">
        <v>-9608.6904649999997</v>
      </c>
      <c r="I5">
        <v>47873.203474000002</v>
      </c>
      <c r="K5">
        <v>-9358.9111229999999</v>
      </c>
      <c r="L5">
        <v>39565.623994000001</v>
      </c>
      <c r="M5">
        <v>1568</v>
      </c>
      <c r="N5">
        <v>432</v>
      </c>
      <c r="O5">
        <f t="shared" si="0"/>
        <v>0.216</v>
      </c>
      <c r="P5">
        <f t="shared" si="1"/>
        <v>-9359.2240000000002</v>
      </c>
      <c r="Q5">
        <f t="shared" si="2"/>
        <v>39531.175999999999</v>
      </c>
    </row>
    <row r="6" spans="1:17" x14ac:dyDescent="0.2">
      <c r="B6">
        <v>-8266.5333429999991</v>
      </c>
      <c r="C6">
        <v>43519.269864000002</v>
      </c>
      <c r="E6">
        <v>-13653.673153</v>
      </c>
      <c r="F6">
        <v>31520.216022000001</v>
      </c>
      <c r="H6">
        <v>-9608.3800570000003</v>
      </c>
      <c r="I6">
        <v>47874.533521999998</v>
      </c>
      <c r="K6">
        <v>-9401.3256309999997</v>
      </c>
      <c r="L6">
        <v>39431.419669000003</v>
      </c>
      <c r="M6">
        <v>1552</v>
      </c>
      <c r="N6">
        <v>448</v>
      </c>
      <c r="O6">
        <f t="shared" si="0"/>
        <v>0.224</v>
      </c>
      <c r="P6">
        <f t="shared" si="1"/>
        <v>-9400.1360000000004</v>
      </c>
      <c r="Q6">
        <f t="shared" si="2"/>
        <v>39423.663999999997</v>
      </c>
    </row>
    <row r="7" spans="1:17" x14ac:dyDescent="0.2">
      <c r="B7">
        <v>-8266.1801180000002</v>
      </c>
      <c r="C7">
        <v>43512.860778000002</v>
      </c>
      <c r="E7">
        <v>-13653.52124</v>
      </c>
      <c r="F7">
        <v>31520.582697999998</v>
      </c>
      <c r="H7">
        <v>-9608.4601980000007</v>
      </c>
      <c r="I7">
        <v>47872.309291999998</v>
      </c>
      <c r="K7">
        <v>-9395.9035719999993</v>
      </c>
      <c r="L7">
        <v>39429.016356</v>
      </c>
      <c r="M7">
        <v>1553</v>
      </c>
      <c r="N7">
        <v>447</v>
      </c>
      <c r="O7">
        <f t="shared" si="0"/>
        <v>0.2235</v>
      </c>
      <c r="P7">
        <f t="shared" si="1"/>
        <v>-9397.5789999999997</v>
      </c>
      <c r="Q7">
        <f t="shared" si="2"/>
        <v>39430.383499999996</v>
      </c>
    </row>
    <row r="8" spans="1:17" x14ac:dyDescent="0.2">
      <c r="B8">
        <v>-8266.1041530000002</v>
      </c>
      <c r="C8">
        <v>43530.101655999999</v>
      </c>
      <c r="E8">
        <v>-13653.603408999999</v>
      </c>
      <c r="F8">
        <v>31520.499247</v>
      </c>
      <c r="H8">
        <v>-9608.7606660000001</v>
      </c>
      <c r="I8">
        <v>47872.641884999997</v>
      </c>
      <c r="K8">
        <v>-9392.097694</v>
      </c>
      <c r="L8">
        <v>39441.7454</v>
      </c>
      <c r="M8">
        <v>1555</v>
      </c>
      <c r="N8">
        <v>445</v>
      </c>
      <c r="O8">
        <f t="shared" si="0"/>
        <v>0.2225</v>
      </c>
      <c r="P8">
        <f t="shared" si="1"/>
        <v>-9392.4650000000001</v>
      </c>
      <c r="Q8">
        <f t="shared" si="2"/>
        <v>39443.822500000002</v>
      </c>
    </row>
    <row r="9" spans="1:17" x14ac:dyDescent="0.2">
      <c r="B9">
        <v>-8266.0966879999996</v>
      </c>
      <c r="C9">
        <v>43521.054234000003</v>
      </c>
      <c r="E9">
        <v>-13653.519654</v>
      </c>
      <c r="F9">
        <v>31520.706861999999</v>
      </c>
      <c r="H9">
        <v>-9609.1954289999994</v>
      </c>
      <c r="I9">
        <v>47873.050396999999</v>
      </c>
      <c r="K9">
        <v>-9499.2689520000004</v>
      </c>
      <c r="L9">
        <v>39165.195846000002</v>
      </c>
      <c r="M9">
        <v>1514</v>
      </c>
      <c r="N9">
        <v>486</v>
      </c>
      <c r="O9">
        <f t="shared" si="0"/>
        <v>0.24299999999999999</v>
      </c>
      <c r="P9">
        <f t="shared" si="1"/>
        <v>-9497.3019999999997</v>
      </c>
      <c r="Q9">
        <f t="shared" si="2"/>
        <v>39168.322999999997</v>
      </c>
    </row>
    <row r="10" spans="1:17" x14ac:dyDescent="0.2">
      <c r="B10">
        <v>-8266.2422709999992</v>
      </c>
      <c r="C10">
        <v>43522.780073000002</v>
      </c>
      <c r="E10">
        <v>-13653.624516</v>
      </c>
      <c r="F10">
        <v>31520.328754999999</v>
      </c>
      <c r="H10">
        <v>-9608.6378019999993</v>
      </c>
      <c r="I10">
        <v>47871.294941</v>
      </c>
      <c r="K10">
        <v>-9417.1722140000002</v>
      </c>
      <c r="L10">
        <v>39381.040373999997</v>
      </c>
      <c r="M10">
        <v>1545</v>
      </c>
      <c r="N10">
        <v>455</v>
      </c>
      <c r="O10">
        <f t="shared" si="0"/>
        <v>0.22750000000000001</v>
      </c>
      <c r="P10">
        <f t="shared" si="1"/>
        <v>-9418.0349999999999</v>
      </c>
      <c r="Q10">
        <f t="shared" si="2"/>
        <v>39376.627500000002</v>
      </c>
    </row>
    <row r="11" spans="1:17" x14ac:dyDescent="0.2">
      <c r="B11">
        <v>-8266.1995860000006</v>
      </c>
      <c r="C11">
        <v>43523.175776999997</v>
      </c>
      <c r="E11">
        <v>-13653.440356999999</v>
      </c>
      <c r="F11">
        <v>31520.816269999999</v>
      </c>
      <c r="H11">
        <v>-9608.4942570000003</v>
      </c>
      <c r="I11">
        <v>47871.863596000003</v>
      </c>
      <c r="K11">
        <v>-9433.0701229999995</v>
      </c>
      <c r="L11">
        <v>39337.886485000003</v>
      </c>
      <c r="M11">
        <v>1538</v>
      </c>
      <c r="N11">
        <v>462</v>
      </c>
      <c r="O11">
        <f t="shared" si="0"/>
        <v>0.23100000000000001</v>
      </c>
      <c r="P11">
        <f t="shared" si="1"/>
        <v>-9435.9340000000011</v>
      </c>
      <c r="Q11">
        <f t="shared" si="2"/>
        <v>39329.591</v>
      </c>
    </row>
    <row r="12" spans="1:17" x14ac:dyDescent="0.2">
      <c r="B12">
        <v>-8266.8979619999991</v>
      </c>
      <c r="C12">
        <v>43520.542111000002</v>
      </c>
      <c r="E12">
        <v>-13653.338185000001</v>
      </c>
      <c r="F12">
        <v>31521.296892999999</v>
      </c>
      <c r="H12">
        <v>-9608.5797359999997</v>
      </c>
      <c r="I12">
        <v>47876.102284000001</v>
      </c>
      <c r="K12">
        <v>-9345.1976180000001</v>
      </c>
      <c r="L12">
        <v>39556.264410999996</v>
      </c>
      <c r="M12">
        <v>1574</v>
      </c>
      <c r="N12">
        <v>426</v>
      </c>
      <c r="O12">
        <f t="shared" si="0"/>
        <v>0.21299999999999999</v>
      </c>
      <c r="P12">
        <f t="shared" si="1"/>
        <v>-9343.8819999999996</v>
      </c>
      <c r="Q12">
        <f t="shared" si="2"/>
        <v>39571.493000000002</v>
      </c>
    </row>
    <row r="13" spans="1:17" x14ac:dyDescent="0.2">
      <c r="A13" t="s">
        <v>47</v>
      </c>
      <c r="B13">
        <f>AVERAGE(B3:B12)</f>
        <v>-8266.2954243999993</v>
      </c>
      <c r="C13">
        <f>AVERAGE(C3:C12)</f>
        <v>43522.536492799998</v>
      </c>
      <c r="E13">
        <f>AVERAGE(E3:E12)</f>
        <v>-13653.518723799998</v>
      </c>
      <c r="F13">
        <f>AVERAGE(F3:F12)</f>
        <v>31520.665773900004</v>
      </c>
      <c r="H13">
        <f>AVERAGE(H3:H12)</f>
        <v>-9608.6924041000002</v>
      </c>
      <c r="I13">
        <f>AVERAGE(I3:I12)</f>
        <v>47872.963260300006</v>
      </c>
    </row>
    <row r="14" spans="1:17" x14ac:dyDescent="0.2">
      <c r="A14" t="s">
        <v>48</v>
      </c>
      <c r="B14">
        <f>STDEV(B3:B12)/SQRT(COUNT(B3:B12))</f>
        <v>7.7006175412325739E-2</v>
      </c>
      <c r="C14">
        <f>STDEV(C3:C12)/SQRT(COUNT(C3:C12))</f>
        <v>1.6948075074957887</v>
      </c>
      <c r="E14">
        <f>STDEV(E3:E12)/SQRT(COUNT(E3:E12))</f>
        <v>3.325227953243319E-2</v>
      </c>
      <c r="F14">
        <f>STDEV(F3:F12)/SQRT(COUNT(F3:F12))</f>
        <v>0.10171750310584839</v>
      </c>
      <c r="H14">
        <f>STDEV(H3:H12)/SQRT(COUNT(H3:H12))</f>
        <v>7.6412360807810373E-2</v>
      </c>
      <c r="I14">
        <f>STDEV(I3:I12)/SQRT(COUNT(I3:I12))</f>
        <v>0.46296946864944544</v>
      </c>
    </row>
    <row r="15" spans="1:17" x14ac:dyDescent="0.2">
      <c r="A15" t="s">
        <v>49</v>
      </c>
      <c r="B15">
        <f>B13/2000</f>
        <v>-4.1331477121999995</v>
      </c>
      <c r="C15">
        <f>C13/2000</f>
        <v>21.7612682464</v>
      </c>
      <c r="E15">
        <f>E13/2000</f>
        <v>-6.8267593618999989</v>
      </c>
      <c r="F15">
        <f>F13/2000</f>
        <v>15.760332886950001</v>
      </c>
      <c r="H15">
        <f>H13/2304</f>
        <v>-4.1704394115017358</v>
      </c>
      <c r="I15">
        <f>I13/2304</f>
        <v>20.77819585950521</v>
      </c>
    </row>
    <row r="18" spans="1:23" x14ac:dyDescent="0.2">
      <c r="B18" t="s">
        <v>29</v>
      </c>
      <c r="J18" t="s">
        <v>30</v>
      </c>
      <c r="R18" t="s">
        <v>54</v>
      </c>
    </row>
    <row r="19" spans="1:23" x14ac:dyDescent="0.2">
      <c r="B19" t="s">
        <v>44</v>
      </c>
      <c r="D19" t="s">
        <v>45</v>
      </c>
      <c r="F19" t="s">
        <v>50</v>
      </c>
      <c r="J19" t="s">
        <v>44</v>
      </c>
      <c r="L19" t="s">
        <v>45</v>
      </c>
      <c r="N19" t="s">
        <v>50</v>
      </c>
      <c r="R19" t="s">
        <v>44</v>
      </c>
      <c r="T19" t="s">
        <v>45</v>
      </c>
      <c r="V19" t="s">
        <v>50</v>
      </c>
    </row>
    <row r="20" spans="1:23" x14ac:dyDescent="0.2">
      <c r="B20">
        <v>-8260.2141279999996</v>
      </c>
      <c r="C20">
        <v>43505.028058000004</v>
      </c>
      <c r="D20">
        <v>-8269.5334590000002</v>
      </c>
      <c r="E20">
        <v>43540.231050000002</v>
      </c>
      <c r="F20">
        <v>-8263.9082230000004</v>
      </c>
      <c r="G20">
        <v>43525.457774000002</v>
      </c>
      <c r="J20">
        <v>-13643.797887999999</v>
      </c>
      <c r="K20">
        <v>31517.049937</v>
      </c>
      <c r="L20">
        <v>-13654.157321000001</v>
      </c>
      <c r="M20">
        <v>31545.550412000001</v>
      </c>
      <c r="N20">
        <v>-13644.251581</v>
      </c>
      <c r="O20">
        <v>31542.786359000002</v>
      </c>
      <c r="R20">
        <v>-9603.6956750000008</v>
      </c>
      <c r="S20">
        <v>47864.141336000001</v>
      </c>
      <c r="T20">
        <v>-9610.3802959999994</v>
      </c>
      <c r="U20">
        <v>47898.243559000002</v>
      </c>
      <c r="V20">
        <v>-9604.4427599999999</v>
      </c>
      <c r="W20">
        <v>47893.000642999999</v>
      </c>
    </row>
    <row r="21" spans="1:23" x14ac:dyDescent="0.2">
      <c r="B21">
        <v>-8260.6776630000004</v>
      </c>
      <c r="C21">
        <v>43508.360240000002</v>
      </c>
      <c r="D21">
        <v>-8269.9276260000006</v>
      </c>
      <c r="E21">
        <v>43531.710068</v>
      </c>
      <c r="F21">
        <v>-8264.1952669999991</v>
      </c>
      <c r="G21">
        <v>43517.256984</v>
      </c>
      <c r="J21">
        <v>-13643.859839999999</v>
      </c>
      <c r="K21">
        <v>31516.838272000001</v>
      </c>
      <c r="L21">
        <v>-13654.352623000001</v>
      </c>
      <c r="M21">
        <v>31544.862875999999</v>
      </c>
      <c r="N21">
        <v>-13644.339980999999</v>
      </c>
      <c r="O21">
        <v>31542.138020999999</v>
      </c>
      <c r="R21">
        <v>-9603.0646840000009</v>
      </c>
      <c r="S21">
        <v>47864.202124000003</v>
      </c>
      <c r="T21">
        <v>-9610.0786929999995</v>
      </c>
      <c r="U21">
        <v>47900.070901999999</v>
      </c>
      <c r="V21">
        <v>-9604.3477239999993</v>
      </c>
      <c r="W21">
        <v>47892.340181</v>
      </c>
    </row>
    <row r="22" spans="1:23" x14ac:dyDescent="0.2">
      <c r="B22">
        <v>-8260.3704190000008</v>
      </c>
      <c r="C22">
        <v>43513.322956000004</v>
      </c>
      <c r="D22">
        <v>-8269.8578670000006</v>
      </c>
      <c r="E22">
        <v>43535.174960999997</v>
      </c>
      <c r="F22">
        <v>-8263.3948650000002</v>
      </c>
      <c r="G22">
        <v>43528.879295999999</v>
      </c>
      <c r="J22">
        <v>-13643.538186</v>
      </c>
      <c r="K22">
        <v>31517.710481999999</v>
      </c>
      <c r="L22">
        <v>-13654.438319000001</v>
      </c>
      <c r="M22">
        <v>31544.774433999999</v>
      </c>
      <c r="N22">
        <v>-13644.378492</v>
      </c>
      <c r="O22">
        <v>31542.213802999999</v>
      </c>
      <c r="R22">
        <v>-9603.4091759999992</v>
      </c>
      <c r="S22">
        <v>47864.204353000001</v>
      </c>
      <c r="T22">
        <v>-9610.5983070000002</v>
      </c>
      <c r="U22">
        <v>47896.865748999997</v>
      </c>
      <c r="V22">
        <v>-9604.4770640000006</v>
      </c>
      <c r="W22">
        <v>47893.853974999998</v>
      </c>
    </row>
    <row r="23" spans="1:23" x14ac:dyDescent="0.2">
      <c r="B23">
        <v>-8260.3305600000003</v>
      </c>
      <c r="C23">
        <v>43501.93619</v>
      </c>
      <c r="D23">
        <v>-8270.0131299999994</v>
      </c>
      <c r="E23">
        <v>43531.082444</v>
      </c>
      <c r="F23">
        <v>-8264.5036820000005</v>
      </c>
      <c r="G23">
        <v>43512.819817000003</v>
      </c>
      <c r="J23">
        <v>-13643.968724</v>
      </c>
      <c r="K23">
        <v>31516.510688999999</v>
      </c>
      <c r="L23">
        <v>-13654.065605</v>
      </c>
      <c r="M23">
        <v>31545.779350000001</v>
      </c>
      <c r="N23">
        <v>-13644.394725</v>
      </c>
      <c r="O23">
        <v>31542.290863999999</v>
      </c>
      <c r="R23">
        <v>-9602.7457240000003</v>
      </c>
      <c r="S23">
        <v>47867.530700000003</v>
      </c>
      <c r="T23">
        <v>-9609.9653300000009</v>
      </c>
      <c r="U23">
        <v>47900.627576999999</v>
      </c>
      <c r="V23">
        <v>-9604.8684929999999</v>
      </c>
      <c r="W23">
        <v>47891.216024000001</v>
      </c>
    </row>
    <row r="24" spans="1:23" x14ac:dyDescent="0.2">
      <c r="B24">
        <v>-8260.6311580000001</v>
      </c>
      <c r="C24">
        <v>43497.216429</v>
      </c>
      <c r="D24">
        <v>-8270.1310219999996</v>
      </c>
      <c r="E24">
        <v>43537.742998000002</v>
      </c>
      <c r="F24">
        <v>-8264.3974429999998</v>
      </c>
      <c r="G24">
        <v>43527.880036000002</v>
      </c>
      <c r="J24">
        <v>-13643.54242</v>
      </c>
      <c r="K24">
        <v>31517.903957999999</v>
      </c>
      <c r="L24">
        <v>-13654.324643</v>
      </c>
      <c r="M24">
        <v>31544.899527000001</v>
      </c>
      <c r="N24">
        <v>-13644.079121000001</v>
      </c>
      <c r="O24">
        <v>31543.04738</v>
      </c>
      <c r="R24">
        <v>-9602.8180979999997</v>
      </c>
      <c r="S24">
        <v>47864.850588000001</v>
      </c>
      <c r="T24">
        <v>-9610.5029159999995</v>
      </c>
      <c r="U24">
        <v>47898.346816999998</v>
      </c>
      <c r="V24">
        <v>-9604.465252</v>
      </c>
      <c r="W24">
        <v>47892.725794999998</v>
      </c>
    </row>
    <row r="25" spans="1:23" x14ac:dyDescent="0.2">
      <c r="B25">
        <v>-8260.6279439999998</v>
      </c>
      <c r="C25">
        <v>43514.678270999997</v>
      </c>
      <c r="D25">
        <v>-8269.6547059999994</v>
      </c>
      <c r="E25">
        <v>43536.516206</v>
      </c>
      <c r="F25">
        <v>-8263.9097509999992</v>
      </c>
      <c r="G25">
        <v>43526.832938</v>
      </c>
      <c r="J25">
        <v>-13643.610683999999</v>
      </c>
      <c r="K25">
        <v>31517.746389</v>
      </c>
      <c r="L25">
        <v>-13653.924675</v>
      </c>
      <c r="M25">
        <v>31546.399815000001</v>
      </c>
      <c r="N25">
        <v>-13644.302033</v>
      </c>
      <c r="O25">
        <v>31542.253110000001</v>
      </c>
      <c r="R25">
        <v>-9603.1798799999997</v>
      </c>
      <c r="S25">
        <v>47864.749960000001</v>
      </c>
      <c r="T25">
        <v>-9610.9058999999997</v>
      </c>
      <c r="U25">
        <v>47898.115495999999</v>
      </c>
      <c r="V25">
        <v>-9605.0802729999996</v>
      </c>
      <c r="W25">
        <v>47889.042566999997</v>
      </c>
    </row>
    <row r="26" spans="1:23" x14ac:dyDescent="0.2">
      <c r="B26">
        <v>-8260.4505329999993</v>
      </c>
      <c r="C26">
        <v>43508.517083999999</v>
      </c>
      <c r="D26">
        <v>-8269.5295740000001</v>
      </c>
      <c r="E26">
        <v>43533.570651000002</v>
      </c>
      <c r="F26">
        <v>-8263.6662240000005</v>
      </c>
      <c r="G26">
        <v>43527.383972000003</v>
      </c>
      <c r="J26">
        <v>-13643.803357999999</v>
      </c>
      <c r="K26">
        <v>31516.899810999999</v>
      </c>
      <c r="L26">
        <v>-13654.038388999999</v>
      </c>
      <c r="M26">
        <v>31545.833105999998</v>
      </c>
      <c r="N26">
        <v>-13644.323769000001</v>
      </c>
      <c r="O26">
        <v>31542.127775000001</v>
      </c>
      <c r="R26">
        <v>-9603.5708209999993</v>
      </c>
      <c r="S26">
        <v>47863.315343000002</v>
      </c>
      <c r="T26">
        <v>-9610.6052120000004</v>
      </c>
      <c r="U26">
        <v>47899.515380999997</v>
      </c>
      <c r="V26">
        <v>-9605.6407770000005</v>
      </c>
      <c r="W26">
        <v>47891.143580000004</v>
      </c>
    </row>
    <row r="27" spans="1:23" x14ac:dyDescent="0.2">
      <c r="B27">
        <v>-8260.6017960000008</v>
      </c>
      <c r="C27">
        <v>43506.525729000001</v>
      </c>
      <c r="D27">
        <v>-8270.4546009999995</v>
      </c>
      <c r="E27">
        <v>43537.714939999998</v>
      </c>
      <c r="F27">
        <v>-8263.4206059999997</v>
      </c>
      <c r="G27">
        <v>43527.637738999998</v>
      </c>
      <c r="J27">
        <v>-13643.874808</v>
      </c>
      <c r="K27">
        <v>31516.822726999999</v>
      </c>
      <c r="L27">
        <v>-13654.195828</v>
      </c>
      <c r="M27">
        <v>31545.338507</v>
      </c>
      <c r="N27">
        <v>-13644.278077999999</v>
      </c>
      <c r="O27">
        <v>31542.428833999998</v>
      </c>
      <c r="R27">
        <v>-9603.2546189999994</v>
      </c>
      <c r="S27">
        <v>47864.734988999997</v>
      </c>
      <c r="T27">
        <v>-9610.2893170000007</v>
      </c>
      <c r="U27">
        <v>47899.125889000003</v>
      </c>
      <c r="V27">
        <v>-9604.9548429999995</v>
      </c>
      <c r="W27">
        <v>47891.011495999999</v>
      </c>
    </row>
    <row r="28" spans="1:23" x14ac:dyDescent="0.2">
      <c r="B28">
        <v>-8260.8178860000007</v>
      </c>
      <c r="C28">
        <v>43508.550995999998</v>
      </c>
      <c r="D28">
        <v>-8269.9675810000008</v>
      </c>
      <c r="E28">
        <v>43532.936487999999</v>
      </c>
      <c r="F28">
        <v>-8263.6552819999997</v>
      </c>
      <c r="G28">
        <v>43517.511281999999</v>
      </c>
      <c r="J28">
        <v>-13643.738405</v>
      </c>
      <c r="K28">
        <v>31517.469529000002</v>
      </c>
      <c r="L28">
        <v>-13653.985849000001</v>
      </c>
      <c r="M28">
        <v>31546.241109999999</v>
      </c>
      <c r="N28">
        <v>-13644.382836999999</v>
      </c>
      <c r="O28">
        <v>31542.110961999999</v>
      </c>
      <c r="R28">
        <v>-9603.0838079999994</v>
      </c>
      <c r="S28">
        <v>47866.448185000001</v>
      </c>
      <c r="T28">
        <v>-9610.5730650000005</v>
      </c>
      <c r="U28">
        <v>47898.667410000002</v>
      </c>
      <c r="V28">
        <v>-9604.4461599999995</v>
      </c>
      <c r="W28">
        <v>47891.756963</v>
      </c>
    </row>
    <row r="29" spans="1:23" x14ac:dyDescent="0.2">
      <c r="B29">
        <v>-8260.1787120000008</v>
      </c>
      <c r="C29">
        <v>43512.212835999999</v>
      </c>
      <c r="D29">
        <v>-8269.6491779999997</v>
      </c>
      <c r="E29">
        <v>43543.861443000002</v>
      </c>
      <c r="F29">
        <v>-8263.6684029999997</v>
      </c>
      <c r="G29">
        <v>43527.860739999996</v>
      </c>
      <c r="J29">
        <v>-13643.683082</v>
      </c>
      <c r="K29">
        <v>31517.247490000002</v>
      </c>
      <c r="L29">
        <v>-13654.183010999999</v>
      </c>
      <c r="M29">
        <v>31545.508906999999</v>
      </c>
      <c r="N29">
        <v>-13644.762436999999</v>
      </c>
      <c r="O29">
        <v>31540.962500000001</v>
      </c>
      <c r="R29">
        <v>-9604.0761660000007</v>
      </c>
      <c r="S29">
        <v>47862.834787</v>
      </c>
      <c r="T29">
        <v>-9609.8650990000006</v>
      </c>
      <c r="U29">
        <v>47899.719955</v>
      </c>
      <c r="V29">
        <v>-9605.1448099999998</v>
      </c>
      <c r="W29">
        <v>47891.547702000003</v>
      </c>
    </row>
    <row r="30" spans="1:23" x14ac:dyDescent="0.2">
      <c r="A30" t="s">
        <v>47</v>
      </c>
      <c r="B30">
        <f t="shared" ref="B30:G30" si="3">AVERAGE(B20:B29)</f>
        <v>-8260.4900799000025</v>
      </c>
      <c r="C30">
        <f t="shared" si="3"/>
        <v>43507.634878900004</v>
      </c>
      <c r="D30">
        <f t="shared" si="3"/>
        <v>-8269.8718744000016</v>
      </c>
      <c r="E30">
        <f t="shared" si="3"/>
        <v>43536.054124900002</v>
      </c>
      <c r="F30">
        <f t="shared" si="3"/>
        <v>-8263.8719746000006</v>
      </c>
      <c r="G30">
        <f t="shared" si="3"/>
        <v>43523.952057799994</v>
      </c>
      <c r="I30" t="s">
        <v>47</v>
      </c>
      <c r="J30">
        <f t="shared" ref="J30:O30" si="4">AVERAGE(J20:J29)</f>
        <v>-13643.741739499999</v>
      </c>
      <c r="K30">
        <f t="shared" si="4"/>
        <v>31517.219928399998</v>
      </c>
      <c r="L30">
        <f t="shared" si="4"/>
        <v>-13654.166626299999</v>
      </c>
      <c r="M30">
        <f t="shared" si="4"/>
        <v>31545.518804400002</v>
      </c>
      <c r="N30">
        <f t="shared" si="4"/>
        <v>-13644.349305399999</v>
      </c>
      <c r="O30">
        <f t="shared" si="4"/>
        <v>31542.235960799997</v>
      </c>
      <c r="Q30" t="s">
        <v>47</v>
      </c>
      <c r="R30">
        <f t="shared" ref="R30:W30" si="5">AVERAGE(R20:R29)</f>
        <v>-9603.2898650999996</v>
      </c>
      <c r="S30">
        <f t="shared" si="5"/>
        <v>47864.701236499997</v>
      </c>
      <c r="T30">
        <f t="shared" si="5"/>
        <v>-9610.3764135000001</v>
      </c>
      <c r="U30">
        <f t="shared" si="5"/>
        <v>47898.929873499997</v>
      </c>
      <c r="V30">
        <f t="shared" si="5"/>
        <v>-9604.7868156000004</v>
      </c>
      <c r="W30">
        <f t="shared" si="5"/>
        <v>47891.763892600007</v>
      </c>
    </row>
    <row r="31" spans="1:23" x14ac:dyDescent="0.2">
      <c r="A31" t="s">
        <v>48</v>
      </c>
      <c r="B31">
        <f t="shared" ref="B31:G31" si="6">STDEV(B20:B29)/SQRT(COUNT(B20:B29))</f>
        <v>6.7368224707298682E-2</v>
      </c>
      <c r="C31">
        <f t="shared" si="6"/>
        <v>1.680310394233423</v>
      </c>
      <c r="D31">
        <f t="shared" si="6"/>
        <v>9.235171070025687E-2</v>
      </c>
      <c r="E31">
        <f t="shared" si="6"/>
        <v>1.2669899159032942</v>
      </c>
      <c r="F31">
        <f t="shared" si="6"/>
        <v>0.12222601239372505</v>
      </c>
      <c r="G31">
        <f t="shared" si="6"/>
        <v>1.8292311981574554</v>
      </c>
      <c r="I31" t="s">
        <v>48</v>
      </c>
      <c r="J31">
        <f t="shared" ref="J31:O31" si="7">STDEV(J20:J29)/SQRT(COUNT(J20:J29))</f>
        <v>4.6177924782157286E-2</v>
      </c>
      <c r="K31">
        <f t="shared" si="7"/>
        <v>0.14857035389220385</v>
      </c>
      <c r="L31">
        <f t="shared" si="7"/>
        <v>5.2963271481344484E-2</v>
      </c>
      <c r="M31">
        <f t="shared" si="7"/>
        <v>0.17845050886792932</v>
      </c>
      <c r="N31">
        <f t="shared" si="7"/>
        <v>5.4294835812492157E-2</v>
      </c>
      <c r="O31">
        <f t="shared" si="7"/>
        <v>0.17194838609895746</v>
      </c>
      <c r="Q31" t="s">
        <v>48</v>
      </c>
      <c r="R31">
        <f t="shared" ref="R31:W31" si="8">STDEV(R20:R29)/SQRT(COUNT(R20:R29))</f>
        <v>0.12915455376666823</v>
      </c>
      <c r="S31">
        <f t="shared" si="8"/>
        <v>0.43839785887907179</v>
      </c>
      <c r="T31">
        <f t="shared" si="8"/>
        <v>0.10345619898216946</v>
      </c>
      <c r="U31">
        <f t="shared" si="8"/>
        <v>0.34949651603912008</v>
      </c>
      <c r="V31">
        <f t="shared" si="8"/>
        <v>0.1335416224336648</v>
      </c>
      <c r="W31">
        <f t="shared" si="8"/>
        <v>0.41977253525855296</v>
      </c>
    </row>
    <row r="32" spans="1:23" x14ac:dyDescent="0.2">
      <c r="A32" t="s">
        <v>12</v>
      </c>
      <c r="B32">
        <f>B30-1999*$B$15</f>
        <v>1.6721967877965653</v>
      </c>
      <c r="D32">
        <f>D30-2001*$B$15</f>
        <v>0.55669771219800168</v>
      </c>
      <c r="F32">
        <f>F30-$B$13</f>
        <v>2.423449799998707</v>
      </c>
      <c r="I32" t="s">
        <v>12</v>
      </c>
      <c r="J32">
        <f>J30-1999*$E$15</f>
        <v>2.9502249380984722</v>
      </c>
      <c r="L32">
        <f>L30-2001*$E$15</f>
        <v>6.1788568618994759</v>
      </c>
      <c r="N32">
        <f>N30-$E$13</f>
        <v>9.1694183999989036</v>
      </c>
      <c r="Q32" t="s">
        <v>12</v>
      </c>
      <c r="R32">
        <f>R30-2303*$H$15</f>
        <v>1.2320995884983859</v>
      </c>
      <c r="T32">
        <f>T30-2305*$H$15</f>
        <v>2.486430011500488</v>
      </c>
      <c r="V32">
        <f>V30-$H$13</f>
        <v>3.9055884999997943</v>
      </c>
    </row>
    <row r="33" spans="1:23" x14ac:dyDescent="0.2">
      <c r="A33" t="s">
        <v>42</v>
      </c>
      <c r="C33">
        <f>C30-$C$13</f>
        <v>-14.901613899994118</v>
      </c>
      <c r="E33">
        <f>E30-$C$13</f>
        <v>13.517632100003539</v>
      </c>
      <c r="G33">
        <f>G30-$C$13</f>
        <v>1.415564999995695</v>
      </c>
      <c r="I33" t="s">
        <v>42</v>
      </c>
      <c r="K33">
        <f>K30-$F$13</f>
        <v>-3.4458455000058166</v>
      </c>
      <c r="M33">
        <f>M30-$F$13</f>
        <v>24.853030499998567</v>
      </c>
      <c r="O33">
        <f>O30-$F$13</f>
        <v>21.570186899993132</v>
      </c>
      <c r="Q33" t="s">
        <v>42</v>
      </c>
      <c r="S33">
        <f>S30-$I$13</f>
        <v>-8.2620238000090467</v>
      </c>
      <c r="U33">
        <f>U30-$I$13</f>
        <v>25.966613199991116</v>
      </c>
      <c r="W33">
        <f>W30-$I$13</f>
        <v>18.800632300000871</v>
      </c>
    </row>
    <row r="34" spans="1:23" x14ac:dyDescent="0.2">
      <c r="A34" t="s">
        <v>51</v>
      </c>
      <c r="C34" s="1">
        <f>C33+C15</f>
        <v>6.8596543464058826</v>
      </c>
      <c r="E34">
        <f>E33+C33</f>
        <v>-1.383981799990579</v>
      </c>
      <c r="G34">
        <f>G31+C14</f>
        <v>3.5240387056532443</v>
      </c>
      <c r="I34" t="s">
        <v>51</v>
      </c>
      <c r="K34" s="1">
        <f>K33+F15</f>
        <v>12.314487386944185</v>
      </c>
      <c r="M34">
        <f>M33+K33</f>
        <v>21.407184999992751</v>
      </c>
      <c r="O34">
        <f>O31+F14</f>
        <v>0.27366588920480583</v>
      </c>
      <c r="Q34" t="s">
        <v>51</v>
      </c>
      <c r="S34" s="1">
        <f>S33+I15</f>
        <v>12.516172059496164</v>
      </c>
      <c r="U34">
        <f>U33+S33</f>
        <v>17.704589399982069</v>
      </c>
    </row>
    <row r="35" spans="1:23" x14ac:dyDescent="0.2">
      <c r="C35">
        <f>C34/2000</f>
        <v>3.4298271732029414E-3</v>
      </c>
      <c r="K35">
        <f>K34/2000</f>
        <v>6.1572436934720929E-3</v>
      </c>
      <c r="S35">
        <f>S34/4800</f>
        <v>2.6075358457283673E-3</v>
      </c>
      <c r="U35">
        <f>U34/4800</f>
        <v>3.6884561249962643E-3</v>
      </c>
    </row>
    <row r="36" spans="1:23" x14ac:dyDescent="0.2">
      <c r="B36" t="s">
        <v>16</v>
      </c>
    </row>
    <row r="37" spans="1:23" x14ac:dyDescent="0.2">
      <c r="B37" t="s">
        <v>44</v>
      </c>
      <c r="D37" t="s">
        <v>12</v>
      </c>
      <c r="E37" t="s">
        <v>42</v>
      </c>
      <c r="F37" t="s">
        <v>45</v>
      </c>
      <c r="H37" t="s">
        <v>12</v>
      </c>
      <c r="I37" t="s">
        <v>42</v>
      </c>
      <c r="J37" t="s">
        <v>50</v>
      </c>
      <c r="L37" t="s">
        <v>12</v>
      </c>
      <c r="M37" t="s">
        <v>42</v>
      </c>
    </row>
    <row r="38" spans="1:23" x14ac:dyDescent="0.2">
      <c r="B38">
        <v>-9381.2559469999997</v>
      </c>
      <c r="C38">
        <v>39424.511345999999</v>
      </c>
      <c r="D38">
        <f>B38-1999/2000*K3</f>
        <v>1.0443061250007304</v>
      </c>
      <c r="E38">
        <f>C38-L3</f>
        <v>-10.249951999998302</v>
      </c>
      <c r="F38">
        <v>-9390.2597170000008</v>
      </c>
      <c r="G38">
        <v>39450.543694</v>
      </c>
      <c r="H38">
        <f t="shared" ref="H38:H47" si="9">F38-2001/2000*K3</f>
        <v>1.427529874998072</v>
      </c>
      <c r="I38">
        <f t="shared" ref="I38:I47" si="10">G38-L3</f>
        <v>15.782396000002336</v>
      </c>
      <c r="J38">
        <v>-9384.5901369999992</v>
      </c>
      <c r="K38">
        <v>39448.334062000002</v>
      </c>
      <c r="L38">
        <f t="shared" ref="L38:L47" si="11">J38-K3</f>
        <v>2.403613000000405</v>
      </c>
      <c r="M38">
        <f t="shared" ref="M38:M47" si="12">K38-L3</f>
        <v>13.572764000004099</v>
      </c>
      <c r="Q38" t="s">
        <v>29</v>
      </c>
      <c r="R38" t="s">
        <v>30</v>
      </c>
      <c r="S38" t="s">
        <v>46</v>
      </c>
    </row>
    <row r="39" spans="1:23" x14ac:dyDescent="0.2">
      <c r="B39">
        <v>-9375.7940749999998</v>
      </c>
      <c r="C39">
        <v>39464.742534999998</v>
      </c>
      <c r="D39">
        <f t="shared" ref="D39:D47" si="13">B39-1999/2000*K4</f>
        <v>0.93728396500046074</v>
      </c>
      <c r="E39">
        <f t="shared" ref="E39:E46" si="14">C39-L4</f>
        <v>-5.0698269999993499</v>
      </c>
      <c r="F39">
        <v>-9385.1361539999998</v>
      </c>
      <c r="G39">
        <v>39488.863201</v>
      </c>
      <c r="H39">
        <f t="shared" si="9"/>
        <v>0.97662703500100179</v>
      </c>
      <c r="I39">
        <f t="shared" si="10"/>
        <v>19.05083900000318</v>
      </c>
      <c r="J39">
        <v>-9379.6737090000006</v>
      </c>
      <c r="K39">
        <v>39483.552791000002</v>
      </c>
      <c r="L39">
        <f t="shared" si="11"/>
        <v>1.7483609999999317</v>
      </c>
      <c r="M39">
        <f t="shared" si="12"/>
        <v>13.740429000004951</v>
      </c>
      <c r="P39" t="s">
        <v>52</v>
      </c>
      <c r="Q39">
        <v>5.5143335999891896</v>
      </c>
      <c r="R39">
        <v>21.537332699994295</v>
      </c>
      <c r="S39">
        <v>28.99428660000558</v>
      </c>
    </row>
    <row r="40" spans="1:23" x14ac:dyDescent="0.2">
      <c r="B40">
        <v>-9352.8043539999999</v>
      </c>
      <c r="C40">
        <v>39548.289902999997</v>
      </c>
      <c r="D40">
        <f t="shared" si="13"/>
        <v>1.4273134385002777</v>
      </c>
      <c r="E40">
        <f t="shared" si="14"/>
        <v>-17.334091000004264</v>
      </c>
      <c r="F40">
        <v>-9361.8556829999998</v>
      </c>
      <c r="G40">
        <v>39584.121591000003</v>
      </c>
      <c r="H40">
        <f t="shared" si="9"/>
        <v>1.7348955614997976</v>
      </c>
      <c r="I40">
        <f t="shared" si="10"/>
        <v>18.497597000001406</v>
      </c>
      <c r="J40">
        <v>-9356.3007240000006</v>
      </c>
      <c r="K40">
        <v>39571.46355</v>
      </c>
      <c r="L40">
        <f t="shared" si="11"/>
        <v>2.6103989999992336</v>
      </c>
      <c r="M40">
        <f t="shared" si="12"/>
        <v>5.8395559999989928</v>
      </c>
      <c r="P40" t="s">
        <v>53</v>
      </c>
      <c r="Q40">
        <v>2.2230894092077342</v>
      </c>
      <c r="R40">
        <v>0.59494283735602282</v>
      </c>
      <c r="S40">
        <v>2.7541228993743463</v>
      </c>
    </row>
    <row r="41" spans="1:23" x14ac:dyDescent="0.2">
      <c r="B41">
        <v>-9395.4786260000001</v>
      </c>
      <c r="C41">
        <v>39418.574202000003</v>
      </c>
      <c r="D41">
        <f t="shared" si="13"/>
        <v>1.1463421845000994</v>
      </c>
      <c r="E41">
        <f t="shared" si="14"/>
        <v>-12.845466999999189</v>
      </c>
      <c r="F41">
        <v>-9404.2794310000008</v>
      </c>
      <c r="G41">
        <v>39461.401021999998</v>
      </c>
      <c r="H41">
        <f t="shared" si="9"/>
        <v>1.746862815498389</v>
      </c>
      <c r="I41">
        <f t="shared" si="10"/>
        <v>29.981352999995579</v>
      </c>
      <c r="J41">
        <v>-9399.123227</v>
      </c>
      <c r="K41">
        <v>39436.501925999997</v>
      </c>
      <c r="L41">
        <v>-1.069885</v>
      </c>
      <c r="M41">
        <f t="shared" si="12"/>
        <v>5.0822569999945699</v>
      </c>
    </row>
    <row r="42" spans="1:23" x14ac:dyDescent="0.2">
      <c r="B42">
        <v>-9390.4953459999997</v>
      </c>
      <c r="C42">
        <v>39422.218524999997</v>
      </c>
      <c r="D42">
        <f t="shared" si="13"/>
        <v>0.71027421399958257</v>
      </c>
      <c r="E42">
        <f t="shared" si="14"/>
        <v>-6.797831000003498</v>
      </c>
      <c r="F42">
        <v>-9399.0931779999992</v>
      </c>
      <c r="G42">
        <v>39455.09072</v>
      </c>
      <c r="H42">
        <f t="shared" si="9"/>
        <v>1.5083457860000635</v>
      </c>
      <c r="I42">
        <f t="shared" si="10"/>
        <v>26.07436400000006</v>
      </c>
      <c r="J42">
        <v>-9394.0551479999995</v>
      </c>
      <c r="K42">
        <v>39452.295982000003</v>
      </c>
      <c r="L42">
        <f t="shared" si="11"/>
        <v>1.8484239999997953</v>
      </c>
      <c r="M42">
        <f t="shared" si="12"/>
        <v>23.279626000003191</v>
      </c>
    </row>
    <row r="43" spans="1:23" x14ac:dyDescent="0.2">
      <c r="B43">
        <v>-9386.8959560000003</v>
      </c>
      <c r="C43">
        <v>39430.703750000001</v>
      </c>
      <c r="D43">
        <f t="shared" si="13"/>
        <v>0.50568915300027584</v>
      </c>
      <c r="E43">
        <f t="shared" si="14"/>
        <v>-11.041649999999208</v>
      </c>
      <c r="F43">
        <v>-9395.9642220000005</v>
      </c>
      <c r="G43">
        <v>39458.902996999997</v>
      </c>
      <c r="H43">
        <f t="shared" si="9"/>
        <v>0.82952084699900297</v>
      </c>
      <c r="I43">
        <f t="shared" si="10"/>
        <v>17.157596999997622</v>
      </c>
      <c r="J43">
        <v>-9390.4103809999997</v>
      </c>
      <c r="K43">
        <v>39453.894623</v>
      </c>
      <c r="L43">
        <f t="shared" si="11"/>
        <v>1.6873130000003584</v>
      </c>
      <c r="M43">
        <f t="shared" si="12"/>
        <v>12.149223000000347</v>
      </c>
    </row>
    <row r="44" spans="1:23" x14ac:dyDescent="0.2">
      <c r="B44">
        <v>-9494.2686119999998</v>
      </c>
      <c r="C44">
        <v>39160.659684999999</v>
      </c>
      <c r="D44">
        <f t="shared" si="13"/>
        <v>0.25070552400029555</v>
      </c>
      <c r="E44">
        <f t="shared" si="14"/>
        <v>-4.5361610000036308</v>
      </c>
      <c r="F44">
        <v>-9502.8252929999999</v>
      </c>
      <c r="G44">
        <v>39188.417055999998</v>
      </c>
      <c r="H44">
        <f t="shared" si="9"/>
        <v>1.1932934760006901</v>
      </c>
      <c r="I44">
        <f t="shared" si="10"/>
        <v>23.221209999996063</v>
      </c>
      <c r="J44">
        <v>-9496.7615079999996</v>
      </c>
      <c r="K44">
        <v>39184.148191</v>
      </c>
      <c r="L44">
        <f t="shared" si="11"/>
        <v>2.5074440000007598</v>
      </c>
      <c r="M44">
        <f t="shared" si="12"/>
        <v>18.952344999997877</v>
      </c>
    </row>
    <row r="45" spans="1:23" x14ac:dyDescent="0.2">
      <c r="B45">
        <v>-9411.9240069999996</v>
      </c>
      <c r="C45">
        <v>39368.712181000003</v>
      </c>
      <c r="D45">
        <f t="shared" si="13"/>
        <v>0.53962089300148364</v>
      </c>
      <c r="E45">
        <f t="shared" si="14"/>
        <v>-12.328192999993917</v>
      </c>
      <c r="F45">
        <v>-9420.4427140000007</v>
      </c>
      <c r="G45">
        <v>39400.8344</v>
      </c>
      <c r="H45">
        <f t="shared" si="9"/>
        <v>1.4380861069985258</v>
      </c>
      <c r="I45">
        <f t="shared" si="10"/>
        <v>19.794026000003214</v>
      </c>
      <c r="J45">
        <v>-9415.1814969999996</v>
      </c>
      <c r="K45">
        <v>39384.871705999998</v>
      </c>
      <c r="L45">
        <f t="shared" si="11"/>
        <v>1.9907170000005863</v>
      </c>
      <c r="M45">
        <f t="shared" si="12"/>
        <v>3.8313320000015665</v>
      </c>
    </row>
    <row r="46" spans="1:23" x14ac:dyDescent="0.2">
      <c r="B46">
        <v>-9428.0247340000005</v>
      </c>
      <c r="C46">
        <v>39331.090902000004</v>
      </c>
      <c r="D46">
        <f t="shared" si="13"/>
        <v>0.32885393849937827</v>
      </c>
      <c r="E46">
        <f t="shared" si="14"/>
        <v>-6.7955829999991693</v>
      </c>
      <c r="F46">
        <v>-9436.4522689999994</v>
      </c>
      <c r="G46">
        <v>39361.499194000004</v>
      </c>
      <c r="H46">
        <f t="shared" si="9"/>
        <v>1.3343890614996781</v>
      </c>
      <c r="I46">
        <f t="shared" si="10"/>
        <v>23.612709000000905</v>
      </c>
      <c r="J46">
        <v>-9431.0952880000004</v>
      </c>
      <c r="K46">
        <v>39352.648103</v>
      </c>
      <c r="L46">
        <f t="shared" si="11"/>
        <v>1.9748349999990751</v>
      </c>
      <c r="M46">
        <f t="shared" si="12"/>
        <v>14.761617999996815</v>
      </c>
    </row>
    <row r="47" spans="1:23" x14ac:dyDescent="0.2">
      <c r="B47">
        <v>-9339.4417900000008</v>
      </c>
      <c r="C47">
        <v>39542.685642999997</v>
      </c>
      <c r="D47">
        <f t="shared" si="13"/>
        <v>1.0832291909991909</v>
      </c>
      <c r="E47">
        <f>C47-L12</f>
        <v>-13.5787679999994</v>
      </c>
      <c r="F47">
        <v>-9349.0822270000008</v>
      </c>
      <c r="G47">
        <v>39575.699870999997</v>
      </c>
      <c r="H47">
        <f t="shared" si="9"/>
        <v>0.78798980899955495</v>
      </c>
      <c r="I47">
        <f t="shared" si="10"/>
        <v>19.435460000000603</v>
      </c>
      <c r="J47">
        <v>-9343.7473429999991</v>
      </c>
      <c r="K47">
        <v>39570.028972</v>
      </c>
      <c r="L47">
        <f t="shared" si="11"/>
        <v>1.4502750000010565</v>
      </c>
      <c r="M47">
        <f t="shared" si="12"/>
        <v>13.764561000003596</v>
      </c>
    </row>
    <row r="48" spans="1:23" x14ac:dyDescent="0.2">
      <c r="A48" t="s">
        <v>47</v>
      </c>
      <c r="B48">
        <f t="shared" ref="B48:G48" si="15">AVERAGE(B38:B47)</f>
        <v>-9395.6383446999989</v>
      </c>
      <c r="C48">
        <f t="shared" si="15"/>
        <v>39411.218867200005</v>
      </c>
      <c r="D48">
        <f t="shared" si="15"/>
        <v>0.7973618626501775</v>
      </c>
      <c r="E48">
        <f t="shared" si="15"/>
        <v>-10.057752299999994</v>
      </c>
      <c r="F48">
        <f t="shared" si="15"/>
        <v>-9404.5390888000002</v>
      </c>
      <c r="G48">
        <f t="shared" si="15"/>
        <v>39442.537374599997</v>
      </c>
      <c r="H48">
        <f t="shared" ref="H48:M48" si="16">AVERAGE(H38:H47)</f>
        <v>1.2977540373494776</v>
      </c>
      <c r="I48">
        <f t="shared" si="16"/>
        <v>21.260755100000097</v>
      </c>
      <c r="J48">
        <f t="shared" si="16"/>
        <v>-9399.0938962</v>
      </c>
      <c r="K48">
        <f t="shared" si="16"/>
        <v>39433.773990600006</v>
      </c>
      <c r="L48">
        <f t="shared" si="16"/>
        <v>1.7151496000001203</v>
      </c>
      <c r="M48">
        <f t="shared" si="16"/>
        <v>12.497371100000601</v>
      </c>
    </row>
    <row r="49" spans="1:21" x14ac:dyDescent="0.2">
      <c r="A49" t="s">
        <v>48</v>
      </c>
      <c r="D49">
        <f>STDEV(D38:D47)/SQRT(COUNT(D38:D47))</f>
        <v>0.12285160465290929</v>
      </c>
      <c r="E49">
        <f>STDEV(E38:E47)/SQRT(COUNT(E38:E47))</f>
        <v>1.316181812723483</v>
      </c>
      <c r="H49">
        <f>STDEV(H38:H47)/SQRT(COUNT(H38:H47))</f>
        <v>0.10894207042256945</v>
      </c>
      <c r="I49">
        <f>STDEV(I38:I47)/SQRT(COUNT(I38:I47))</f>
        <v>1.3882235733716572</v>
      </c>
      <c r="L49">
        <f>STDEV(L38:L47)/SQRT(COUNT(L38:L47))</f>
        <v>0.33154141475058907</v>
      </c>
      <c r="M49">
        <f>STDEV(M38:M47)/SQRT(COUNT(M38:M47))</f>
        <v>1.9490448249830608</v>
      </c>
    </row>
    <row r="50" spans="1:21" x14ac:dyDescent="0.2">
      <c r="E50" s="1"/>
      <c r="I50">
        <f>I48+E48</f>
        <v>11.203002800000103</v>
      </c>
    </row>
    <row r="52" spans="1:21" x14ac:dyDescent="0.2">
      <c r="B52" t="s">
        <v>63</v>
      </c>
      <c r="H52" t="s">
        <v>66</v>
      </c>
      <c r="J52" t="s">
        <v>30</v>
      </c>
    </row>
    <row r="53" spans="1:21" x14ac:dyDescent="0.2">
      <c r="B53" t="s">
        <v>5</v>
      </c>
      <c r="C53" t="s">
        <v>7</v>
      </c>
      <c r="D53" t="s">
        <v>12</v>
      </c>
      <c r="E53" t="s">
        <v>42</v>
      </c>
      <c r="H53" t="s">
        <v>30</v>
      </c>
      <c r="J53" t="s">
        <v>44</v>
      </c>
      <c r="L53" t="s">
        <v>45</v>
      </c>
      <c r="N53" t="s">
        <v>50</v>
      </c>
      <c r="R53" t="s">
        <v>30</v>
      </c>
      <c r="S53" t="s">
        <v>44</v>
      </c>
      <c r="T53" t="s">
        <v>45</v>
      </c>
      <c r="U53" t="s">
        <v>50</v>
      </c>
    </row>
    <row r="54" spans="1:21" x14ac:dyDescent="0.2">
      <c r="A54" t="s">
        <v>16</v>
      </c>
      <c r="B54">
        <v>-9534.642715</v>
      </c>
      <c r="C54">
        <v>39043.511190999998</v>
      </c>
      <c r="H54">
        <v>-55925.211430000003</v>
      </c>
      <c r="I54">
        <v>129106.93793</v>
      </c>
      <c r="J54">
        <v>-55914.939185000003</v>
      </c>
      <c r="K54">
        <v>129105.113287</v>
      </c>
      <c r="L54">
        <v>-55925.356693000002</v>
      </c>
      <c r="M54">
        <v>129133.353502</v>
      </c>
      <c r="N54">
        <v>-55915.599639</v>
      </c>
      <c r="O54">
        <v>129129.99451</v>
      </c>
      <c r="Q54" t="s">
        <v>12</v>
      </c>
      <c r="R54">
        <v>-6.8267579941528327</v>
      </c>
      <c r="S54">
        <v>2.9271480058596353</v>
      </c>
      <c r="T54">
        <v>6.3027293941559037</v>
      </c>
      <c r="U54">
        <v>9.1794026000061422</v>
      </c>
    </row>
    <row r="55" spans="1:21" x14ac:dyDescent="0.2">
      <c r="A55" t="s">
        <v>43</v>
      </c>
      <c r="B55">
        <v>-9526.7218429999994</v>
      </c>
      <c r="C55">
        <v>38970.364142999999</v>
      </c>
      <c r="D55">
        <f>B55-(1999/2000)*B$54</f>
        <v>3.1535506425007043</v>
      </c>
      <c r="E55">
        <f>C55-C$54</f>
        <v>-73.147047999998904</v>
      </c>
      <c r="H55">
        <v>-55924.919872999999</v>
      </c>
      <c r="I55">
        <v>129108.001221</v>
      </c>
      <c r="J55">
        <v>-55915.439863</v>
      </c>
      <c r="K55">
        <v>129103.479901</v>
      </c>
      <c r="L55">
        <v>-55925.421203999998</v>
      </c>
      <c r="M55">
        <v>129133.171275</v>
      </c>
      <c r="N55">
        <v>-55915.504169</v>
      </c>
      <c r="O55">
        <v>129130.931346</v>
      </c>
      <c r="Q55" t="s">
        <v>7</v>
      </c>
      <c r="R55">
        <v>129108.3719461</v>
      </c>
      <c r="S55">
        <v>129104.83839740002</v>
      </c>
      <c r="T55">
        <v>129133.5109777</v>
      </c>
      <c r="U55">
        <v>129130.04290449999</v>
      </c>
    </row>
    <row r="56" spans="1:21" x14ac:dyDescent="0.2">
      <c r="A56" t="s">
        <v>41</v>
      </c>
      <c r="B56">
        <v>-9537.0370160000002</v>
      </c>
      <c r="C56">
        <v>39068.729615999997</v>
      </c>
      <c r="D56">
        <f>B56-(2001/2000)*B$54</f>
        <v>2.3730203574996267</v>
      </c>
      <c r="E56">
        <f>C56-C$54</f>
        <v>25.218424999999115</v>
      </c>
      <c r="H56">
        <v>-55924.140765999997</v>
      </c>
      <c r="I56">
        <v>129110.540316</v>
      </c>
      <c r="J56">
        <v>-55915.280160000002</v>
      </c>
      <c r="K56">
        <v>129104.092112</v>
      </c>
      <c r="L56">
        <v>-55924.939646999999</v>
      </c>
      <c r="M56">
        <v>129134.49769</v>
      </c>
      <c r="N56">
        <v>-55915.945657999997</v>
      </c>
      <c r="O56">
        <v>129129.141474</v>
      </c>
      <c r="Q56" t="s">
        <v>42</v>
      </c>
      <c r="S56">
        <f>S55-R55</f>
        <v>-3.53354869998293</v>
      </c>
      <c r="T56">
        <f>T55-R55</f>
        <v>25.139031600003364</v>
      </c>
      <c r="U56">
        <f>U55-R55</f>
        <v>21.670958399990923</v>
      </c>
    </row>
    <row r="57" spans="1:21" x14ac:dyDescent="0.2">
      <c r="A57" t="s">
        <v>64</v>
      </c>
      <c r="B57">
        <v>-9529.9192490000005</v>
      </c>
      <c r="C57">
        <v>39007.147293000002</v>
      </c>
      <c r="D57">
        <f>B57-B$54</f>
        <v>4.7234659999994619</v>
      </c>
      <c r="E57">
        <f>C57-C$54</f>
        <v>-36.36389799999597</v>
      </c>
      <c r="H57">
        <v>-55925.172187999997</v>
      </c>
      <c r="I57">
        <v>129107.394785</v>
      </c>
      <c r="J57">
        <v>-55914.975256999998</v>
      </c>
      <c r="K57">
        <v>129105.12729600001</v>
      </c>
      <c r="L57">
        <v>-55925.371829999996</v>
      </c>
      <c r="M57">
        <v>129133.46311700001</v>
      </c>
      <c r="N57">
        <v>-55915.647309</v>
      </c>
      <c r="O57">
        <v>129130.074953</v>
      </c>
    </row>
    <row r="58" spans="1:21" x14ac:dyDescent="0.2">
      <c r="A58" t="s">
        <v>29</v>
      </c>
      <c r="B58">
        <v>-8502.9377659999991</v>
      </c>
      <c r="C58">
        <v>42055.458707999998</v>
      </c>
      <c r="H58">
        <v>-55924.655198</v>
      </c>
      <c r="I58">
        <v>129108.578503</v>
      </c>
      <c r="J58">
        <v>-55915.038998999997</v>
      </c>
      <c r="K58">
        <v>129104.82022199999</v>
      </c>
      <c r="L58">
        <v>-55924.977975000002</v>
      </c>
      <c r="M58">
        <v>129134.31314899999</v>
      </c>
      <c r="N58">
        <v>-55915.500178000002</v>
      </c>
      <c r="O58">
        <v>129129.909329</v>
      </c>
    </row>
    <row r="59" spans="1:21" x14ac:dyDescent="0.2">
      <c r="A59" t="s">
        <v>43</v>
      </c>
      <c r="B59">
        <v>-8438.1633070000007</v>
      </c>
      <c r="C59">
        <v>42900.489989000002</v>
      </c>
      <c r="D59">
        <f>B59-(1999/2000)*B$58</f>
        <v>60.522990116998699</v>
      </c>
      <c r="E59">
        <f>C59-C$58</f>
        <v>845.03128100000322</v>
      </c>
      <c r="H59">
        <v>-55924.486336000002</v>
      </c>
      <c r="I59">
        <v>129109.319181</v>
      </c>
      <c r="J59">
        <v>-55914.613382000003</v>
      </c>
      <c r="K59">
        <v>129106.19459699999</v>
      </c>
      <c r="L59">
        <v>-55924.600478</v>
      </c>
      <c r="M59">
        <v>129135.571258</v>
      </c>
      <c r="N59">
        <v>-55915.368978999999</v>
      </c>
      <c r="O59">
        <v>129130.80992299999</v>
      </c>
    </row>
    <row r="60" spans="1:21" x14ac:dyDescent="0.2">
      <c r="A60" t="s">
        <v>41</v>
      </c>
      <c r="B60">
        <v>-8504.8357599999999</v>
      </c>
      <c r="C60">
        <v>42080.057889000003</v>
      </c>
      <c r="D60">
        <f>B60-(1999/2000)*B$58</f>
        <v>-6.149462883000524</v>
      </c>
      <c r="E60">
        <f>C60-C$58</f>
        <v>24.599181000005046</v>
      </c>
      <c r="H60">
        <v>-55924.623118000003</v>
      </c>
      <c r="I60">
        <v>129108.820005</v>
      </c>
      <c r="J60">
        <v>-55915.042859000001</v>
      </c>
      <c r="K60">
        <v>129104.80903400001</v>
      </c>
      <c r="L60">
        <v>-55925.875745999998</v>
      </c>
      <c r="M60">
        <v>129132.179644</v>
      </c>
      <c r="N60">
        <v>-55915.580538000002</v>
      </c>
      <c r="O60">
        <v>129130.03686199999</v>
      </c>
      <c r="Q60" t="s">
        <v>65</v>
      </c>
    </row>
    <row r="61" spans="1:21" x14ac:dyDescent="0.2">
      <c r="A61" t="s">
        <v>64</v>
      </c>
      <c r="B61">
        <v>-8438.7298879999998</v>
      </c>
      <c r="C61">
        <v>42960.70119</v>
      </c>
      <c r="D61">
        <f>B61-(1999/2000)*B$58</f>
        <v>59.956409116999566</v>
      </c>
      <c r="E61">
        <f>C61-C$58</f>
        <v>905.24248200000147</v>
      </c>
      <c r="H61">
        <v>-55925.087750999999</v>
      </c>
      <c r="I61">
        <v>129107.596827</v>
      </c>
      <c r="J61">
        <v>-55914.914978000001</v>
      </c>
      <c r="K61">
        <v>129105.217307</v>
      </c>
      <c r="L61">
        <v>-55925.326344000001</v>
      </c>
      <c r="M61">
        <v>129133.72260199999</v>
      </c>
      <c r="N61">
        <v>-55915.567965000002</v>
      </c>
      <c r="O61">
        <v>129130.36669900001</v>
      </c>
      <c r="Q61">
        <v>1</v>
      </c>
      <c r="R61">
        <v>500.01071100000001</v>
      </c>
      <c r="S61">
        <v>-55925.033982000001</v>
      </c>
      <c r="T61">
        <v>129142.033102</v>
      </c>
      <c r="U61">
        <v>-135.02771999999999</v>
      </c>
    </row>
    <row r="62" spans="1:21" x14ac:dyDescent="0.2">
      <c r="A62" t="s">
        <v>30</v>
      </c>
      <c r="B62">
        <v>-56464.948907999998</v>
      </c>
      <c r="C62">
        <v>127415.204558</v>
      </c>
      <c r="F62">
        <f>C62/8192</f>
        <v>15.553613837646484</v>
      </c>
      <c r="H62">
        <v>-55925.523744999999</v>
      </c>
      <c r="I62">
        <v>129106.33936699999</v>
      </c>
      <c r="J62">
        <v>-55915.958850000003</v>
      </c>
      <c r="K62">
        <v>129102.572814</v>
      </c>
      <c r="L62">
        <v>-55926.349623000002</v>
      </c>
      <c r="M62">
        <v>129130.442756</v>
      </c>
      <c r="N62">
        <v>-55915.868050999998</v>
      </c>
      <c r="O62">
        <v>129129.513106</v>
      </c>
      <c r="Q62">
        <v>0.92</v>
      </c>
      <c r="R62">
        <v>500.26790199999999</v>
      </c>
      <c r="S62">
        <v>-47266.831805000002</v>
      </c>
      <c r="T62">
        <v>100561.35147199999</v>
      </c>
      <c r="U62">
        <v>1276639.115919</v>
      </c>
    </row>
    <row r="63" spans="1:21" x14ac:dyDescent="0.2">
      <c r="A63" t="s">
        <v>43</v>
      </c>
      <c r="B63">
        <v>-56455.209128000002</v>
      </c>
      <c r="C63">
        <v>127411.65986299999</v>
      </c>
      <c r="D63">
        <f>B63-(8191/8192)*B$62</f>
        <v>2.8470860415036441</v>
      </c>
      <c r="E63">
        <f>C63-C$62</f>
        <v>-3.5446950000041397</v>
      </c>
      <c r="H63">
        <v>-55924.194475999997</v>
      </c>
      <c r="I63">
        <v>129110.191326</v>
      </c>
      <c r="J63">
        <v>-55914.272288</v>
      </c>
      <c r="K63">
        <v>129106.957404</v>
      </c>
      <c r="L63">
        <v>-55925.035626999997</v>
      </c>
      <c r="M63">
        <v>129134.394784</v>
      </c>
      <c r="N63">
        <v>-55915.638369</v>
      </c>
      <c r="O63">
        <v>129129.650843</v>
      </c>
      <c r="Q63">
        <v>0.94</v>
      </c>
      <c r="R63">
        <v>500.068082</v>
      </c>
      <c r="S63">
        <v>-51564.203749</v>
      </c>
      <c r="T63">
        <v>107263.30642199999</v>
      </c>
      <c r="U63">
        <v>804301.64331499999</v>
      </c>
    </row>
    <row r="64" spans="1:21" x14ac:dyDescent="0.2">
      <c r="A64" t="s">
        <v>41</v>
      </c>
      <c r="B64">
        <v>-56464.391104000002</v>
      </c>
      <c r="C64">
        <v>127427.34203699999</v>
      </c>
      <c r="D64">
        <f>B64-(8193/8192)*B$62</f>
        <v>7.4504979584889952</v>
      </c>
      <c r="E64">
        <f>C64-C$62</f>
        <v>12.137478999997256</v>
      </c>
      <c r="H64">
        <f>AVERAGE(H54:H63)</f>
        <v>-55924.801488100005</v>
      </c>
      <c r="I64">
        <f>AVERAGE(I54:I63)</f>
        <v>129108.3719461</v>
      </c>
      <c r="J64">
        <f t="shared" ref="J64:O64" si="17">AVERAGE(J54:J63)</f>
        <v>-55915.047582099993</v>
      </c>
      <c r="K64">
        <f t="shared" si="17"/>
        <v>129104.83839740002</v>
      </c>
      <c r="L64">
        <f t="shared" si="17"/>
        <v>-55925.325516700002</v>
      </c>
      <c r="M64">
        <f t="shared" si="17"/>
        <v>129133.5109777</v>
      </c>
      <c r="N64">
        <f t="shared" si="17"/>
        <v>-55915.622085499999</v>
      </c>
      <c r="O64">
        <f t="shared" si="17"/>
        <v>129130.04290449999</v>
      </c>
      <c r="Q64">
        <v>0.96</v>
      </c>
      <c r="R64">
        <v>500.111513</v>
      </c>
      <c r="S64">
        <v>-54267.341177000002</v>
      </c>
      <c r="T64">
        <v>114256.605798</v>
      </c>
      <c r="U64">
        <v>465773.54377799999</v>
      </c>
    </row>
    <row r="65" spans="1:21" x14ac:dyDescent="0.2">
      <c r="A65" t="s">
        <v>64</v>
      </c>
      <c r="B65">
        <v>-56454.648650000003</v>
      </c>
      <c r="C65">
        <v>127423.82288599999</v>
      </c>
      <c r="D65">
        <f>B65-B$62</f>
        <v>10.300257999995665</v>
      </c>
      <c r="E65">
        <f>C65-C$62</f>
        <v>8.6183279999968363</v>
      </c>
      <c r="H65">
        <f>STDEV(H54:H63)/SQRT(COUNT(H54:H63))</f>
        <v>0.14455457079294112</v>
      </c>
      <c r="I65">
        <f>STDEV(I54:I63)/SQRT(COUNT(I54:I63))</f>
        <v>0.43504173793996931</v>
      </c>
      <c r="J65">
        <f t="shared" ref="J65:O65" si="18">STDEV(J54:J63)/SQRT(COUNT(J54:J63))</f>
        <v>0.14386171268791564</v>
      </c>
      <c r="K65">
        <f t="shared" si="18"/>
        <v>0.39677282288163551</v>
      </c>
      <c r="L65">
        <f t="shared" si="18"/>
        <v>0.15787538816018443</v>
      </c>
      <c r="M65">
        <f t="shared" si="18"/>
        <v>0.4474204371293895</v>
      </c>
      <c r="N65">
        <f t="shared" si="18"/>
        <v>5.4169207712402211E-2</v>
      </c>
      <c r="O65">
        <f t="shared" si="18"/>
        <v>0.17482410948612176</v>
      </c>
      <c r="Q65">
        <v>0.98</v>
      </c>
      <c r="R65">
        <v>499.88611900000001</v>
      </c>
      <c r="S65">
        <v>-55648.372081000001</v>
      </c>
      <c r="T65">
        <v>121547.44841899999</v>
      </c>
      <c r="U65">
        <v>194735.83384899999</v>
      </c>
    </row>
    <row r="66" spans="1:21" x14ac:dyDescent="0.2">
      <c r="A66" t="s">
        <v>46</v>
      </c>
      <c r="B66">
        <v>-9770.4746940000005</v>
      </c>
      <c r="C66">
        <v>47795.529164</v>
      </c>
      <c r="F66">
        <f>C66/2304</f>
        <v>20.74458731076389</v>
      </c>
      <c r="H66">
        <f>H64/8192</f>
        <v>-6.8267579941528327</v>
      </c>
      <c r="I66">
        <f>I64/8192</f>
        <v>15.76029930982666</v>
      </c>
      <c r="J66">
        <f>J64-8191*$H$66</f>
        <v>2.9271480058596353</v>
      </c>
      <c r="K66">
        <f>K64/8191</f>
        <v>15.761792015309489</v>
      </c>
      <c r="L66">
        <f>L64-8193*$H$66</f>
        <v>6.3027293941559037</v>
      </c>
      <c r="M66">
        <f>M64/8193</f>
        <v>15.761444034871232</v>
      </c>
      <c r="N66">
        <f>N64-$H$64</f>
        <v>9.1794026000061422</v>
      </c>
      <c r="O66">
        <f>O64/8192</f>
        <v>15.762944690490722</v>
      </c>
      <c r="Q66">
        <v>1.02</v>
      </c>
      <c r="R66">
        <v>500.225392</v>
      </c>
      <c r="S66">
        <v>-55378.679441</v>
      </c>
      <c r="T66">
        <v>137046.55866400001</v>
      </c>
      <c r="U66">
        <v>-138077.835441</v>
      </c>
    </row>
    <row r="67" spans="1:21" x14ac:dyDescent="0.2">
      <c r="A67" t="s">
        <v>43</v>
      </c>
      <c r="B67">
        <v>-9764.8860980000009</v>
      </c>
      <c r="C67">
        <v>47788.437895000003</v>
      </c>
      <c r="D67">
        <f>B67-(2303/2304)*B$66</f>
        <v>1.347938580729533</v>
      </c>
      <c r="E67">
        <f>C67-C$66</f>
        <v>-7.0912689999968279</v>
      </c>
      <c r="K67">
        <f>K64-$I$64</f>
        <v>-3.53354869998293</v>
      </c>
      <c r="M67">
        <f>M64-$I$64</f>
        <v>25.139031600003364</v>
      </c>
      <c r="O67">
        <f>O64-$I$64</f>
        <v>21.670958399990923</v>
      </c>
      <c r="Q67">
        <v>1.04</v>
      </c>
      <c r="R67">
        <v>500.43365299999999</v>
      </c>
      <c r="S67">
        <v>-54180.650808999999</v>
      </c>
      <c r="T67">
        <v>145267.22392300001</v>
      </c>
      <c r="U67">
        <v>-237002.369546</v>
      </c>
    </row>
    <row r="68" spans="1:21" x14ac:dyDescent="0.2">
      <c r="A68" t="s">
        <v>41</v>
      </c>
      <c r="B68">
        <v>-9772.4899870000008</v>
      </c>
      <c r="C68">
        <v>47815.469985999996</v>
      </c>
      <c r="D68">
        <f>B68-(2305/2304)*B$66</f>
        <v>2.2253644192696811</v>
      </c>
      <c r="E68">
        <f>C68-C$66</f>
        <v>19.940821999996842</v>
      </c>
      <c r="K68" s="1">
        <f>K67+I66</f>
        <v>12.22675060984373</v>
      </c>
      <c r="M68">
        <f>M67+K67</f>
        <v>21.605482900020434</v>
      </c>
      <c r="O68">
        <f>O65+I65</f>
        <v>0.60986584742609107</v>
      </c>
    </row>
    <row r="69" spans="1:21" x14ac:dyDescent="0.2">
      <c r="A69" t="s">
        <v>64</v>
      </c>
      <c r="B69">
        <v>-9766.8811580000001</v>
      </c>
      <c r="C69">
        <v>47808.331151999999</v>
      </c>
      <c r="D69">
        <f>B69-B$66</f>
        <v>3.5935360000003129</v>
      </c>
      <c r="E69">
        <f>C69-C$66</f>
        <v>12.801987999999255</v>
      </c>
      <c r="K69">
        <f>K68/2000</f>
        <v>6.1133753049218654E-3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2:AP78"/>
  <sheetViews>
    <sheetView topLeftCell="T1" workbookViewId="0">
      <selection activeCell="AQ12" sqref="AQ12"/>
    </sheetView>
  </sheetViews>
  <sheetFormatPr baseColWidth="10" defaultRowHeight="16" x14ac:dyDescent="0.2"/>
  <cols>
    <col min="31" max="31" width="10.83203125" style="5"/>
  </cols>
  <sheetData>
    <row r="2" spans="2:41" x14ac:dyDescent="0.2">
      <c r="B2" t="s">
        <v>15</v>
      </c>
      <c r="Z2" t="s">
        <v>15</v>
      </c>
      <c r="AF2" t="s">
        <v>15</v>
      </c>
    </row>
    <row r="3" spans="2:41" x14ac:dyDescent="0.2">
      <c r="B3" t="s">
        <v>34</v>
      </c>
      <c r="Z3" t="s">
        <v>60</v>
      </c>
      <c r="AF3" t="s">
        <v>33</v>
      </c>
    </row>
    <row r="4" spans="2:41" x14ac:dyDescent="0.2">
      <c r="B4" t="s">
        <v>33</v>
      </c>
      <c r="Z4" t="s">
        <v>33</v>
      </c>
      <c r="AF4" t="s">
        <v>16</v>
      </c>
    </row>
    <row r="5" spans="2:41" x14ac:dyDescent="0.2">
      <c r="B5" t="s">
        <v>16</v>
      </c>
      <c r="E5" t="s">
        <v>56</v>
      </c>
      <c r="K5" t="s">
        <v>57</v>
      </c>
      <c r="Q5" t="s">
        <v>58</v>
      </c>
      <c r="W5" t="s">
        <v>59</v>
      </c>
      <c r="Z5" t="s">
        <v>16</v>
      </c>
      <c r="AC5" t="s">
        <v>56</v>
      </c>
      <c r="AF5" t="s">
        <v>60</v>
      </c>
      <c r="AL5" t="s">
        <v>34</v>
      </c>
    </row>
    <row r="6" spans="2:41" x14ac:dyDescent="0.2">
      <c r="B6" t="s">
        <v>17</v>
      </c>
      <c r="C6">
        <v>1</v>
      </c>
      <c r="D6" t="s">
        <v>36</v>
      </c>
      <c r="E6">
        <v>9450</v>
      </c>
      <c r="H6" t="s">
        <v>17</v>
      </c>
      <c r="I6" t="s">
        <v>35</v>
      </c>
      <c r="J6" t="s">
        <v>36</v>
      </c>
      <c r="K6">
        <v>1565</v>
      </c>
      <c r="N6" t="s">
        <v>17</v>
      </c>
      <c r="O6" t="s">
        <v>37</v>
      </c>
      <c r="P6" t="s">
        <v>36</v>
      </c>
      <c r="Q6">
        <v>9410</v>
      </c>
      <c r="T6" t="s">
        <v>17</v>
      </c>
      <c r="U6" t="s">
        <v>38</v>
      </c>
      <c r="V6" t="s">
        <v>36</v>
      </c>
      <c r="W6">
        <v>12819</v>
      </c>
      <c r="Z6" t="s">
        <v>17</v>
      </c>
      <c r="AA6">
        <v>1</v>
      </c>
      <c r="AB6" t="s">
        <v>36</v>
      </c>
      <c r="AC6">
        <v>4111</v>
      </c>
      <c r="AF6" t="s">
        <v>17</v>
      </c>
      <c r="AG6" t="s">
        <v>62</v>
      </c>
      <c r="AH6" t="s">
        <v>36</v>
      </c>
      <c r="AI6">
        <v>26428</v>
      </c>
      <c r="AL6" t="s">
        <v>17</v>
      </c>
      <c r="AM6" t="s">
        <v>62</v>
      </c>
      <c r="AN6" t="s">
        <v>36</v>
      </c>
      <c r="AO6">
        <v>22596</v>
      </c>
    </row>
    <row r="7" spans="2:41" x14ac:dyDescent="0.2">
      <c r="B7">
        <v>0</v>
      </c>
      <c r="D7">
        <v>200</v>
      </c>
      <c r="H7">
        <v>0</v>
      </c>
      <c r="J7">
        <v>200</v>
      </c>
      <c r="N7">
        <v>0</v>
      </c>
      <c r="P7">
        <v>200</v>
      </c>
      <c r="T7">
        <v>0</v>
      </c>
      <c r="V7">
        <v>200</v>
      </c>
      <c r="Z7">
        <v>0</v>
      </c>
      <c r="AB7">
        <v>200</v>
      </c>
      <c r="AF7">
        <v>0</v>
      </c>
      <c r="AH7">
        <v>100</v>
      </c>
      <c r="AL7">
        <v>0</v>
      </c>
      <c r="AN7">
        <v>100</v>
      </c>
    </row>
    <row r="8" spans="2:41" x14ac:dyDescent="0.2">
      <c r="B8">
        <v>-89.930400000000006</v>
      </c>
      <c r="C8">
        <v>38</v>
      </c>
      <c r="D8">
        <v>-89.564400000000006</v>
      </c>
      <c r="E8">
        <v>16</v>
      </c>
      <c r="H8">
        <v>-89.930400000000006</v>
      </c>
      <c r="I8">
        <v>38</v>
      </c>
      <c r="J8">
        <v>-89.795100000000005</v>
      </c>
      <c r="K8">
        <v>30</v>
      </c>
      <c r="N8">
        <v>-89.930400000000006</v>
      </c>
      <c r="O8">
        <v>38</v>
      </c>
      <c r="P8">
        <v>-89.636899999999997</v>
      </c>
      <c r="Q8">
        <v>27</v>
      </c>
      <c r="T8">
        <v>-89.901799999999994</v>
      </c>
      <c r="U8">
        <v>45</v>
      </c>
      <c r="V8">
        <v>-89.878900000000002</v>
      </c>
      <c r="W8">
        <v>28</v>
      </c>
      <c r="Z8">
        <v>-89.394499999999994</v>
      </c>
      <c r="AA8">
        <v>37</v>
      </c>
      <c r="AB8">
        <v>-89.213499999999996</v>
      </c>
      <c r="AC8">
        <v>13</v>
      </c>
      <c r="AF8">
        <v>-89.394499999999994</v>
      </c>
      <c r="AG8">
        <v>37</v>
      </c>
      <c r="AH8">
        <v>-89.244399999999999</v>
      </c>
      <c r="AI8">
        <v>22</v>
      </c>
      <c r="AL8">
        <v>-89.930400000000006</v>
      </c>
      <c r="AM8">
        <v>38</v>
      </c>
      <c r="AN8">
        <v>-89.563199999999995</v>
      </c>
      <c r="AO8">
        <v>15</v>
      </c>
    </row>
    <row r="9" spans="2:41" x14ac:dyDescent="0.2">
      <c r="B9">
        <v>-86.259699999999995</v>
      </c>
      <c r="C9">
        <v>23</v>
      </c>
      <c r="D9">
        <v>-85.908699999999996</v>
      </c>
      <c r="E9">
        <v>34</v>
      </c>
      <c r="H9">
        <v>-86.259699999999995</v>
      </c>
      <c r="I9">
        <v>23</v>
      </c>
      <c r="J9">
        <v>-86.13</v>
      </c>
      <c r="K9">
        <v>29</v>
      </c>
      <c r="N9">
        <v>-86.259699999999995</v>
      </c>
      <c r="O9">
        <v>23</v>
      </c>
      <c r="P9">
        <v>-85.978300000000004</v>
      </c>
      <c r="Q9">
        <v>40</v>
      </c>
      <c r="T9">
        <v>-86.232299999999995</v>
      </c>
      <c r="U9">
        <v>20</v>
      </c>
      <c r="V9">
        <v>-86.210400000000007</v>
      </c>
      <c r="W9">
        <v>29</v>
      </c>
      <c r="Z9">
        <v>-85.745699999999999</v>
      </c>
      <c r="AA9">
        <v>27</v>
      </c>
      <c r="AB9">
        <v>-85.572199999999995</v>
      </c>
      <c r="AC9">
        <v>31</v>
      </c>
      <c r="AF9">
        <v>-85.745699999999999</v>
      </c>
      <c r="AG9">
        <v>27</v>
      </c>
      <c r="AH9">
        <v>-85.601799999999997</v>
      </c>
      <c r="AI9">
        <v>31</v>
      </c>
      <c r="AL9">
        <v>-86.259699999999995</v>
      </c>
      <c r="AM9">
        <v>23</v>
      </c>
      <c r="AN9">
        <v>-85.907600000000002</v>
      </c>
      <c r="AO9">
        <v>29</v>
      </c>
    </row>
    <row r="10" spans="2:41" x14ac:dyDescent="0.2">
      <c r="B10">
        <v>-82.589100000000002</v>
      </c>
      <c r="C10">
        <v>44</v>
      </c>
      <c r="D10">
        <v>-82.253</v>
      </c>
      <c r="E10">
        <v>34</v>
      </c>
      <c r="H10">
        <v>-82.589100000000002</v>
      </c>
      <c r="I10">
        <v>44</v>
      </c>
      <c r="J10">
        <v>-82.4649</v>
      </c>
      <c r="K10">
        <v>49</v>
      </c>
      <c r="N10">
        <v>-82.589100000000002</v>
      </c>
      <c r="O10">
        <v>44</v>
      </c>
      <c r="P10">
        <v>-82.319599999999994</v>
      </c>
      <c r="Q10">
        <v>31</v>
      </c>
      <c r="T10">
        <v>-82.562899999999999</v>
      </c>
      <c r="U10">
        <v>43</v>
      </c>
      <c r="V10">
        <v>-82.541799999999995</v>
      </c>
      <c r="W10">
        <v>31</v>
      </c>
      <c r="Z10">
        <v>-82.096999999999994</v>
      </c>
      <c r="AA10">
        <v>38</v>
      </c>
      <c r="AB10">
        <v>-81.930800000000005</v>
      </c>
      <c r="AC10">
        <v>37</v>
      </c>
      <c r="AF10">
        <v>-82.096999999999994</v>
      </c>
      <c r="AG10">
        <v>38</v>
      </c>
      <c r="AH10">
        <v>-81.959199999999996</v>
      </c>
      <c r="AI10">
        <v>26</v>
      </c>
      <c r="AL10">
        <v>-82.589100000000002</v>
      </c>
      <c r="AM10">
        <v>44</v>
      </c>
      <c r="AN10">
        <v>-82.251900000000006</v>
      </c>
      <c r="AO10">
        <v>32</v>
      </c>
    </row>
    <row r="11" spans="2:41" x14ac:dyDescent="0.2">
      <c r="B11">
        <v>-78.918499999999995</v>
      </c>
      <c r="C11">
        <v>26</v>
      </c>
      <c r="D11">
        <v>-78.597300000000004</v>
      </c>
      <c r="E11">
        <v>39</v>
      </c>
      <c r="H11">
        <v>-78.918499999999995</v>
      </c>
      <c r="I11">
        <v>26</v>
      </c>
      <c r="J11">
        <v>-78.799800000000005</v>
      </c>
      <c r="K11">
        <v>32</v>
      </c>
      <c r="N11">
        <v>-78.918499999999995</v>
      </c>
      <c r="O11">
        <v>26</v>
      </c>
      <c r="P11">
        <v>-78.661000000000001</v>
      </c>
      <c r="Q11">
        <v>40</v>
      </c>
      <c r="T11">
        <v>-78.8934</v>
      </c>
      <c r="U11">
        <v>28</v>
      </c>
      <c r="V11">
        <v>-78.8733</v>
      </c>
      <c r="W11">
        <v>33</v>
      </c>
      <c r="Z11">
        <v>-78.4482</v>
      </c>
      <c r="AA11">
        <v>28</v>
      </c>
      <c r="AB11">
        <v>-78.289400000000001</v>
      </c>
      <c r="AC11">
        <v>36</v>
      </c>
      <c r="AF11">
        <v>-78.4482</v>
      </c>
      <c r="AG11">
        <v>28</v>
      </c>
      <c r="AH11">
        <v>-78.316500000000005</v>
      </c>
      <c r="AI11">
        <v>29</v>
      </c>
      <c r="AL11">
        <v>-78.918499999999995</v>
      </c>
      <c r="AM11">
        <v>26</v>
      </c>
      <c r="AN11">
        <v>-78.596299999999999</v>
      </c>
      <c r="AO11">
        <v>31</v>
      </c>
    </row>
    <row r="12" spans="2:41" x14ac:dyDescent="0.2">
      <c r="B12">
        <v>-75.247799999999998</v>
      </c>
      <c r="C12">
        <v>29</v>
      </c>
      <c r="D12">
        <v>-74.941699999999997</v>
      </c>
      <c r="E12">
        <v>38</v>
      </c>
      <c r="H12">
        <v>-75.247799999999998</v>
      </c>
      <c r="I12">
        <v>29</v>
      </c>
      <c r="J12">
        <v>-75.134699999999995</v>
      </c>
      <c r="K12">
        <v>28</v>
      </c>
      <c r="N12">
        <v>-75.247799999999998</v>
      </c>
      <c r="O12">
        <v>29</v>
      </c>
      <c r="P12">
        <v>-75.002300000000005</v>
      </c>
      <c r="Q12">
        <v>34</v>
      </c>
      <c r="T12">
        <v>-75.2239</v>
      </c>
      <c r="U12">
        <v>30</v>
      </c>
      <c r="V12">
        <v>-75.204800000000006</v>
      </c>
      <c r="W12">
        <v>34</v>
      </c>
      <c r="Z12">
        <v>-74.799499999999995</v>
      </c>
      <c r="AA12">
        <v>31</v>
      </c>
      <c r="AB12">
        <v>-74.647999999999996</v>
      </c>
      <c r="AC12">
        <v>44</v>
      </c>
      <c r="AF12">
        <v>-74.799499999999995</v>
      </c>
      <c r="AG12">
        <v>31</v>
      </c>
      <c r="AH12">
        <v>-74.673900000000003</v>
      </c>
      <c r="AI12">
        <v>36</v>
      </c>
      <c r="AL12">
        <v>-75.247799999999998</v>
      </c>
      <c r="AM12">
        <v>29</v>
      </c>
      <c r="AN12">
        <v>-74.940600000000003</v>
      </c>
      <c r="AO12">
        <v>39</v>
      </c>
    </row>
    <row r="13" spans="2:41" x14ac:dyDescent="0.2">
      <c r="B13">
        <v>-71.577200000000005</v>
      </c>
      <c r="C13">
        <v>37</v>
      </c>
      <c r="D13">
        <v>-71.286000000000001</v>
      </c>
      <c r="E13">
        <v>29</v>
      </c>
      <c r="H13">
        <v>-71.577200000000005</v>
      </c>
      <c r="I13">
        <v>37</v>
      </c>
      <c r="J13">
        <v>-71.4696</v>
      </c>
      <c r="K13">
        <v>39</v>
      </c>
      <c r="N13">
        <v>-71.577200000000005</v>
      </c>
      <c r="O13">
        <v>37</v>
      </c>
      <c r="P13">
        <v>-71.343699999999998</v>
      </c>
      <c r="Q13">
        <v>39</v>
      </c>
      <c r="T13">
        <v>-71.554500000000004</v>
      </c>
      <c r="U13">
        <v>38</v>
      </c>
      <c r="V13">
        <v>-71.536299999999997</v>
      </c>
      <c r="W13">
        <v>38</v>
      </c>
      <c r="Z13">
        <v>-71.150700000000001</v>
      </c>
      <c r="AA13">
        <v>35</v>
      </c>
      <c r="AB13">
        <v>-71.006699999999995</v>
      </c>
      <c r="AC13">
        <v>24</v>
      </c>
      <c r="AF13">
        <v>-71.150700000000001</v>
      </c>
      <c r="AG13">
        <v>35</v>
      </c>
      <c r="AH13">
        <v>-71.031300000000002</v>
      </c>
      <c r="AI13">
        <v>35</v>
      </c>
      <c r="AL13">
        <v>-71.577200000000005</v>
      </c>
      <c r="AM13">
        <v>37</v>
      </c>
      <c r="AN13">
        <v>-71.284999999999997</v>
      </c>
      <c r="AO13">
        <v>30</v>
      </c>
    </row>
    <row r="14" spans="2:41" x14ac:dyDescent="0.2">
      <c r="B14">
        <v>-67.906599999999997</v>
      </c>
      <c r="C14">
        <v>29</v>
      </c>
      <c r="D14">
        <v>-67.630300000000005</v>
      </c>
      <c r="E14">
        <v>38</v>
      </c>
      <c r="H14">
        <v>-67.906599999999997</v>
      </c>
      <c r="I14">
        <v>29</v>
      </c>
      <c r="J14">
        <v>-67.804500000000004</v>
      </c>
      <c r="K14">
        <v>32</v>
      </c>
      <c r="N14">
        <v>-67.906599999999997</v>
      </c>
      <c r="O14">
        <v>29</v>
      </c>
      <c r="P14">
        <v>-67.685000000000002</v>
      </c>
      <c r="Q14">
        <v>35</v>
      </c>
      <c r="T14">
        <v>-67.885000000000005</v>
      </c>
      <c r="U14">
        <v>27</v>
      </c>
      <c r="V14">
        <v>-67.867699999999999</v>
      </c>
      <c r="W14">
        <v>35</v>
      </c>
      <c r="Z14">
        <v>-67.501900000000006</v>
      </c>
      <c r="AA14">
        <v>28</v>
      </c>
      <c r="AB14">
        <v>-67.365300000000005</v>
      </c>
      <c r="AC14">
        <v>38</v>
      </c>
      <c r="AF14">
        <v>-67.501900000000006</v>
      </c>
      <c r="AG14">
        <v>28</v>
      </c>
      <c r="AH14">
        <v>-67.388599999999997</v>
      </c>
      <c r="AI14">
        <v>42</v>
      </c>
      <c r="AL14">
        <v>-67.906599999999997</v>
      </c>
      <c r="AM14">
        <v>29</v>
      </c>
      <c r="AN14">
        <v>-67.629400000000004</v>
      </c>
      <c r="AO14">
        <v>40</v>
      </c>
    </row>
    <row r="15" spans="2:41" x14ac:dyDescent="0.2">
      <c r="B15">
        <v>-64.236000000000004</v>
      </c>
      <c r="C15">
        <v>38</v>
      </c>
      <c r="D15">
        <v>-63.974600000000002</v>
      </c>
      <c r="E15">
        <v>35</v>
      </c>
      <c r="H15">
        <v>-64.236000000000004</v>
      </c>
      <c r="I15">
        <v>38</v>
      </c>
      <c r="J15">
        <v>-64.139399999999995</v>
      </c>
      <c r="K15">
        <v>33</v>
      </c>
      <c r="N15">
        <v>-64.236000000000004</v>
      </c>
      <c r="O15">
        <v>38</v>
      </c>
      <c r="P15">
        <v>-64.026399999999995</v>
      </c>
      <c r="Q15">
        <v>45</v>
      </c>
      <c r="T15">
        <v>-64.215599999999995</v>
      </c>
      <c r="U15">
        <v>38</v>
      </c>
      <c r="V15">
        <v>-64.199200000000005</v>
      </c>
      <c r="W15">
        <v>29</v>
      </c>
      <c r="Z15">
        <v>-63.853200000000001</v>
      </c>
      <c r="AA15">
        <v>39</v>
      </c>
      <c r="AB15">
        <v>-63.7239</v>
      </c>
      <c r="AC15">
        <v>38</v>
      </c>
      <c r="AF15">
        <v>-63.853200000000001</v>
      </c>
      <c r="AG15">
        <v>39</v>
      </c>
      <c r="AH15">
        <v>-63.746000000000002</v>
      </c>
      <c r="AI15">
        <v>43</v>
      </c>
      <c r="AL15">
        <v>-64.236000000000004</v>
      </c>
      <c r="AM15">
        <v>38</v>
      </c>
      <c r="AN15">
        <v>-63.973700000000001</v>
      </c>
      <c r="AO15">
        <v>32</v>
      </c>
    </row>
    <row r="16" spans="2:41" x14ac:dyDescent="0.2">
      <c r="B16">
        <v>-60.565300000000001</v>
      </c>
      <c r="C16">
        <v>34</v>
      </c>
      <c r="D16">
        <v>-60.318899999999999</v>
      </c>
      <c r="E16">
        <v>33</v>
      </c>
      <c r="H16">
        <v>-60.565300000000001</v>
      </c>
      <c r="I16">
        <v>34</v>
      </c>
      <c r="J16">
        <v>-60.474299999999999</v>
      </c>
      <c r="K16">
        <v>41</v>
      </c>
      <c r="N16">
        <v>-60.565300000000001</v>
      </c>
      <c r="O16">
        <v>34</v>
      </c>
      <c r="P16">
        <v>-60.367699999999999</v>
      </c>
      <c r="Q16">
        <v>39</v>
      </c>
      <c r="T16">
        <v>-60.546100000000003</v>
      </c>
      <c r="U16">
        <v>37</v>
      </c>
      <c r="V16">
        <v>-60.530700000000003</v>
      </c>
      <c r="W16">
        <v>38</v>
      </c>
      <c r="Z16">
        <v>-60.2044</v>
      </c>
      <c r="AA16">
        <v>37</v>
      </c>
      <c r="AB16">
        <v>-60.082599999999999</v>
      </c>
      <c r="AC16">
        <v>36</v>
      </c>
      <c r="AF16">
        <v>-60.2044</v>
      </c>
      <c r="AG16">
        <v>37</v>
      </c>
      <c r="AH16">
        <v>-60.103400000000001</v>
      </c>
      <c r="AI16">
        <v>41</v>
      </c>
      <c r="AL16">
        <v>-60.565300000000001</v>
      </c>
      <c r="AM16">
        <v>34</v>
      </c>
      <c r="AN16">
        <v>-60.318100000000001</v>
      </c>
      <c r="AO16">
        <v>43</v>
      </c>
    </row>
    <row r="17" spans="2:41" x14ac:dyDescent="0.2">
      <c r="B17">
        <v>-56.8947</v>
      </c>
      <c r="C17">
        <v>36</v>
      </c>
      <c r="D17">
        <v>-56.663200000000003</v>
      </c>
      <c r="E17">
        <v>36</v>
      </c>
      <c r="H17">
        <v>-56.8947</v>
      </c>
      <c r="I17">
        <v>36</v>
      </c>
      <c r="J17">
        <v>-56.809199999999997</v>
      </c>
      <c r="K17">
        <v>29</v>
      </c>
      <c r="N17">
        <v>-56.8947</v>
      </c>
      <c r="O17">
        <v>36</v>
      </c>
      <c r="P17">
        <v>-56.709099999999999</v>
      </c>
      <c r="Q17">
        <v>37</v>
      </c>
      <c r="T17">
        <v>-56.876600000000003</v>
      </c>
      <c r="U17">
        <v>32</v>
      </c>
      <c r="V17">
        <v>-56.862200000000001</v>
      </c>
      <c r="W17">
        <v>33</v>
      </c>
      <c r="Z17">
        <v>-56.555700000000002</v>
      </c>
      <c r="AA17">
        <v>33</v>
      </c>
      <c r="AB17">
        <v>-56.441200000000002</v>
      </c>
      <c r="AC17">
        <v>37</v>
      </c>
      <c r="AF17">
        <v>-56.555700000000002</v>
      </c>
      <c r="AG17">
        <v>33</v>
      </c>
      <c r="AH17">
        <v>-56.460700000000003</v>
      </c>
      <c r="AI17">
        <v>32</v>
      </c>
      <c r="AL17">
        <v>-56.8947</v>
      </c>
      <c r="AM17">
        <v>36</v>
      </c>
      <c r="AN17">
        <v>-56.662399999999998</v>
      </c>
      <c r="AO17">
        <v>36</v>
      </c>
    </row>
    <row r="18" spans="2:41" x14ac:dyDescent="0.2">
      <c r="B18">
        <v>-53.2241</v>
      </c>
      <c r="C18">
        <v>36</v>
      </c>
      <c r="D18">
        <v>-53.0075</v>
      </c>
      <c r="E18">
        <v>36</v>
      </c>
      <c r="H18">
        <v>-53.2241</v>
      </c>
      <c r="I18">
        <v>36</v>
      </c>
      <c r="J18">
        <v>-53.144100000000002</v>
      </c>
      <c r="K18">
        <v>33</v>
      </c>
      <c r="N18">
        <v>-53.2241</v>
      </c>
      <c r="O18">
        <v>36</v>
      </c>
      <c r="P18">
        <v>-53.050400000000003</v>
      </c>
      <c r="Q18">
        <v>28</v>
      </c>
      <c r="T18">
        <v>-53.2072</v>
      </c>
      <c r="U18">
        <v>39</v>
      </c>
      <c r="V18">
        <v>-53.193600000000004</v>
      </c>
      <c r="W18">
        <v>32</v>
      </c>
      <c r="Z18">
        <v>-52.9069</v>
      </c>
      <c r="AA18">
        <v>36</v>
      </c>
      <c r="AB18">
        <v>-52.799799999999998</v>
      </c>
      <c r="AC18">
        <v>36</v>
      </c>
      <c r="AF18">
        <v>-52.9069</v>
      </c>
      <c r="AG18">
        <v>36</v>
      </c>
      <c r="AH18">
        <v>-52.818100000000001</v>
      </c>
      <c r="AI18">
        <v>38</v>
      </c>
      <c r="AL18">
        <v>-53.2241</v>
      </c>
      <c r="AM18">
        <v>36</v>
      </c>
      <c r="AN18">
        <v>-53.006799999999998</v>
      </c>
      <c r="AO18">
        <v>41</v>
      </c>
    </row>
    <row r="19" spans="2:41" x14ac:dyDescent="0.2">
      <c r="B19">
        <v>-49.5535</v>
      </c>
      <c r="C19">
        <v>29</v>
      </c>
      <c r="D19">
        <v>-49.351799999999997</v>
      </c>
      <c r="E19">
        <v>32</v>
      </c>
      <c r="H19">
        <v>-49.5535</v>
      </c>
      <c r="I19">
        <v>29</v>
      </c>
      <c r="J19">
        <v>-49.478999999999999</v>
      </c>
      <c r="K19">
        <v>30</v>
      </c>
      <c r="N19">
        <v>-49.5535</v>
      </c>
      <c r="O19">
        <v>29</v>
      </c>
      <c r="P19">
        <v>-49.391800000000003</v>
      </c>
      <c r="Q19">
        <v>43</v>
      </c>
      <c r="T19">
        <v>-49.537700000000001</v>
      </c>
      <c r="U19">
        <v>30</v>
      </c>
      <c r="V19">
        <v>-49.525100000000002</v>
      </c>
      <c r="W19">
        <v>40</v>
      </c>
      <c r="Z19">
        <v>-49.258200000000002</v>
      </c>
      <c r="AA19">
        <v>30</v>
      </c>
      <c r="AB19">
        <v>-49.158499999999997</v>
      </c>
      <c r="AC19">
        <v>34</v>
      </c>
      <c r="AF19">
        <v>-49.258200000000002</v>
      </c>
      <c r="AG19">
        <v>30</v>
      </c>
      <c r="AH19">
        <v>-49.1755</v>
      </c>
      <c r="AI19">
        <v>38</v>
      </c>
      <c r="AL19">
        <v>-49.5535</v>
      </c>
      <c r="AM19">
        <v>29</v>
      </c>
      <c r="AN19">
        <v>-49.351199999999999</v>
      </c>
      <c r="AO19">
        <v>35</v>
      </c>
    </row>
    <row r="20" spans="2:41" x14ac:dyDescent="0.2">
      <c r="B20">
        <v>-45.882800000000003</v>
      </c>
      <c r="C20">
        <v>38</v>
      </c>
      <c r="D20">
        <v>-45.696100000000001</v>
      </c>
      <c r="E20">
        <v>40</v>
      </c>
      <c r="H20">
        <v>-45.882800000000003</v>
      </c>
      <c r="I20">
        <v>38</v>
      </c>
      <c r="J20">
        <v>-45.813899999999997</v>
      </c>
      <c r="K20">
        <v>35</v>
      </c>
      <c r="N20">
        <v>-45.882800000000003</v>
      </c>
      <c r="O20">
        <v>38</v>
      </c>
      <c r="P20">
        <v>-45.7331</v>
      </c>
      <c r="Q20">
        <v>40</v>
      </c>
      <c r="T20">
        <v>-45.868299999999998</v>
      </c>
      <c r="U20">
        <v>35</v>
      </c>
      <c r="V20">
        <v>-45.8566</v>
      </c>
      <c r="W20">
        <v>39</v>
      </c>
      <c r="Z20">
        <v>-45.609400000000001</v>
      </c>
      <c r="AA20">
        <v>37</v>
      </c>
      <c r="AB20">
        <v>-45.517099999999999</v>
      </c>
      <c r="AC20">
        <v>36</v>
      </c>
      <c r="AF20">
        <v>-45.609400000000001</v>
      </c>
      <c r="AG20">
        <v>37</v>
      </c>
      <c r="AH20">
        <v>-45.532899999999998</v>
      </c>
      <c r="AI20">
        <v>47</v>
      </c>
      <c r="AL20">
        <v>-45.882800000000003</v>
      </c>
      <c r="AM20">
        <v>38</v>
      </c>
      <c r="AN20">
        <v>-45.695500000000003</v>
      </c>
      <c r="AO20">
        <v>44</v>
      </c>
    </row>
    <row r="21" spans="2:41" x14ac:dyDescent="0.2">
      <c r="B21">
        <v>-42.212200000000003</v>
      </c>
      <c r="C21">
        <v>38</v>
      </c>
      <c r="D21">
        <v>-42.040399999999998</v>
      </c>
      <c r="E21">
        <v>24</v>
      </c>
      <c r="H21">
        <v>-42.212200000000003</v>
      </c>
      <c r="I21">
        <v>38</v>
      </c>
      <c r="J21">
        <v>-42.148699999999998</v>
      </c>
      <c r="K21">
        <v>40</v>
      </c>
      <c r="N21">
        <v>-42.212200000000003</v>
      </c>
      <c r="O21">
        <v>38</v>
      </c>
      <c r="P21">
        <v>-42.0745</v>
      </c>
      <c r="Q21">
        <v>41</v>
      </c>
      <c r="T21">
        <v>-42.198799999999999</v>
      </c>
      <c r="U21">
        <v>38</v>
      </c>
      <c r="V21">
        <v>-42.188099999999999</v>
      </c>
      <c r="W21">
        <v>35</v>
      </c>
      <c r="Z21">
        <v>-41.960700000000003</v>
      </c>
      <c r="AA21">
        <v>37</v>
      </c>
      <c r="AB21">
        <v>-41.875700000000002</v>
      </c>
      <c r="AC21">
        <v>47</v>
      </c>
      <c r="AF21">
        <v>-41.960700000000003</v>
      </c>
      <c r="AG21">
        <v>37</v>
      </c>
      <c r="AH21">
        <v>-41.8902</v>
      </c>
      <c r="AI21">
        <v>31</v>
      </c>
      <c r="AL21">
        <v>-42.212200000000003</v>
      </c>
      <c r="AM21">
        <v>38</v>
      </c>
      <c r="AN21">
        <v>-42.039900000000003</v>
      </c>
      <c r="AO21">
        <v>33</v>
      </c>
    </row>
    <row r="22" spans="2:41" x14ac:dyDescent="0.2">
      <c r="B22">
        <v>-38.541600000000003</v>
      </c>
      <c r="C22">
        <v>37</v>
      </c>
      <c r="D22">
        <v>-38.384799999999998</v>
      </c>
      <c r="E22">
        <v>40</v>
      </c>
      <c r="H22">
        <v>-38.541600000000003</v>
      </c>
      <c r="I22">
        <v>37</v>
      </c>
      <c r="J22">
        <v>-38.483600000000003</v>
      </c>
      <c r="K22">
        <v>35</v>
      </c>
      <c r="N22">
        <v>-38.541600000000003</v>
      </c>
      <c r="O22">
        <v>37</v>
      </c>
      <c r="P22">
        <v>-38.415799999999997</v>
      </c>
      <c r="Q22">
        <v>33</v>
      </c>
      <c r="T22">
        <v>-38.529299999999999</v>
      </c>
      <c r="U22">
        <v>37</v>
      </c>
      <c r="V22">
        <v>-38.519500000000001</v>
      </c>
      <c r="W22">
        <v>30</v>
      </c>
      <c r="Z22">
        <v>-38.311900000000001</v>
      </c>
      <c r="AA22">
        <v>38</v>
      </c>
      <c r="AB22">
        <v>-38.234400000000001</v>
      </c>
      <c r="AC22">
        <v>30</v>
      </c>
      <c r="AF22">
        <v>-38.311900000000001</v>
      </c>
      <c r="AG22">
        <v>38</v>
      </c>
      <c r="AH22">
        <v>-38.247599999999998</v>
      </c>
      <c r="AI22">
        <v>29</v>
      </c>
      <c r="AL22">
        <v>-38.541600000000003</v>
      </c>
      <c r="AM22">
        <v>37</v>
      </c>
      <c r="AN22">
        <v>-38.3842</v>
      </c>
      <c r="AO22">
        <v>34</v>
      </c>
    </row>
    <row r="23" spans="2:41" x14ac:dyDescent="0.2">
      <c r="B23">
        <v>-34.871000000000002</v>
      </c>
      <c r="C23">
        <v>28</v>
      </c>
      <c r="D23">
        <v>-34.729100000000003</v>
      </c>
      <c r="E23">
        <v>32</v>
      </c>
      <c r="H23">
        <v>-34.871000000000002</v>
      </c>
      <c r="I23">
        <v>28</v>
      </c>
      <c r="J23">
        <v>-34.8185</v>
      </c>
      <c r="K23">
        <v>37</v>
      </c>
      <c r="N23">
        <v>-34.871000000000002</v>
      </c>
      <c r="O23">
        <v>28</v>
      </c>
      <c r="P23">
        <v>-34.757199999999997</v>
      </c>
      <c r="Q23">
        <v>30</v>
      </c>
      <c r="T23">
        <v>-34.859900000000003</v>
      </c>
      <c r="U23">
        <v>29</v>
      </c>
      <c r="V23">
        <v>-34.850999999999999</v>
      </c>
      <c r="W23">
        <v>30</v>
      </c>
      <c r="Z23">
        <v>-34.663200000000003</v>
      </c>
      <c r="AA23">
        <v>28</v>
      </c>
      <c r="AB23">
        <v>-34.593000000000004</v>
      </c>
      <c r="AC23">
        <v>28</v>
      </c>
      <c r="AF23">
        <v>-34.663200000000003</v>
      </c>
      <c r="AG23">
        <v>28</v>
      </c>
      <c r="AH23">
        <v>-34.604999999999997</v>
      </c>
      <c r="AI23">
        <v>42</v>
      </c>
      <c r="AL23">
        <v>-34.871000000000002</v>
      </c>
      <c r="AM23">
        <v>28</v>
      </c>
      <c r="AN23">
        <v>-34.7286</v>
      </c>
      <c r="AO23">
        <v>31</v>
      </c>
    </row>
    <row r="24" spans="2:41" x14ac:dyDescent="0.2">
      <c r="B24">
        <v>-31.200299999999999</v>
      </c>
      <c r="C24">
        <v>33</v>
      </c>
      <c r="D24">
        <v>-31.073399999999999</v>
      </c>
      <c r="E24">
        <v>42</v>
      </c>
      <c r="H24">
        <v>-31.200299999999999</v>
      </c>
      <c r="I24">
        <v>33</v>
      </c>
      <c r="J24">
        <v>-31.153400000000001</v>
      </c>
      <c r="K24">
        <v>38</v>
      </c>
      <c r="N24">
        <v>-31.200299999999999</v>
      </c>
      <c r="O24">
        <v>33</v>
      </c>
      <c r="P24">
        <v>-31.098500000000001</v>
      </c>
      <c r="Q24">
        <v>34</v>
      </c>
      <c r="T24">
        <v>-31.1904</v>
      </c>
      <c r="U24">
        <v>32</v>
      </c>
      <c r="V24">
        <v>-31.182500000000001</v>
      </c>
      <c r="W24">
        <v>33</v>
      </c>
      <c r="Z24">
        <v>-31.014399999999998</v>
      </c>
      <c r="AA24">
        <v>33</v>
      </c>
      <c r="AB24">
        <v>-30.951599999999999</v>
      </c>
      <c r="AC24">
        <v>39</v>
      </c>
      <c r="AF24">
        <v>-31.014399999999998</v>
      </c>
      <c r="AG24">
        <v>33</v>
      </c>
      <c r="AH24">
        <v>-30.962299999999999</v>
      </c>
      <c r="AI24">
        <v>35</v>
      </c>
      <c r="AL24">
        <v>-31.200299999999999</v>
      </c>
      <c r="AM24">
        <v>33</v>
      </c>
      <c r="AN24">
        <v>-31.073</v>
      </c>
      <c r="AO24">
        <v>34</v>
      </c>
    </row>
    <row r="25" spans="2:41" x14ac:dyDescent="0.2">
      <c r="B25">
        <v>-27.529699999999998</v>
      </c>
      <c r="C25">
        <v>39</v>
      </c>
      <c r="D25">
        <v>-27.4177</v>
      </c>
      <c r="E25">
        <v>31</v>
      </c>
      <c r="H25">
        <v>-27.529699999999998</v>
      </c>
      <c r="I25">
        <v>39</v>
      </c>
      <c r="J25">
        <v>-27.488299999999999</v>
      </c>
      <c r="K25">
        <v>38</v>
      </c>
      <c r="N25">
        <v>-27.529699999999998</v>
      </c>
      <c r="O25">
        <v>39</v>
      </c>
      <c r="P25">
        <v>-27.439900000000002</v>
      </c>
      <c r="Q25">
        <v>42</v>
      </c>
      <c r="T25">
        <v>-27.521000000000001</v>
      </c>
      <c r="U25">
        <v>41</v>
      </c>
      <c r="V25">
        <v>-27.5139</v>
      </c>
      <c r="W25">
        <v>24</v>
      </c>
      <c r="Z25">
        <v>-27.3657</v>
      </c>
      <c r="AA25">
        <v>42</v>
      </c>
      <c r="AB25">
        <v>-27.310300000000002</v>
      </c>
      <c r="AC25">
        <v>42</v>
      </c>
      <c r="AF25">
        <v>-27.3657</v>
      </c>
      <c r="AG25">
        <v>42</v>
      </c>
      <c r="AH25">
        <v>-27.319700000000001</v>
      </c>
      <c r="AI25">
        <v>39</v>
      </c>
      <c r="AL25">
        <v>-27.529699999999998</v>
      </c>
      <c r="AM25">
        <v>39</v>
      </c>
      <c r="AN25">
        <v>-27.417300000000001</v>
      </c>
      <c r="AO25">
        <v>29</v>
      </c>
    </row>
    <row r="26" spans="2:41" x14ac:dyDescent="0.2">
      <c r="B26">
        <v>-23.859100000000002</v>
      </c>
      <c r="C26">
        <v>43</v>
      </c>
      <c r="D26">
        <v>-23.762</v>
      </c>
      <c r="E26">
        <v>35</v>
      </c>
      <c r="H26">
        <v>-23.859100000000002</v>
      </c>
      <c r="I26">
        <v>43</v>
      </c>
      <c r="J26">
        <v>-23.8232</v>
      </c>
      <c r="K26">
        <v>47</v>
      </c>
      <c r="N26">
        <v>-23.859100000000002</v>
      </c>
      <c r="O26">
        <v>43</v>
      </c>
      <c r="P26">
        <v>-23.781199999999998</v>
      </c>
      <c r="Q26">
        <v>32</v>
      </c>
      <c r="T26">
        <v>-23.851500000000001</v>
      </c>
      <c r="U26">
        <v>41</v>
      </c>
      <c r="V26">
        <v>-23.845400000000001</v>
      </c>
      <c r="W26">
        <v>33</v>
      </c>
      <c r="Z26">
        <v>-23.716899999999999</v>
      </c>
      <c r="AA26">
        <v>43</v>
      </c>
      <c r="AB26">
        <v>-23.668900000000001</v>
      </c>
      <c r="AC26">
        <v>38</v>
      </c>
      <c r="AF26">
        <v>-23.716899999999999</v>
      </c>
      <c r="AG26">
        <v>43</v>
      </c>
      <c r="AH26">
        <v>-23.677099999999999</v>
      </c>
      <c r="AI26">
        <v>27</v>
      </c>
      <c r="AL26">
        <v>-23.859100000000002</v>
      </c>
      <c r="AM26">
        <v>43</v>
      </c>
      <c r="AN26">
        <v>-23.761700000000001</v>
      </c>
      <c r="AO26">
        <v>47</v>
      </c>
    </row>
    <row r="27" spans="2:41" x14ac:dyDescent="0.2">
      <c r="B27">
        <v>-20.188400000000001</v>
      </c>
      <c r="C27">
        <v>27</v>
      </c>
      <c r="D27">
        <v>-20.106300000000001</v>
      </c>
      <c r="E27">
        <v>48</v>
      </c>
      <c r="H27">
        <v>-20.188400000000001</v>
      </c>
      <c r="I27">
        <v>27</v>
      </c>
      <c r="J27">
        <v>-20.158100000000001</v>
      </c>
      <c r="K27">
        <v>26</v>
      </c>
      <c r="N27">
        <v>-20.188400000000001</v>
      </c>
      <c r="O27">
        <v>27</v>
      </c>
      <c r="P27">
        <v>-20.122599999999998</v>
      </c>
      <c r="Q27">
        <v>33</v>
      </c>
      <c r="T27">
        <v>-20.181999999999999</v>
      </c>
      <c r="U27">
        <v>28</v>
      </c>
      <c r="V27">
        <v>-20.1769</v>
      </c>
      <c r="W27">
        <v>31</v>
      </c>
      <c r="Z27">
        <v>-20.068100000000001</v>
      </c>
      <c r="AA27">
        <v>23</v>
      </c>
      <c r="AB27">
        <v>-20.0275</v>
      </c>
      <c r="AC27">
        <v>29</v>
      </c>
      <c r="AF27">
        <v>-20.068100000000001</v>
      </c>
      <c r="AG27">
        <v>23</v>
      </c>
      <c r="AH27">
        <v>-20.034500000000001</v>
      </c>
      <c r="AI27">
        <v>29</v>
      </c>
      <c r="AL27">
        <v>-20.188400000000001</v>
      </c>
      <c r="AM27">
        <v>27</v>
      </c>
      <c r="AN27">
        <v>-20.106000000000002</v>
      </c>
      <c r="AO27">
        <v>33</v>
      </c>
    </row>
    <row r="28" spans="2:41" x14ac:dyDescent="0.2">
      <c r="B28">
        <v>-16.517800000000001</v>
      </c>
      <c r="C28">
        <v>38</v>
      </c>
      <c r="D28">
        <v>-16.450600000000001</v>
      </c>
      <c r="E28">
        <v>31</v>
      </c>
      <c r="H28">
        <v>-16.517800000000001</v>
      </c>
      <c r="I28">
        <v>38</v>
      </c>
      <c r="J28">
        <v>-16.492999999999999</v>
      </c>
      <c r="K28">
        <v>55</v>
      </c>
      <c r="N28">
        <v>-16.517800000000001</v>
      </c>
      <c r="O28">
        <v>38</v>
      </c>
      <c r="P28">
        <v>-16.463899999999999</v>
      </c>
      <c r="Q28">
        <v>31</v>
      </c>
      <c r="T28">
        <v>-16.512599999999999</v>
      </c>
      <c r="U28">
        <v>38</v>
      </c>
      <c r="V28">
        <v>-16.508400000000002</v>
      </c>
      <c r="W28">
        <v>30</v>
      </c>
      <c r="Z28">
        <v>-16.4194</v>
      </c>
      <c r="AA28">
        <v>39</v>
      </c>
      <c r="AB28">
        <v>-16.386199999999999</v>
      </c>
      <c r="AC28">
        <v>30</v>
      </c>
      <c r="AF28">
        <v>-16.4194</v>
      </c>
      <c r="AG28">
        <v>39</v>
      </c>
      <c r="AH28">
        <v>-16.3918</v>
      </c>
      <c r="AI28">
        <v>35</v>
      </c>
      <c r="AL28">
        <v>-16.517800000000001</v>
      </c>
      <c r="AM28">
        <v>38</v>
      </c>
      <c r="AN28">
        <v>-16.450399999999998</v>
      </c>
      <c r="AO28">
        <v>39</v>
      </c>
    </row>
    <row r="29" spans="2:41" x14ac:dyDescent="0.2">
      <c r="B29">
        <v>-12.847200000000001</v>
      </c>
      <c r="C29">
        <v>33</v>
      </c>
      <c r="D29">
        <v>-12.7949</v>
      </c>
      <c r="E29">
        <v>34</v>
      </c>
      <c r="H29">
        <v>-12.847200000000001</v>
      </c>
      <c r="I29">
        <v>33</v>
      </c>
      <c r="J29">
        <v>-12.8279</v>
      </c>
      <c r="K29">
        <v>33</v>
      </c>
      <c r="N29">
        <v>-12.847200000000001</v>
      </c>
      <c r="O29">
        <v>33</v>
      </c>
      <c r="P29">
        <v>-12.805300000000001</v>
      </c>
      <c r="Q29">
        <v>36</v>
      </c>
      <c r="T29">
        <v>-12.8431</v>
      </c>
      <c r="U29">
        <v>33</v>
      </c>
      <c r="V29">
        <v>-12.8398</v>
      </c>
      <c r="W29">
        <v>31</v>
      </c>
      <c r="Z29">
        <v>-12.7706</v>
      </c>
      <c r="AA29">
        <v>33</v>
      </c>
      <c r="AB29">
        <v>-12.7448</v>
      </c>
      <c r="AC29">
        <v>39</v>
      </c>
      <c r="AF29">
        <v>-12.7706</v>
      </c>
      <c r="AG29">
        <v>33</v>
      </c>
      <c r="AH29">
        <v>-12.7492</v>
      </c>
      <c r="AI29">
        <v>45</v>
      </c>
      <c r="AL29">
        <v>-12.847200000000001</v>
      </c>
      <c r="AM29">
        <v>33</v>
      </c>
      <c r="AN29">
        <v>-12.794700000000001</v>
      </c>
      <c r="AO29">
        <v>30</v>
      </c>
    </row>
    <row r="30" spans="2:41" x14ac:dyDescent="0.2">
      <c r="B30">
        <v>-9.1765699999999999</v>
      </c>
      <c r="C30">
        <v>24</v>
      </c>
      <c r="D30">
        <v>-9.1392299999999995</v>
      </c>
      <c r="E30">
        <v>44</v>
      </c>
      <c r="H30">
        <v>-9.1765699999999999</v>
      </c>
      <c r="I30">
        <v>24</v>
      </c>
      <c r="J30">
        <v>-9.1627700000000001</v>
      </c>
      <c r="K30">
        <v>24</v>
      </c>
      <c r="N30">
        <v>-9.1765699999999999</v>
      </c>
      <c r="O30">
        <v>24</v>
      </c>
      <c r="P30">
        <v>-9.1466399999999997</v>
      </c>
      <c r="Q30">
        <v>22</v>
      </c>
      <c r="T30">
        <v>-9.1736500000000003</v>
      </c>
      <c r="U30">
        <v>24</v>
      </c>
      <c r="V30">
        <v>-9.1713100000000001</v>
      </c>
      <c r="W30">
        <v>29</v>
      </c>
      <c r="Z30">
        <v>-9.1218900000000005</v>
      </c>
      <c r="AA30">
        <v>24</v>
      </c>
      <c r="AB30">
        <v>-9.1034199999999998</v>
      </c>
      <c r="AC30">
        <v>32</v>
      </c>
      <c r="AF30">
        <v>-9.1218900000000005</v>
      </c>
      <c r="AG30">
        <v>24</v>
      </c>
      <c r="AH30">
        <v>-9.1065799999999992</v>
      </c>
      <c r="AI30">
        <v>40</v>
      </c>
      <c r="AL30">
        <v>-9.1765699999999999</v>
      </c>
      <c r="AM30">
        <v>24</v>
      </c>
      <c r="AN30">
        <v>-9.1391100000000005</v>
      </c>
      <c r="AO30">
        <v>38</v>
      </c>
    </row>
    <row r="31" spans="2:41" x14ac:dyDescent="0.2">
      <c r="B31">
        <v>-5.5059399999999998</v>
      </c>
      <c r="C31">
        <v>31</v>
      </c>
      <c r="D31">
        <v>-5.4835399999999996</v>
      </c>
      <c r="E31">
        <v>24</v>
      </c>
      <c r="H31">
        <v>-5.5059399999999998</v>
      </c>
      <c r="I31">
        <v>31</v>
      </c>
      <c r="J31">
        <v>-5.4976700000000003</v>
      </c>
      <c r="K31">
        <v>24</v>
      </c>
      <c r="N31">
        <v>-5.5059399999999998</v>
      </c>
      <c r="O31">
        <v>31</v>
      </c>
      <c r="P31">
        <v>-5.4879800000000003</v>
      </c>
      <c r="Q31">
        <v>36</v>
      </c>
      <c r="T31">
        <v>-5.5041900000000004</v>
      </c>
      <c r="U31">
        <v>26</v>
      </c>
      <c r="V31">
        <v>-5.5027799999999996</v>
      </c>
      <c r="W31">
        <v>34</v>
      </c>
      <c r="Z31">
        <v>-5.4731300000000003</v>
      </c>
      <c r="AA31">
        <v>31</v>
      </c>
      <c r="AB31">
        <v>-5.4620499999999996</v>
      </c>
      <c r="AC31">
        <v>23</v>
      </c>
      <c r="AF31">
        <v>-5.4731300000000003</v>
      </c>
      <c r="AG31">
        <v>31</v>
      </c>
      <c r="AH31">
        <v>-5.46394</v>
      </c>
      <c r="AI31">
        <v>27</v>
      </c>
      <c r="AL31">
        <v>-5.5059399999999998</v>
      </c>
      <c r="AM31">
        <v>31</v>
      </c>
      <c r="AN31">
        <v>-5.4834699999999996</v>
      </c>
      <c r="AO31">
        <v>29</v>
      </c>
    </row>
    <row r="32" spans="2:41" x14ac:dyDescent="0.2">
      <c r="B32">
        <v>-1.83531</v>
      </c>
      <c r="C32">
        <v>36</v>
      </c>
      <c r="D32">
        <v>-1.82785</v>
      </c>
      <c r="E32">
        <v>13</v>
      </c>
      <c r="H32">
        <v>-1.83531</v>
      </c>
      <c r="I32">
        <v>36</v>
      </c>
      <c r="J32">
        <v>-1.83256</v>
      </c>
      <c r="K32">
        <v>23</v>
      </c>
      <c r="N32">
        <v>-1.83531</v>
      </c>
      <c r="O32">
        <v>36</v>
      </c>
      <c r="P32">
        <v>-1.82934</v>
      </c>
      <c r="Q32">
        <v>11</v>
      </c>
      <c r="T32">
        <v>-1.83473</v>
      </c>
      <c r="U32">
        <v>41</v>
      </c>
      <c r="V32">
        <v>-1.83426</v>
      </c>
      <c r="W32">
        <v>20</v>
      </c>
      <c r="Z32">
        <v>-1.8243799999999999</v>
      </c>
      <c r="AA32">
        <v>40</v>
      </c>
      <c r="AB32">
        <v>-1.8206899999999999</v>
      </c>
      <c r="AC32">
        <v>21</v>
      </c>
      <c r="AF32">
        <v>-1.8243799999999999</v>
      </c>
      <c r="AG32">
        <v>40</v>
      </c>
      <c r="AH32">
        <v>-1.8213200000000001</v>
      </c>
      <c r="AI32">
        <v>17</v>
      </c>
      <c r="AL32">
        <v>-1.83531</v>
      </c>
      <c r="AM32">
        <v>36</v>
      </c>
      <c r="AN32">
        <v>-1.82782</v>
      </c>
      <c r="AO32">
        <v>12</v>
      </c>
    </row>
    <row r="33" spans="2:41" x14ac:dyDescent="0.2">
      <c r="B33">
        <v>1.83531</v>
      </c>
      <c r="C33">
        <v>40</v>
      </c>
      <c r="D33">
        <v>1.8278399999999999</v>
      </c>
      <c r="E33">
        <v>19</v>
      </c>
      <c r="H33">
        <v>1.83531</v>
      </c>
      <c r="I33">
        <v>40</v>
      </c>
      <c r="J33">
        <v>1.8325499999999999</v>
      </c>
      <c r="K33">
        <v>26</v>
      </c>
      <c r="N33">
        <v>1.83531</v>
      </c>
      <c r="O33">
        <v>40</v>
      </c>
      <c r="P33">
        <v>1.8293200000000001</v>
      </c>
      <c r="Q33">
        <v>24</v>
      </c>
      <c r="T33">
        <v>1.8347199999999999</v>
      </c>
      <c r="U33">
        <v>39</v>
      </c>
      <c r="V33">
        <v>1.8342700000000001</v>
      </c>
      <c r="W33">
        <v>19</v>
      </c>
      <c r="Z33">
        <v>1.8243799999999999</v>
      </c>
      <c r="AA33">
        <v>36</v>
      </c>
      <c r="AB33">
        <v>1.8206899999999999</v>
      </c>
      <c r="AC33">
        <v>17</v>
      </c>
      <c r="AF33">
        <v>1.8243799999999999</v>
      </c>
      <c r="AG33">
        <v>36</v>
      </c>
      <c r="AH33">
        <v>1.82131</v>
      </c>
      <c r="AI33">
        <v>16</v>
      </c>
      <c r="AL33">
        <v>1.83531</v>
      </c>
      <c r="AM33">
        <v>40</v>
      </c>
      <c r="AN33">
        <v>1.82782</v>
      </c>
      <c r="AO33">
        <v>15</v>
      </c>
    </row>
    <row r="34" spans="2:41" x14ac:dyDescent="0.2">
      <c r="B34">
        <v>5.5059399999999998</v>
      </c>
      <c r="C34">
        <v>28</v>
      </c>
      <c r="D34">
        <v>5.4835399999999996</v>
      </c>
      <c r="E34">
        <v>30</v>
      </c>
      <c r="H34">
        <v>5.5059399999999998</v>
      </c>
      <c r="I34">
        <v>28</v>
      </c>
      <c r="J34">
        <v>5.4976599999999998</v>
      </c>
      <c r="K34">
        <v>30</v>
      </c>
      <c r="N34">
        <v>5.5059399999999998</v>
      </c>
      <c r="O34">
        <v>28</v>
      </c>
      <c r="P34">
        <v>5.4879699999999998</v>
      </c>
      <c r="Q34">
        <v>34</v>
      </c>
      <c r="T34">
        <v>5.5041900000000004</v>
      </c>
      <c r="U34">
        <v>31</v>
      </c>
      <c r="V34">
        <v>5.5027999999999997</v>
      </c>
      <c r="W34">
        <v>33</v>
      </c>
      <c r="Z34">
        <v>5.4731300000000003</v>
      </c>
      <c r="AA34">
        <v>27</v>
      </c>
      <c r="AB34">
        <v>5.4620499999999996</v>
      </c>
      <c r="AC34">
        <v>29</v>
      </c>
      <c r="AF34">
        <v>5.4731300000000003</v>
      </c>
      <c r="AG34">
        <v>27</v>
      </c>
      <c r="AH34">
        <v>5.46394</v>
      </c>
      <c r="AI34">
        <v>29</v>
      </c>
      <c r="AL34">
        <v>5.5059399999999998</v>
      </c>
      <c r="AM34">
        <v>28</v>
      </c>
      <c r="AN34">
        <v>5.48346</v>
      </c>
      <c r="AO34">
        <v>36</v>
      </c>
    </row>
    <row r="35" spans="2:41" x14ac:dyDescent="0.2">
      <c r="B35">
        <v>9.1765699999999999</v>
      </c>
      <c r="C35">
        <v>34</v>
      </c>
      <c r="D35">
        <v>9.1392199999999999</v>
      </c>
      <c r="E35">
        <v>33</v>
      </c>
      <c r="H35">
        <v>9.1765699999999999</v>
      </c>
      <c r="I35">
        <v>34</v>
      </c>
      <c r="J35">
        <v>9.1627700000000001</v>
      </c>
      <c r="K35">
        <v>36</v>
      </c>
      <c r="N35">
        <v>9.1765699999999999</v>
      </c>
      <c r="O35">
        <v>34</v>
      </c>
      <c r="P35">
        <v>9.1466100000000008</v>
      </c>
      <c r="Q35">
        <v>42</v>
      </c>
      <c r="T35">
        <v>9.1736500000000003</v>
      </c>
      <c r="U35">
        <v>31</v>
      </c>
      <c r="V35">
        <v>9.1713299999999993</v>
      </c>
      <c r="W35">
        <v>37</v>
      </c>
      <c r="Z35">
        <v>9.1218900000000005</v>
      </c>
      <c r="AA35">
        <v>35</v>
      </c>
      <c r="AB35">
        <v>9.1034199999999998</v>
      </c>
      <c r="AC35">
        <v>37</v>
      </c>
      <c r="AF35">
        <v>9.1218900000000005</v>
      </c>
      <c r="AG35">
        <v>35</v>
      </c>
      <c r="AH35">
        <v>9.1065699999999996</v>
      </c>
      <c r="AI35">
        <v>31</v>
      </c>
      <c r="AL35">
        <v>9.1765699999999999</v>
      </c>
      <c r="AM35">
        <v>34</v>
      </c>
      <c r="AN35">
        <v>9.1390999999999991</v>
      </c>
      <c r="AO35">
        <v>29</v>
      </c>
    </row>
    <row r="36" spans="2:41" x14ac:dyDescent="0.2">
      <c r="B36">
        <v>12.847200000000001</v>
      </c>
      <c r="C36">
        <v>34</v>
      </c>
      <c r="D36">
        <v>12.7949</v>
      </c>
      <c r="E36">
        <v>29</v>
      </c>
      <c r="H36">
        <v>12.847200000000001</v>
      </c>
      <c r="I36">
        <v>34</v>
      </c>
      <c r="J36">
        <v>12.8279</v>
      </c>
      <c r="K36">
        <v>30</v>
      </c>
      <c r="N36">
        <v>12.847200000000001</v>
      </c>
      <c r="O36">
        <v>34</v>
      </c>
      <c r="P36">
        <v>12.805300000000001</v>
      </c>
      <c r="Q36">
        <v>40</v>
      </c>
      <c r="T36">
        <v>12.8431</v>
      </c>
      <c r="U36">
        <v>35</v>
      </c>
      <c r="V36">
        <v>12.8399</v>
      </c>
      <c r="W36">
        <v>33</v>
      </c>
      <c r="Z36">
        <v>12.7706</v>
      </c>
      <c r="AA36">
        <v>35</v>
      </c>
      <c r="AB36">
        <v>12.7448</v>
      </c>
      <c r="AC36">
        <v>34</v>
      </c>
      <c r="AF36">
        <v>12.7706</v>
      </c>
      <c r="AG36">
        <v>35</v>
      </c>
      <c r="AH36">
        <v>12.7492</v>
      </c>
      <c r="AI36">
        <v>33</v>
      </c>
      <c r="AL36">
        <v>12.847200000000001</v>
      </c>
      <c r="AM36">
        <v>34</v>
      </c>
      <c r="AN36">
        <v>12.794700000000001</v>
      </c>
      <c r="AO36">
        <v>45</v>
      </c>
    </row>
    <row r="37" spans="2:41" x14ac:dyDescent="0.2">
      <c r="B37">
        <v>16.517800000000001</v>
      </c>
      <c r="C37">
        <v>32</v>
      </c>
      <c r="D37">
        <v>16.450600000000001</v>
      </c>
      <c r="E37">
        <v>34</v>
      </c>
      <c r="H37">
        <v>16.517800000000001</v>
      </c>
      <c r="I37">
        <v>32</v>
      </c>
      <c r="J37">
        <v>16.492999999999999</v>
      </c>
      <c r="K37">
        <v>23</v>
      </c>
      <c r="N37">
        <v>16.517800000000001</v>
      </c>
      <c r="O37">
        <v>32</v>
      </c>
      <c r="P37">
        <v>16.463899999999999</v>
      </c>
      <c r="Q37">
        <v>41</v>
      </c>
      <c r="T37">
        <v>16.512599999999999</v>
      </c>
      <c r="U37">
        <v>31</v>
      </c>
      <c r="V37">
        <v>16.508400000000002</v>
      </c>
      <c r="W37">
        <v>48</v>
      </c>
      <c r="Z37">
        <v>16.4194</v>
      </c>
      <c r="AA37">
        <v>32</v>
      </c>
      <c r="AB37">
        <v>16.386199999999999</v>
      </c>
      <c r="AC37">
        <v>24</v>
      </c>
      <c r="AF37">
        <v>16.4194</v>
      </c>
      <c r="AG37">
        <v>32</v>
      </c>
      <c r="AH37">
        <v>16.3918</v>
      </c>
      <c r="AI37">
        <v>48</v>
      </c>
      <c r="AL37">
        <v>16.517800000000001</v>
      </c>
      <c r="AM37">
        <v>32</v>
      </c>
      <c r="AN37">
        <v>16.450399999999998</v>
      </c>
      <c r="AO37">
        <v>32</v>
      </c>
    </row>
    <row r="38" spans="2:41" x14ac:dyDescent="0.2">
      <c r="B38">
        <v>20.188400000000001</v>
      </c>
      <c r="C38">
        <v>28</v>
      </c>
      <c r="D38">
        <v>20.106300000000001</v>
      </c>
      <c r="E38">
        <v>36</v>
      </c>
      <c r="H38">
        <v>20.188400000000001</v>
      </c>
      <c r="I38">
        <v>28</v>
      </c>
      <c r="J38">
        <v>20.158100000000001</v>
      </c>
      <c r="K38">
        <v>24</v>
      </c>
      <c r="N38">
        <v>20.188400000000001</v>
      </c>
      <c r="O38">
        <v>28</v>
      </c>
      <c r="P38">
        <v>20.122599999999998</v>
      </c>
      <c r="Q38">
        <v>27</v>
      </c>
      <c r="T38">
        <v>20.181999999999999</v>
      </c>
      <c r="U38">
        <v>28</v>
      </c>
      <c r="V38">
        <v>20.1769</v>
      </c>
      <c r="W38">
        <v>36</v>
      </c>
      <c r="Z38">
        <v>20.068100000000001</v>
      </c>
      <c r="AA38">
        <v>27</v>
      </c>
      <c r="AB38">
        <v>20.0275</v>
      </c>
      <c r="AC38">
        <v>42</v>
      </c>
      <c r="AF38">
        <v>20.068100000000001</v>
      </c>
      <c r="AG38">
        <v>27</v>
      </c>
      <c r="AH38">
        <v>20.034500000000001</v>
      </c>
      <c r="AI38">
        <v>31</v>
      </c>
      <c r="AL38">
        <v>20.188400000000001</v>
      </c>
      <c r="AM38">
        <v>28</v>
      </c>
      <c r="AN38">
        <v>20.106000000000002</v>
      </c>
      <c r="AO38">
        <v>31</v>
      </c>
    </row>
    <row r="39" spans="2:41" x14ac:dyDescent="0.2">
      <c r="B39">
        <v>23.859100000000002</v>
      </c>
      <c r="C39">
        <v>33</v>
      </c>
      <c r="D39">
        <v>23.762</v>
      </c>
      <c r="E39">
        <v>38</v>
      </c>
      <c r="H39">
        <v>23.859100000000002</v>
      </c>
      <c r="I39">
        <v>33</v>
      </c>
      <c r="J39">
        <v>23.8232</v>
      </c>
      <c r="K39">
        <v>31</v>
      </c>
      <c r="N39">
        <v>23.859100000000002</v>
      </c>
      <c r="O39">
        <v>33</v>
      </c>
      <c r="P39">
        <v>23.781199999999998</v>
      </c>
      <c r="Q39">
        <v>30</v>
      </c>
      <c r="T39">
        <v>23.851500000000001</v>
      </c>
      <c r="U39">
        <v>33</v>
      </c>
      <c r="V39">
        <v>23.845400000000001</v>
      </c>
      <c r="W39">
        <v>45</v>
      </c>
      <c r="Z39">
        <v>23.716899999999999</v>
      </c>
      <c r="AA39">
        <v>34</v>
      </c>
      <c r="AB39">
        <v>23.668900000000001</v>
      </c>
      <c r="AC39">
        <v>35</v>
      </c>
      <c r="AF39">
        <v>23.716899999999999</v>
      </c>
      <c r="AG39">
        <v>34</v>
      </c>
      <c r="AH39">
        <v>23.677099999999999</v>
      </c>
      <c r="AI39">
        <v>38</v>
      </c>
      <c r="AL39">
        <v>23.859100000000002</v>
      </c>
      <c r="AM39">
        <v>33</v>
      </c>
      <c r="AN39">
        <v>23.761700000000001</v>
      </c>
      <c r="AO39">
        <v>45</v>
      </c>
    </row>
    <row r="40" spans="2:41" x14ac:dyDescent="0.2">
      <c r="B40">
        <v>27.529699999999998</v>
      </c>
      <c r="C40">
        <v>42</v>
      </c>
      <c r="D40">
        <v>27.4177</v>
      </c>
      <c r="E40">
        <v>31</v>
      </c>
      <c r="H40">
        <v>27.529699999999998</v>
      </c>
      <c r="I40">
        <v>42</v>
      </c>
      <c r="J40">
        <v>27.488299999999999</v>
      </c>
      <c r="K40">
        <v>39</v>
      </c>
      <c r="N40">
        <v>27.529699999999998</v>
      </c>
      <c r="O40">
        <v>42</v>
      </c>
      <c r="P40">
        <v>27.439900000000002</v>
      </c>
      <c r="Q40">
        <v>32</v>
      </c>
      <c r="T40">
        <v>27.521000000000001</v>
      </c>
      <c r="U40">
        <v>41</v>
      </c>
      <c r="V40">
        <v>27.513999999999999</v>
      </c>
      <c r="W40">
        <v>39</v>
      </c>
      <c r="Z40">
        <v>27.3657</v>
      </c>
      <c r="AA40">
        <v>41</v>
      </c>
      <c r="AB40">
        <v>27.310300000000002</v>
      </c>
      <c r="AC40">
        <v>36</v>
      </c>
      <c r="AF40">
        <v>27.3657</v>
      </c>
      <c r="AG40">
        <v>41</v>
      </c>
      <c r="AH40">
        <v>27.319700000000001</v>
      </c>
      <c r="AI40">
        <v>35</v>
      </c>
      <c r="AL40">
        <v>27.529699999999998</v>
      </c>
      <c r="AM40">
        <v>42</v>
      </c>
      <c r="AN40">
        <v>27.417300000000001</v>
      </c>
      <c r="AO40">
        <v>44</v>
      </c>
    </row>
    <row r="41" spans="2:41" x14ac:dyDescent="0.2">
      <c r="B41">
        <v>31.200299999999999</v>
      </c>
      <c r="C41">
        <v>35</v>
      </c>
      <c r="D41">
        <v>31.073399999999999</v>
      </c>
      <c r="E41">
        <v>42</v>
      </c>
      <c r="H41">
        <v>31.200299999999999</v>
      </c>
      <c r="I41">
        <v>35</v>
      </c>
      <c r="J41">
        <v>31.153400000000001</v>
      </c>
      <c r="K41">
        <v>27</v>
      </c>
      <c r="N41">
        <v>31.200299999999999</v>
      </c>
      <c r="O41">
        <v>35</v>
      </c>
      <c r="P41">
        <v>31.098500000000001</v>
      </c>
      <c r="Q41">
        <v>39</v>
      </c>
      <c r="T41">
        <v>31.1904</v>
      </c>
      <c r="U41">
        <v>37</v>
      </c>
      <c r="V41">
        <v>31.182500000000001</v>
      </c>
      <c r="W41">
        <v>40</v>
      </c>
      <c r="Z41">
        <v>31.014399999999998</v>
      </c>
      <c r="AA41">
        <v>36</v>
      </c>
      <c r="AB41">
        <v>30.951599999999999</v>
      </c>
      <c r="AC41">
        <v>40</v>
      </c>
      <c r="AF41">
        <v>31.014399999999998</v>
      </c>
      <c r="AG41">
        <v>36</v>
      </c>
      <c r="AH41">
        <v>30.962299999999999</v>
      </c>
      <c r="AI41">
        <v>47</v>
      </c>
      <c r="AL41">
        <v>31.200299999999999</v>
      </c>
      <c r="AM41">
        <v>35</v>
      </c>
      <c r="AN41">
        <v>31.072900000000001</v>
      </c>
      <c r="AO41">
        <v>43</v>
      </c>
    </row>
    <row r="42" spans="2:41" x14ac:dyDescent="0.2">
      <c r="B42">
        <v>34.871000000000002</v>
      </c>
      <c r="C42">
        <v>36</v>
      </c>
      <c r="D42">
        <v>34.729100000000003</v>
      </c>
      <c r="E42">
        <v>36</v>
      </c>
      <c r="H42">
        <v>34.871000000000002</v>
      </c>
      <c r="I42">
        <v>36</v>
      </c>
      <c r="J42">
        <v>34.8185</v>
      </c>
      <c r="K42">
        <v>37</v>
      </c>
      <c r="N42">
        <v>34.871000000000002</v>
      </c>
      <c r="O42">
        <v>36</v>
      </c>
      <c r="P42">
        <v>34.757199999999997</v>
      </c>
      <c r="Q42">
        <v>25</v>
      </c>
      <c r="T42">
        <v>34.859900000000003</v>
      </c>
      <c r="U42">
        <v>33</v>
      </c>
      <c r="V42">
        <v>34.850999999999999</v>
      </c>
      <c r="W42">
        <v>39</v>
      </c>
      <c r="Z42">
        <v>34.663200000000003</v>
      </c>
      <c r="AA42">
        <v>31</v>
      </c>
      <c r="AB42">
        <v>34.593000000000004</v>
      </c>
      <c r="AC42">
        <v>34</v>
      </c>
      <c r="AF42">
        <v>34.663200000000003</v>
      </c>
      <c r="AG42">
        <v>31</v>
      </c>
      <c r="AH42">
        <v>34.604999999999997</v>
      </c>
      <c r="AI42">
        <v>47</v>
      </c>
      <c r="AL42">
        <v>34.871000000000002</v>
      </c>
      <c r="AM42">
        <v>36</v>
      </c>
      <c r="AN42">
        <v>34.7286</v>
      </c>
      <c r="AO42">
        <v>39</v>
      </c>
    </row>
    <row r="43" spans="2:41" x14ac:dyDescent="0.2">
      <c r="B43">
        <v>38.541600000000003</v>
      </c>
      <c r="C43">
        <v>28</v>
      </c>
      <c r="D43">
        <v>38.384799999999998</v>
      </c>
      <c r="E43">
        <v>34</v>
      </c>
      <c r="H43">
        <v>38.541600000000003</v>
      </c>
      <c r="I43">
        <v>28</v>
      </c>
      <c r="J43">
        <v>38.483600000000003</v>
      </c>
      <c r="K43">
        <v>44</v>
      </c>
      <c r="N43">
        <v>38.541600000000003</v>
      </c>
      <c r="O43">
        <v>28</v>
      </c>
      <c r="P43">
        <v>38.415799999999997</v>
      </c>
      <c r="Q43">
        <v>40</v>
      </c>
      <c r="T43">
        <v>38.529299999999999</v>
      </c>
      <c r="U43">
        <v>29</v>
      </c>
      <c r="V43">
        <v>38.519500000000001</v>
      </c>
      <c r="W43">
        <v>27</v>
      </c>
      <c r="Z43">
        <v>38.311900000000001</v>
      </c>
      <c r="AA43">
        <v>33</v>
      </c>
      <c r="AB43">
        <v>38.234400000000001</v>
      </c>
      <c r="AC43">
        <v>39</v>
      </c>
      <c r="AF43">
        <v>38.311900000000001</v>
      </c>
      <c r="AG43">
        <v>33</v>
      </c>
      <c r="AH43">
        <v>38.247599999999998</v>
      </c>
      <c r="AI43">
        <v>29</v>
      </c>
      <c r="AL43">
        <v>38.541600000000003</v>
      </c>
      <c r="AM43">
        <v>28</v>
      </c>
      <c r="AN43">
        <v>38.3842</v>
      </c>
      <c r="AO43">
        <v>37</v>
      </c>
    </row>
    <row r="44" spans="2:41" x14ac:dyDescent="0.2">
      <c r="B44">
        <v>42.212200000000003</v>
      </c>
      <c r="C44">
        <v>37</v>
      </c>
      <c r="D44">
        <v>42.040399999999998</v>
      </c>
      <c r="E44">
        <v>41</v>
      </c>
      <c r="H44">
        <v>42.212200000000003</v>
      </c>
      <c r="I44">
        <v>37</v>
      </c>
      <c r="J44">
        <v>42.148699999999998</v>
      </c>
      <c r="K44">
        <v>29</v>
      </c>
      <c r="N44">
        <v>42.212200000000003</v>
      </c>
      <c r="O44">
        <v>37</v>
      </c>
      <c r="P44">
        <v>42.0745</v>
      </c>
      <c r="Q44">
        <v>36</v>
      </c>
      <c r="T44">
        <v>42.198799999999999</v>
      </c>
      <c r="U44">
        <v>39</v>
      </c>
      <c r="V44">
        <v>42.188099999999999</v>
      </c>
      <c r="W44">
        <v>48</v>
      </c>
      <c r="Z44">
        <v>41.960700000000003</v>
      </c>
      <c r="AA44">
        <v>36</v>
      </c>
      <c r="AB44">
        <v>41.875700000000002</v>
      </c>
      <c r="AC44">
        <v>39</v>
      </c>
      <c r="AF44">
        <v>41.960700000000003</v>
      </c>
      <c r="AG44">
        <v>36</v>
      </c>
      <c r="AH44">
        <v>41.8902</v>
      </c>
      <c r="AI44">
        <v>33</v>
      </c>
      <c r="AL44">
        <v>42.212200000000003</v>
      </c>
      <c r="AM44">
        <v>37</v>
      </c>
      <c r="AN44">
        <v>42.039900000000003</v>
      </c>
      <c r="AO44">
        <v>36</v>
      </c>
    </row>
    <row r="45" spans="2:41" x14ac:dyDescent="0.2">
      <c r="B45">
        <v>45.882800000000003</v>
      </c>
      <c r="C45">
        <v>31</v>
      </c>
      <c r="D45">
        <v>45.696100000000001</v>
      </c>
      <c r="E45">
        <v>31</v>
      </c>
      <c r="H45">
        <v>45.882800000000003</v>
      </c>
      <c r="I45">
        <v>31</v>
      </c>
      <c r="J45">
        <v>45.813800000000001</v>
      </c>
      <c r="K45">
        <v>45</v>
      </c>
      <c r="N45">
        <v>45.882800000000003</v>
      </c>
      <c r="O45">
        <v>31</v>
      </c>
      <c r="P45">
        <v>45.7331</v>
      </c>
      <c r="Q45">
        <v>38</v>
      </c>
      <c r="T45">
        <v>45.868200000000002</v>
      </c>
      <c r="U45">
        <v>29</v>
      </c>
      <c r="V45">
        <v>45.8566</v>
      </c>
      <c r="W45">
        <v>29</v>
      </c>
      <c r="Z45">
        <v>45.609400000000001</v>
      </c>
      <c r="AA45">
        <v>29</v>
      </c>
      <c r="AB45">
        <v>45.517099999999999</v>
      </c>
      <c r="AC45">
        <v>39</v>
      </c>
      <c r="AF45">
        <v>45.609400000000001</v>
      </c>
      <c r="AG45">
        <v>29</v>
      </c>
      <c r="AH45">
        <v>45.532899999999998</v>
      </c>
      <c r="AI45">
        <v>34</v>
      </c>
      <c r="AL45">
        <v>45.882800000000003</v>
      </c>
      <c r="AM45">
        <v>31</v>
      </c>
      <c r="AN45">
        <v>45.695500000000003</v>
      </c>
      <c r="AO45">
        <v>41</v>
      </c>
    </row>
    <row r="46" spans="2:41" x14ac:dyDescent="0.2">
      <c r="B46">
        <v>49.5535</v>
      </c>
      <c r="C46">
        <v>36</v>
      </c>
      <c r="D46">
        <v>49.351799999999997</v>
      </c>
      <c r="E46">
        <v>41</v>
      </c>
      <c r="H46">
        <v>49.5535</v>
      </c>
      <c r="I46">
        <v>36</v>
      </c>
      <c r="J46">
        <v>49.478999999999999</v>
      </c>
      <c r="K46">
        <v>39</v>
      </c>
      <c r="N46">
        <v>49.5535</v>
      </c>
      <c r="O46">
        <v>36</v>
      </c>
      <c r="P46">
        <v>49.391800000000003</v>
      </c>
      <c r="Q46">
        <v>38</v>
      </c>
      <c r="T46">
        <v>49.537700000000001</v>
      </c>
      <c r="U46">
        <v>39</v>
      </c>
      <c r="V46">
        <v>49.525100000000002</v>
      </c>
      <c r="W46">
        <v>34</v>
      </c>
      <c r="Z46">
        <v>49.258200000000002</v>
      </c>
      <c r="AA46">
        <v>40</v>
      </c>
      <c r="AB46">
        <v>49.158499999999997</v>
      </c>
      <c r="AC46">
        <v>36</v>
      </c>
      <c r="AF46">
        <v>49.258200000000002</v>
      </c>
      <c r="AG46">
        <v>40</v>
      </c>
      <c r="AH46">
        <v>49.1755</v>
      </c>
      <c r="AI46">
        <v>42</v>
      </c>
      <c r="AL46">
        <v>49.5535</v>
      </c>
      <c r="AM46">
        <v>36</v>
      </c>
      <c r="AN46">
        <v>49.351199999999999</v>
      </c>
      <c r="AO46">
        <v>38</v>
      </c>
    </row>
    <row r="47" spans="2:41" x14ac:dyDescent="0.2">
      <c r="B47">
        <v>53.2241</v>
      </c>
      <c r="C47">
        <v>35</v>
      </c>
      <c r="D47">
        <v>53.0075</v>
      </c>
      <c r="E47">
        <v>25</v>
      </c>
      <c r="H47">
        <v>53.2241</v>
      </c>
      <c r="I47">
        <v>35</v>
      </c>
      <c r="J47">
        <v>53.144100000000002</v>
      </c>
      <c r="K47">
        <v>44</v>
      </c>
      <c r="N47">
        <v>53.2241</v>
      </c>
      <c r="O47">
        <v>35</v>
      </c>
      <c r="P47">
        <v>53.050400000000003</v>
      </c>
      <c r="Q47">
        <v>32</v>
      </c>
      <c r="T47">
        <v>53.2072</v>
      </c>
      <c r="U47">
        <v>32</v>
      </c>
      <c r="V47">
        <v>53.193600000000004</v>
      </c>
      <c r="W47">
        <v>47</v>
      </c>
      <c r="Z47">
        <v>52.9069</v>
      </c>
      <c r="AA47">
        <v>35</v>
      </c>
      <c r="AB47">
        <v>52.799799999999998</v>
      </c>
      <c r="AC47">
        <v>34</v>
      </c>
      <c r="AF47">
        <v>52.9069</v>
      </c>
      <c r="AG47">
        <v>35</v>
      </c>
      <c r="AH47">
        <v>52.818100000000001</v>
      </c>
      <c r="AI47">
        <v>37</v>
      </c>
      <c r="AL47">
        <v>53.2241</v>
      </c>
      <c r="AM47">
        <v>35</v>
      </c>
      <c r="AN47">
        <v>53.006799999999998</v>
      </c>
      <c r="AO47">
        <v>37</v>
      </c>
    </row>
    <row r="48" spans="2:41" x14ac:dyDescent="0.2">
      <c r="B48">
        <v>56.8947</v>
      </c>
      <c r="C48">
        <v>35</v>
      </c>
      <c r="D48">
        <v>56.663200000000003</v>
      </c>
      <c r="E48">
        <v>41</v>
      </c>
      <c r="H48">
        <v>56.8947</v>
      </c>
      <c r="I48">
        <v>35</v>
      </c>
      <c r="J48">
        <v>56.809199999999997</v>
      </c>
      <c r="K48">
        <v>42</v>
      </c>
      <c r="N48">
        <v>56.8947</v>
      </c>
      <c r="O48">
        <v>35</v>
      </c>
      <c r="P48">
        <v>56.709099999999999</v>
      </c>
      <c r="Q48">
        <v>37</v>
      </c>
      <c r="T48">
        <v>56.876600000000003</v>
      </c>
      <c r="U48">
        <v>36</v>
      </c>
      <c r="V48">
        <v>56.862200000000001</v>
      </c>
      <c r="W48">
        <v>41</v>
      </c>
      <c r="Z48">
        <v>56.555700000000002</v>
      </c>
      <c r="AA48">
        <v>33</v>
      </c>
      <c r="AB48">
        <v>56.441200000000002</v>
      </c>
      <c r="AC48">
        <v>34</v>
      </c>
      <c r="AF48">
        <v>56.555700000000002</v>
      </c>
      <c r="AG48">
        <v>33</v>
      </c>
      <c r="AH48">
        <v>56.460700000000003</v>
      </c>
      <c r="AI48">
        <v>38</v>
      </c>
      <c r="AL48">
        <v>56.8947</v>
      </c>
      <c r="AM48">
        <v>35</v>
      </c>
      <c r="AN48">
        <v>56.662399999999998</v>
      </c>
      <c r="AO48">
        <v>35</v>
      </c>
    </row>
    <row r="49" spans="2:42" x14ac:dyDescent="0.2">
      <c r="B49">
        <v>60.565300000000001</v>
      </c>
      <c r="C49">
        <v>36</v>
      </c>
      <c r="D49">
        <v>60.318899999999999</v>
      </c>
      <c r="E49">
        <v>35</v>
      </c>
      <c r="H49">
        <v>60.565300000000001</v>
      </c>
      <c r="I49">
        <v>36</v>
      </c>
      <c r="J49">
        <v>60.474299999999999</v>
      </c>
      <c r="K49">
        <v>40</v>
      </c>
      <c r="N49">
        <v>60.565300000000001</v>
      </c>
      <c r="O49">
        <v>36</v>
      </c>
      <c r="P49">
        <v>60.367699999999999</v>
      </c>
      <c r="Q49">
        <v>39</v>
      </c>
      <c r="T49">
        <v>60.546100000000003</v>
      </c>
      <c r="U49">
        <v>36</v>
      </c>
      <c r="V49">
        <v>60.530700000000003</v>
      </c>
      <c r="W49">
        <v>35</v>
      </c>
      <c r="Z49">
        <v>60.2044</v>
      </c>
      <c r="AA49">
        <v>36</v>
      </c>
      <c r="AB49">
        <v>60.082599999999999</v>
      </c>
      <c r="AC49">
        <v>41</v>
      </c>
      <c r="AF49">
        <v>60.2044</v>
      </c>
      <c r="AG49">
        <v>36</v>
      </c>
      <c r="AH49">
        <v>60.103400000000001</v>
      </c>
      <c r="AI49">
        <v>24</v>
      </c>
      <c r="AL49">
        <v>60.565300000000001</v>
      </c>
      <c r="AM49">
        <v>36</v>
      </c>
      <c r="AN49">
        <v>60.318100000000001</v>
      </c>
      <c r="AO49">
        <v>35</v>
      </c>
    </row>
    <row r="50" spans="2:42" x14ac:dyDescent="0.2">
      <c r="B50">
        <v>64.236000000000004</v>
      </c>
      <c r="C50">
        <v>44</v>
      </c>
      <c r="D50">
        <v>63.974600000000002</v>
      </c>
      <c r="E50">
        <v>42</v>
      </c>
      <c r="H50">
        <v>64.236000000000004</v>
      </c>
      <c r="I50">
        <v>44</v>
      </c>
      <c r="J50">
        <v>64.139399999999995</v>
      </c>
      <c r="K50">
        <v>41</v>
      </c>
      <c r="N50">
        <v>64.236000000000004</v>
      </c>
      <c r="O50">
        <v>44</v>
      </c>
      <c r="P50">
        <v>64.026399999999995</v>
      </c>
      <c r="Q50">
        <v>45</v>
      </c>
      <c r="T50">
        <v>64.215599999999995</v>
      </c>
      <c r="U50">
        <v>41</v>
      </c>
      <c r="V50">
        <v>64.199200000000005</v>
      </c>
      <c r="W50">
        <v>55</v>
      </c>
      <c r="Z50">
        <v>63.853200000000001</v>
      </c>
      <c r="AA50">
        <v>42</v>
      </c>
      <c r="AB50">
        <v>63.7239</v>
      </c>
      <c r="AC50">
        <v>39</v>
      </c>
      <c r="AF50">
        <v>63.853200000000001</v>
      </c>
      <c r="AG50">
        <v>42</v>
      </c>
      <c r="AH50">
        <v>63.746000000000002</v>
      </c>
      <c r="AI50">
        <v>41</v>
      </c>
      <c r="AL50">
        <v>64.236000000000004</v>
      </c>
      <c r="AM50">
        <v>44</v>
      </c>
      <c r="AN50">
        <v>63.973700000000001</v>
      </c>
      <c r="AO50">
        <v>36</v>
      </c>
    </row>
    <row r="51" spans="2:42" x14ac:dyDescent="0.2">
      <c r="B51">
        <v>67.906599999999997</v>
      </c>
      <c r="C51">
        <v>39</v>
      </c>
      <c r="D51">
        <v>67.630300000000005</v>
      </c>
      <c r="E51">
        <v>38</v>
      </c>
      <c r="H51">
        <v>67.906599999999997</v>
      </c>
      <c r="I51">
        <v>39</v>
      </c>
      <c r="J51">
        <v>67.804500000000004</v>
      </c>
      <c r="K51">
        <v>37</v>
      </c>
      <c r="N51">
        <v>67.906599999999997</v>
      </c>
      <c r="O51">
        <v>39</v>
      </c>
      <c r="P51">
        <v>67.685000000000002</v>
      </c>
      <c r="Q51">
        <v>29</v>
      </c>
      <c r="T51">
        <v>67.885000000000005</v>
      </c>
      <c r="U51">
        <v>39</v>
      </c>
      <c r="V51">
        <v>67.867800000000003</v>
      </c>
      <c r="W51">
        <v>34</v>
      </c>
      <c r="Z51">
        <v>67.501900000000006</v>
      </c>
      <c r="AA51">
        <v>38</v>
      </c>
      <c r="AB51">
        <v>67.365300000000005</v>
      </c>
      <c r="AC51">
        <v>39</v>
      </c>
      <c r="AF51">
        <v>67.501900000000006</v>
      </c>
      <c r="AG51">
        <v>38</v>
      </c>
      <c r="AH51">
        <v>67.388599999999997</v>
      </c>
      <c r="AI51">
        <v>38</v>
      </c>
      <c r="AL51">
        <v>67.906599999999997</v>
      </c>
      <c r="AM51">
        <v>39</v>
      </c>
      <c r="AN51">
        <v>67.629400000000004</v>
      </c>
      <c r="AO51">
        <v>33</v>
      </c>
    </row>
    <row r="52" spans="2:42" x14ac:dyDescent="0.2">
      <c r="B52">
        <v>71.577200000000005</v>
      </c>
      <c r="C52">
        <v>30</v>
      </c>
      <c r="D52">
        <v>71.285899999999998</v>
      </c>
      <c r="E52">
        <v>41</v>
      </c>
      <c r="H52">
        <v>71.577200000000005</v>
      </c>
      <c r="I52">
        <v>30</v>
      </c>
      <c r="J52">
        <v>71.4696</v>
      </c>
      <c r="K52">
        <v>25</v>
      </c>
      <c r="N52">
        <v>71.577200000000005</v>
      </c>
      <c r="O52">
        <v>30</v>
      </c>
      <c r="P52">
        <v>71.343699999999998</v>
      </c>
      <c r="Q52">
        <v>39</v>
      </c>
      <c r="T52">
        <v>71.554500000000004</v>
      </c>
      <c r="U52">
        <v>33</v>
      </c>
      <c r="V52">
        <v>71.536299999999997</v>
      </c>
      <c r="W52">
        <v>41</v>
      </c>
      <c r="Z52">
        <v>71.150700000000001</v>
      </c>
      <c r="AA52">
        <v>34</v>
      </c>
      <c r="AB52">
        <v>71.006699999999995</v>
      </c>
      <c r="AC52">
        <v>27</v>
      </c>
      <c r="AF52">
        <v>71.150700000000001</v>
      </c>
      <c r="AG52">
        <v>34</v>
      </c>
      <c r="AH52">
        <v>71.031300000000002</v>
      </c>
      <c r="AI52">
        <v>31</v>
      </c>
      <c r="AL52">
        <v>71.577200000000005</v>
      </c>
      <c r="AM52">
        <v>30</v>
      </c>
      <c r="AN52">
        <v>71.284999999999997</v>
      </c>
      <c r="AO52">
        <v>30</v>
      </c>
    </row>
    <row r="53" spans="2:42" x14ac:dyDescent="0.2">
      <c r="B53">
        <v>75.247799999999998</v>
      </c>
      <c r="C53">
        <v>34</v>
      </c>
      <c r="D53">
        <v>74.941699999999997</v>
      </c>
      <c r="E53">
        <v>41</v>
      </c>
      <c r="H53">
        <v>75.247799999999998</v>
      </c>
      <c r="I53">
        <v>34</v>
      </c>
      <c r="J53">
        <v>75.134699999999995</v>
      </c>
      <c r="K53">
        <v>33</v>
      </c>
      <c r="N53">
        <v>75.247799999999998</v>
      </c>
      <c r="O53">
        <v>34</v>
      </c>
      <c r="P53">
        <v>75.002300000000005</v>
      </c>
      <c r="Q53">
        <v>36</v>
      </c>
      <c r="T53">
        <v>75.2239</v>
      </c>
      <c r="U53">
        <v>34</v>
      </c>
      <c r="V53">
        <v>75.204800000000006</v>
      </c>
      <c r="W53">
        <v>40</v>
      </c>
      <c r="Z53">
        <v>74.799499999999995</v>
      </c>
      <c r="AA53">
        <v>33</v>
      </c>
      <c r="AB53">
        <v>74.647999999999996</v>
      </c>
      <c r="AC53">
        <v>35</v>
      </c>
      <c r="AF53">
        <v>74.799499999999995</v>
      </c>
      <c r="AG53">
        <v>33</v>
      </c>
      <c r="AH53">
        <v>74.673900000000003</v>
      </c>
      <c r="AI53">
        <v>27</v>
      </c>
      <c r="AL53">
        <v>75.247799999999998</v>
      </c>
      <c r="AM53">
        <v>34</v>
      </c>
      <c r="AN53">
        <v>74.940600000000003</v>
      </c>
      <c r="AO53">
        <v>45</v>
      </c>
    </row>
    <row r="54" spans="2:42" x14ac:dyDescent="0.2">
      <c r="B54">
        <v>78.918499999999995</v>
      </c>
      <c r="C54">
        <v>42</v>
      </c>
      <c r="D54">
        <v>78.597300000000004</v>
      </c>
      <c r="E54">
        <v>40</v>
      </c>
      <c r="H54">
        <v>78.918499999999995</v>
      </c>
      <c r="I54">
        <v>42</v>
      </c>
      <c r="J54">
        <v>78.799800000000005</v>
      </c>
      <c r="K54">
        <v>39</v>
      </c>
      <c r="N54">
        <v>78.918499999999995</v>
      </c>
      <c r="O54">
        <v>42</v>
      </c>
      <c r="P54">
        <v>78.661000000000001</v>
      </c>
      <c r="Q54">
        <v>34</v>
      </c>
      <c r="T54">
        <v>78.8934</v>
      </c>
      <c r="U54">
        <v>43</v>
      </c>
      <c r="V54">
        <v>78.8733</v>
      </c>
      <c r="W54">
        <v>35</v>
      </c>
      <c r="Z54">
        <v>78.4482</v>
      </c>
      <c r="AA54">
        <v>42</v>
      </c>
      <c r="AB54">
        <v>78.289400000000001</v>
      </c>
      <c r="AC54">
        <v>46</v>
      </c>
      <c r="AF54">
        <v>78.4482</v>
      </c>
      <c r="AG54">
        <v>42</v>
      </c>
      <c r="AH54">
        <v>78.316500000000005</v>
      </c>
      <c r="AI54">
        <v>40</v>
      </c>
      <c r="AL54">
        <v>78.918499999999995</v>
      </c>
      <c r="AM54">
        <v>42</v>
      </c>
      <c r="AN54">
        <v>78.596299999999999</v>
      </c>
      <c r="AO54">
        <v>37</v>
      </c>
    </row>
    <row r="55" spans="2:42" x14ac:dyDescent="0.2">
      <c r="B55">
        <v>82.589100000000002</v>
      </c>
      <c r="C55">
        <v>22</v>
      </c>
      <c r="D55">
        <v>82.253</v>
      </c>
      <c r="E55">
        <v>38</v>
      </c>
      <c r="H55">
        <v>82.589100000000002</v>
      </c>
      <c r="I55">
        <v>22</v>
      </c>
      <c r="J55">
        <v>82.4649</v>
      </c>
      <c r="K55">
        <v>32</v>
      </c>
      <c r="N55">
        <v>82.589100000000002</v>
      </c>
      <c r="O55">
        <v>22</v>
      </c>
      <c r="P55">
        <v>82.319599999999994</v>
      </c>
      <c r="Q55">
        <v>27</v>
      </c>
      <c r="T55">
        <v>82.562799999999996</v>
      </c>
      <c r="U55">
        <v>21</v>
      </c>
      <c r="V55">
        <v>82.541899999999998</v>
      </c>
      <c r="W55">
        <v>41</v>
      </c>
      <c r="Z55">
        <v>82.096999999999994</v>
      </c>
      <c r="AA55">
        <v>23</v>
      </c>
      <c r="AB55">
        <v>81.930800000000005</v>
      </c>
      <c r="AC55">
        <v>34</v>
      </c>
      <c r="AF55">
        <v>82.096999999999994</v>
      </c>
      <c r="AG55">
        <v>23</v>
      </c>
      <c r="AH55">
        <v>81.959100000000007</v>
      </c>
      <c r="AI55">
        <v>30</v>
      </c>
      <c r="AL55">
        <v>82.589100000000002</v>
      </c>
      <c r="AM55">
        <v>22</v>
      </c>
      <c r="AN55">
        <v>82.251900000000006</v>
      </c>
      <c r="AO55">
        <v>41</v>
      </c>
    </row>
    <row r="56" spans="2:42" x14ac:dyDescent="0.2">
      <c r="B56">
        <v>86.259699999999995</v>
      </c>
      <c r="C56">
        <v>44</v>
      </c>
      <c r="D56">
        <v>85.908699999999996</v>
      </c>
      <c r="E56">
        <v>33</v>
      </c>
      <c r="H56">
        <v>86.259699999999995</v>
      </c>
      <c r="I56">
        <v>44</v>
      </c>
      <c r="J56">
        <v>86.13</v>
      </c>
      <c r="K56">
        <v>32</v>
      </c>
      <c r="N56">
        <v>86.259699999999995</v>
      </c>
      <c r="O56">
        <v>44</v>
      </c>
      <c r="P56">
        <v>85.978300000000004</v>
      </c>
      <c r="Q56">
        <v>34</v>
      </c>
      <c r="T56">
        <v>86.232299999999995</v>
      </c>
      <c r="U56">
        <v>45</v>
      </c>
      <c r="V56">
        <v>86.210400000000007</v>
      </c>
      <c r="W56">
        <v>13</v>
      </c>
      <c r="Z56">
        <v>85.745699999999999</v>
      </c>
      <c r="AA56">
        <v>43</v>
      </c>
      <c r="AB56">
        <v>85.572199999999995</v>
      </c>
      <c r="AC56">
        <v>40</v>
      </c>
      <c r="AF56">
        <v>85.745699999999999</v>
      </c>
      <c r="AG56">
        <v>43</v>
      </c>
      <c r="AH56">
        <v>85.601799999999997</v>
      </c>
      <c r="AI56">
        <v>32</v>
      </c>
      <c r="AL56">
        <v>86.259699999999995</v>
      </c>
      <c r="AM56">
        <v>44</v>
      </c>
      <c r="AN56">
        <v>85.907600000000002</v>
      </c>
      <c r="AO56">
        <v>20</v>
      </c>
    </row>
    <row r="57" spans="2:42" x14ac:dyDescent="0.2">
      <c r="B57">
        <v>89.930400000000006</v>
      </c>
      <c r="C57">
        <v>28</v>
      </c>
      <c r="D57">
        <v>89.564400000000006</v>
      </c>
      <c r="E57">
        <v>20</v>
      </c>
      <c r="H57">
        <v>89.930400000000006</v>
      </c>
      <c r="I57">
        <v>28</v>
      </c>
      <c r="J57">
        <v>89.795199999999994</v>
      </c>
      <c r="K57">
        <v>22</v>
      </c>
      <c r="N57">
        <v>89.930400000000006</v>
      </c>
      <c r="O57">
        <v>28</v>
      </c>
      <c r="P57">
        <v>89.636899999999997</v>
      </c>
      <c r="Q57">
        <v>10</v>
      </c>
      <c r="T57">
        <v>89.901799999999994</v>
      </c>
      <c r="U57">
        <v>22</v>
      </c>
      <c r="V57">
        <v>89.878900000000002</v>
      </c>
      <c r="W57">
        <v>19</v>
      </c>
      <c r="Z57">
        <v>89.394499999999994</v>
      </c>
      <c r="AA57">
        <v>29</v>
      </c>
      <c r="AB57">
        <v>89.213499999999996</v>
      </c>
      <c r="AC57">
        <v>19</v>
      </c>
      <c r="AF57">
        <v>89.394499999999994</v>
      </c>
      <c r="AG57">
        <v>29</v>
      </c>
      <c r="AH57">
        <v>89.244399999999999</v>
      </c>
      <c r="AI57">
        <v>20</v>
      </c>
      <c r="AL57">
        <v>89.930400000000006</v>
      </c>
      <c r="AM57">
        <v>28</v>
      </c>
      <c r="AN57">
        <v>89.563199999999995</v>
      </c>
      <c r="AO57">
        <v>11</v>
      </c>
    </row>
    <row r="59" spans="2:42" x14ac:dyDescent="0.2">
      <c r="B59">
        <v>10000</v>
      </c>
      <c r="C59">
        <v>753.37227800000005</v>
      </c>
      <c r="D59">
        <v>-35535.727783000002</v>
      </c>
      <c r="E59">
        <v>151408.60101799999</v>
      </c>
      <c r="F59">
        <v>41.610636</v>
      </c>
      <c r="H59">
        <v>10000</v>
      </c>
      <c r="I59">
        <v>976.37268200000005</v>
      </c>
      <c r="J59">
        <v>-35263.670643999998</v>
      </c>
      <c r="K59">
        <v>152801.58795700001</v>
      </c>
      <c r="L59">
        <v>54.151524000000002</v>
      </c>
      <c r="N59">
        <v>10000</v>
      </c>
      <c r="O59">
        <v>750.41003899999998</v>
      </c>
      <c r="P59">
        <v>-35530.677436999998</v>
      </c>
      <c r="Q59">
        <v>151477.24194499999</v>
      </c>
      <c r="R59">
        <v>91.844921999999997</v>
      </c>
      <c r="T59">
        <v>10000</v>
      </c>
      <c r="U59">
        <v>1003.41997</v>
      </c>
      <c r="V59">
        <v>-35286.439427999998</v>
      </c>
      <c r="W59">
        <v>152763.217863</v>
      </c>
      <c r="X59">
        <v>-63.177750000000003</v>
      </c>
      <c r="Z59">
        <v>10000</v>
      </c>
      <c r="AA59">
        <v>373.68153000000001</v>
      </c>
      <c r="AB59">
        <v>-35920.946050999999</v>
      </c>
      <c r="AC59">
        <v>149737.76386000001</v>
      </c>
      <c r="AD59">
        <v>1.3243769999999999</v>
      </c>
      <c r="AF59">
        <v>10000</v>
      </c>
      <c r="AG59">
        <v>373.68153000000001</v>
      </c>
      <c r="AH59">
        <v>-35920.946050999999</v>
      </c>
      <c r="AI59">
        <v>149737.76386000001</v>
      </c>
      <c r="AJ59">
        <v>1.3243769999999999</v>
      </c>
      <c r="AL59">
        <v>10000</v>
      </c>
      <c r="AM59">
        <v>753.37227800000005</v>
      </c>
      <c r="AN59">
        <v>-35535.727783000002</v>
      </c>
      <c r="AO59">
        <v>151408.60101799999</v>
      </c>
      <c r="AP59">
        <v>41.610636</v>
      </c>
    </row>
    <row r="60" spans="2:42" x14ac:dyDescent="0.2">
      <c r="B60">
        <v>20000</v>
      </c>
      <c r="C60">
        <v>749.46944599999995</v>
      </c>
      <c r="D60">
        <v>-35551.326651000003</v>
      </c>
      <c r="E60">
        <v>151330.906177</v>
      </c>
      <c r="F60">
        <v>8.2025609999999993</v>
      </c>
      <c r="H60">
        <v>20000</v>
      </c>
      <c r="I60">
        <v>973.44528600000001</v>
      </c>
      <c r="J60">
        <v>-35284.649657000002</v>
      </c>
      <c r="K60">
        <v>152746.15765099999</v>
      </c>
      <c r="L60">
        <v>28.240124000000002</v>
      </c>
      <c r="N60">
        <v>20000</v>
      </c>
      <c r="O60">
        <v>751.64114199999995</v>
      </c>
      <c r="P60">
        <v>-35580.630859999997</v>
      </c>
      <c r="Q60">
        <v>151346.42259500001</v>
      </c>
      <c r="R60">
        <v>1.241776</v>
      </c>
      <c r="T60">
        <v>20000</v>
      </c>
      <c r="U60">
        <v>990.12744999999995</v>
      </c>
      <c r="V60">
        <v>-35300.407998000002</v>
      </c>
      <c r="W60">
        <v>152705.20622600001</v>
      </c>
      <c r="X60">
        <v>-35.318091000000003</v>
      </c>
      <c r="Z60">
        <v>20000</v>
      </c>
      <c r="AA60">
        <v>370.46966099999997</v>
      </c>
      <c r="AB60">
        <v>-35945.884682999997</v>
      </c>
      <c r="AC60">
        <v>149650.69506200001</v>
      </c>
      <c r="AD60">
        <v>17.357120999999999</v>
      </c>
      <c r="AF60">
        <v>20000</v>
      </c>
      <c r="AG60">
        <v>370.46966099999997</v>
      </c>
      <c r="AH60">
        <v>-35945.884682999997</v>
      </c>
      <c r="AI60">
        <v>149650.69506200001</v>
      </c>
      <c r="AJ60">
        <v>17.357120999999999</v>
      </c>
      <c r="AL60">
        <v>20000</v>
      </c>
      <c r="AM60">
        <v>749.46944599999995</v>
      </c>
      <c r="AN60">
        <v>-35551.326651000003</v>
      </c>
      <c r="AO60">
        <v>151330.906177</v>
      </c>
      <c r="AP60">
        <v>8.2025609999999993</v>
      </c>
    </row>
    <row r="61" spans="2:42" x14ac:dyDescent="0.2">
      <c r="B61">
        <v>30000</v>
      </c>
      <c r="C61">
        <v>754.533861</v>
      </c>
      <c r="D61">
        <v>-35566.095209999999</v>
      </c>
      <c r="E61">
        <v>151359.122604</v>
      </c>
      <c r="F61">
        <v>-50.525739000000002</v>
      </c>
      <c r="H61">
        <v>30000</v>
      </c>
      <c r="I61">
        <v>967.898821</v>
      </c>
      <c r="J61">
        <v>-35275.965523999999</v>
      </c>
      <c r="K61">
        <v>152708.171355</v>
      </c>
      <c r="L61">
        <v>44.164000999999999</v>
      </c>
      <c r="N61">
        <v>30000</v>
      </c>
      <c r="O61">
        <v>757.17908799999998</v>
      </c>
      <c r="P61">
        <v>-35555.138727999998</v>
      </c>
      <c r="Q61">
        <v>151362.74198399999</v>
      </c>
      <c r="R61">
        <v>-14.400080000000001</v>
      </c>
      <c r="T61">
        <v>30000</v>
      </c>
      <c r="U61">
        <v>997.06926499999997</v>
      </c>
      <c r="V61">
        <v>-35305.038366000001</v>
      </c>
      <c r="W61">
        <v>152617.706786</v>
      </c>
      <c r="X61">
        <v>32.383217999999999</v>
      </c>
      <c r="Z61">
        <v>30000</v>
      </c>
      <c r="AA61">
        <v>381.00064400000002</v>
      </c>
      <c r="AB61">
        <v>-35962.105012</v>
      </c>
      <c r="AC61">
        <v>149560.58713900001</v>
      </c>
      <c r="AD61">
        <v>23.459288999999998</v>
      </c>
      <c r="AF61">
        <v>30000</v>
      </c>
      <c r="AG61">
        <v>381.00064400000002</v>
      </c>
      <c r="AH61">
        <v>-35962.105012</v>
      </c>
      <c r="AI61">
        <v>149560.58713900001</v>
      </c>
      <c r="AJ61">
        <v>23.459288999999998</v>
      </c>
      <c r="AL61">
        <v>30000</v>
      </c>
      <c r="AM61">
        <v>754.533861</v>
      </c>
      <c r="AN61">
        <v>-35566.095209999999</v>
      </c>
      <c r="AO61">
        <v>151359.122604</v>
      </c>
      <c r="AP61">
        <v>-50.525739000000002</v>
      </c>
    </row>
    <row r="62" spans="2:42" x14ac:dyDescent="0.2">
      <c r="B62">
        <v>40000</v>
      </c>
      <c r="C62">
        <v>758.94730400000003</v>
      </c>
      <c r="D62">
        <v>-35560.878568</v>
      </c>
      <c r="E62">
        <v>151491.37364800001</v>
      </c>
      <c r="F62">
        <v>-8.2612629999999996</v>
      </c>
      <c r="H62">
        <v>40000</v>
      </c>
      <c r="I62">
        <v>976.52463</v>
      </c>
      <c r="J62">
        <v>-35260.946880000003</v>
      </c>
      <c r="K62">
        <v>152727.98549200001</v>
      </c>
      <c r="L62">
        <v>64.888827000000006</v>
      </c>
      <c r="N62">
        <v>40000</v>
      </c>
      <c r="O62">
        <v>742.51562100000001</v>
      </c>
      <c r="P62">
        <v>-35574.898416999997</v>
      </c>
      <c r="Q62">
        <v>151356.83362399999</v>
      </c>
      <c r="R62">
        <v>80.476736000000002</v>
      </c>
      <c r="T62">
        <v>40000</v>
      </c>
      <c r="U62">
        <v>1002.174977</v>
      </c>
      <c r="V62">
        <v>-35307.743418999999</v>
      </c>
      <c r="W62">
        <v>152646.249671</v>
      </c>
      <c r="X62">
        <v>-1.5307010000000001</v>
      </c>
      <c r="Z62">
        <v>40000</v>
      </c>
      <c r="AA62">
        <v>375.78440499999999</v>
      </c>
      <c r="AB62">
        <v>-35981.043124999997</v>
      </c>
      <c r="AC62">
        <v>149524.098635</v>
      </c>
      <c r="AD62">
        <v>26.214296999999998</v>
      </c>
      <c r="AF62">
        <v>40000</v>
      </c>
      <c r="AG62">
        <v>375.78440499999999</v>
      </c>
      <c r="AH62">
        <v>-35981.043124999997</v>
      </c>
      <c r="AI62">
        <v>149524.098635</v>
      </c>
      <c r="AJ62">
        <v>26.214296999999998</v>
      </c>
      <c r="AL62">
        <v>40000</v>
      </c>
      <c r="AM62">
        <v>758.94730400000003</v>
      </c>
      <c r="AN62">
        <v>-35560.878568</v>
      </c>
      <c r="AO62">
        <v>151491.37364800001</v>
      </c>
      <c r="AP62">
        <v>-8.2612629999999996</v>
      </c>
    </row>
    <row r="63" spans="2:42" x14ac:dyDescent="0.2">
      <c r="B63">
        <v>50000</v>
      </c>
      <c r="C63">
        <v>743.69527100000005</v>
      </c>
      <c r="D63">
        <v>-35575.516021000003</v>
      </c>
      <c r="E63">
        <v>151351.12798600001</v>
      </c>
      <c r="F63">
        <v>-24.750038</v>
      </c>
      <c r="H63">
        <v>50000</v>
      </c>
      <c r="I63">
        <v>975.74060799999995</v>
      </c>
      <c r="J63">
        <v>-35295.831924999999</v>
      </c>
      <c r="K63">
        <v>152554.466556</v>
      </c>
      <c r="L63">
        <v>-62.303713999999999</v>
      </c>
      <c r="N63">
        <v>50000</v>
      </c>
      <c r="O63">
        <v>747.18730900000003</v>
      </c>
      <c r="P63">
        <v>-35589.635125000001</v>
      </c>
      <c r="Q63">
        <v>151335.02269300001</v>
      </c>
      <c r="R63">
        <v>-5.8548410000000004</v>
      </c>
      <c r="T63">
        <v>50000</v>
      </c>
      <c r="U63">
        <v>1003.239482</v>
      </c>
      <c r="V63">
        <v>-35313.163021</v>
      </c>
      <c r="W63">
        <v>152636.793584</v>
      </c>
      <c r="X63">
        <v>-23.316804999999999</v>
      </c>
      <c r="Z63">
        <v>50000</v>
      </c>
      <c r="AA63">
        <v>374.50834400000002</v>
      </c>
      <c r="AB63">
        <v>-35982.908727000002</v>
      </c>
      <c r="AC63">
        <v>149530.04863800001</v>
      </c>
      <c r="AD63">
        <v>-17.477309000000002</v>
      </c>
      <c r="AF63">
        <v>50000</v>
      </c>
      <c r="AG63">
        <v>374.50834400000002</v>
      </c>
      <c r="AH63">
        <v>-35982.908727000002</v>
      </c>
      <c r="AI63">
        <v>149530.04863800001</v>
      </c>
      <c r="AJ63">
        <v>-17.477309000000002</v>
      </c>
      <c r="AL63">
        <v>50000</v>
      </c>
      <c r="AM63">
        <v>743.69527100000005</v>
      </c>
      <c r="AN63">
        <v>-35575.516021000003</v>
      </c>
      <c r="AO63">
        <v>151351.12798600001</v>
      </c>
      <c r="AP63">
        <v>-24.750038</v>
      </c>
    </row>
    <row r="64" spans="2:42" x14ac:dyDescent="0.2">
      <c r="B64">
        <v>60000</v>
      </c>
      <c r="C64">
        <v>745.06964400000004</v>
      </c>
      <c r="D64">
        <v>-35579.159216</v>
      </c>
      <c r="E64">
        <v>151191.14707899999</v>
      </c>
      <c r="F64">
        <v>-44.182986999999997</v>
      </c>
      <c r="H64">
        <v>60000</v>
      </c>
      <c r="I64">
        <v>972.91164900000001</v>
      </c>
      <c r="J64">
        <v>-35291.140837999999</v>
      </c>
      <c r="K64">
        <v>152712.32096099999</v>
      </c>
      <c r="L64">
        <v>43.157885</v>
      </c>
      <c r="N64">
        <v>60000</v>
      </c>
      <c r="O64">
        <v>752.87340099999994</v>
      </c>
      <c r="P64">
        <v>-35582.854700999997</v>
      </c>
      <c r="Q64">
        <v>151303.39040100001</v>
      </c>
      <c r="R64">
        <v>-24.645546</v>
      </c>
      <c r="T64">
        <v>60000</v>
      </c>
      <c r="U64">
        <v>994.11517000000003</v>
      </c>
      <c r="V64">
        <v>-35325.867768999997</v>
      </c>
      <c r="W64">
        <v>152581.68687899999</v>
      </c>
      <c r="X64">
        <v>-42.676268</v>
      </c>
      <c r="Z64">
        <v>60000</v>
      </c>
      <c r="AA64">
        <v>379.08026999999998</v>
      </c>
      <c r="AB64">
        <v>-35988.060995</v>
      </c>
      <c r="AC64">
        <v>149508.546906</v>
      </c>
      <c r="AD64">
        <v>17.726534000000001</v>
      </c>
      <c r="AF64">
        <v>60000</v>
      </c>
      <c r="AG64">
        <v>379.08026999999998</v>
      </c>
      <c r="AH64">
        <v>-35988.060995</v>
      </c>
      <c r="AI64">
        <v>149508.546906</v>
      </c>
      <c r="AJ64">
        <v>17.726534000000001</v>
      </c>
      <c r="AL64">
        <v>60000</v>
      </c>
      <c r="AM64">
        <v>745.06964400000004</v>
      </c>
      <c r="AN64">
        <v>-35579.159216</v>
      </c>
      <c r="AO64">
        <v>151191.14707899999</v>
      </c>
      <c r="AP64">
        <v>-44.182986999999997</v>
      </c>
    </row>
    <row r="65" spans="2:42" x14ac:dyDescent="0.2">
      <c r="B65">
        <v>70000</v>
      </c>
      <c r="C65">
        <v>742.18474500000002</v>
      </c>
      <c r="D65">
        <v>-35584.740111999999</v>
      </c>
      <c r="E65">
        <v>151212.39331000001</v>
      </c>
      <c r="F65">
        <v>61.826363000000001</v>
      </c>
      <c r="H65">
        <v>70000</v>
      </c>
      <c r="I65">
        <v>976.85350900000003</v>
      </c>
      <c r="J65">
        <v>-35302.975617999997</v>
      </c>
      <c r="K65">
        <v>152572.74921400001</v>
      </c>
      <c r="L65">
        <v>-23.000043999999999</v>
      </c>
      <c r="N65">
        <v>70000</v>
      </c>
      <c r="O65">
        <v>739.150937</v>
      </c>
      <c r="P65">
        <v>-35561.496212999999</v>
      </c>
      <c r="Q65">
        <v>151380.95024100001</v>
      </c>
      <c r="R65">
        <v>-32.682842000000001</v>
      </c>
      <c r="T65">
        <v>70000</v>
      </c>
      <c r="U65">
        <v>1004.054581</v>
      </c>
      <c r="V65">
        <v>-35318.101840000003</v>
      </c>
      <c r="W65">
        <v>152552.519153</v>
      </c>
      <c r="X65">
        <v>23.016047</v>
      </c>
      <c r="Z65">
        <v>70000</v>
      </c>
      <c r="AA65">
        <v>374.36949399999997</v>
      </c>
      <c r="AB65">
        <v>-35991.743111000003</v>
      </c>
      <c r="AC65">
        <v>149458.21285800001</v>
      </c>
      <c r="AD65">
        <v>-18.484120000000001</v>
      </c>
      <c r="AF65">
        <v>70000</v>
      </c>
      <c r="AG65">
        <v>374.36949399999997</v>
      </c>
      <c r="AH65">
        <v>-35991.743111000003</v>
      </c>
      <c r="AI65">
        <v>149458.21285800001</v>
      </c>
      <c r="AJ65">
        <v>-18.484120000000001</v>
      </c>
      <c r="AL65">
        <v>70000</v>
      </c>
      <c r="AM65">
        <v>742.18474500000002</v>
      </c>
      <c r="AN65">
        <v>-35584.740111999999</v>
      </c>
      <c r="AO65">
        <v>151212.39331000001</v>
      </c>
      <c r="AP65">
        <v>61.826363000000001</v>
      </c>
    </row>
    <row r="66" spans="2:42" x14ac:dyDescent="0.2">
      <c r="B66">
        <v>80000</v>
      </c>
      <c r="C66">
        <v>744.971585</v>
      </c>
      <c r="D66">
        <v>-35579.966697999997</v>
      </c>
      <c r="E66">
        <v>151318.24181100001</v>
      </c>
      <c r="F66">
        <v>-19.27938</v>
      </c>
      <c r="H66">
        <v>80000</v>
      </c>
      <c r="I66">
        <v>977.41474800000003</v>
      </c>
      <c r="J66">
        <v>-35323.719029</v>
      </c>
      <c r="K66">
        <v>152572.64227000001</v>
      </c>
      <c r="L66">
        <v>14.621416</v>
      </c>
      <c r="N66">
        <v>80000</v>
      </c>
      <c r="O66">
        <v>748.90050299999996</v>
      </c>
      <c r="P66">
        <v>-35583.473088999999</v>
      </c>
      <c r="Q66">
        <v>151275.84643599999</v>
      </c>
      <c r="R66">
        <v>27.498062000000001</v>
      </c>
      <c r="T66">
        <v>80000</v>
      </c>
      <c r="U66">
        <v>988.28135699999996</v>
      </c>
      <c r="V66">
        <v>-35304.137938</v>
      </c>
      <c r="W66">
        <v>152647.48379100001</v>
      </c>
      <c r="X66">
        <v>-80.673254</v>
      </c>
      <c r="Z66">
        <v>80000</v>
      </c>
      <c r="AA66">
        <v>371.67920299999997</v>
      </c>
      <c r="AB66">
        <v>-36002.047506000003</v>
      </c>
      <c r="AC66">
        <v>149492.78880800001</v>
      </c>
      <c r="AD66">
        <v>24.937218000000001</v>
      </c>
      <c r="AF66">
        <v>80000</v>
      </c>
      <c r="AG66">
        <v>371.67920299999997</v>
      </c>
      <c r="AH66">
        <v>-36002.047506000003</v>
      </c>
      <c r="AI66">
        <v>149492.78880800001</v>
      </c>
      <c r="AJ66">
        <v>24.937218000000001</v>
      </c>
      <c r="AL66">
        <v>80000</v>
      </c>
      <c r="AM66">
        <v>744.971585</v>
      </c>
      <c r="AN66">
        <v>-35579.966697999997</v>
      </c>
      <c r="AO66">
        <v>151318.24181100001</v>
      </c>
      <c r="AP66">
        <v>-19.27938</v>
      </c>
    </row>
    <row r="67" spans="2:42" x14ac:dyDescent="0.2">
      <c r="B67">
        <v>90000</v>
      </c>
      <c r="C67">
        <v>753.65439200000003</v>
      </c>
      <c r="D67">
        <v>-35572.175435999998</v>
      </c>
      <c r="E67">
        <v>151281.23494600001</v>
      </c>
      <c r="F67">
        <v>-28.635043</v>
      </c>
      <c r="H67">
        <v>90000</v>
      </c>
      <c r="I67">
        <v>970.98148100000003</v>
      </c>
      <c r="J67">
        <v>-35326.346176999999</v>
      </c>
      <c r="K67">
        <v>152464.52798399999</v>
      </c>
      <c r="L67">
        <v>-15.813969</v>
      </c>
      <c r="N67">
        <v>90000</v>
      </c>
      <c r="O67">
        <v>745.613428</v>
      </c>
      <c r="P67">
        <v>-35592.054019000003</v>
      </c>
      <c r="Q67">
        <v>151239.824055</v>
      </c>
      <c r="R67">
        <v>36.293278999999998</v>
      </c>
      <c r="T67">
        <v>90000</v>
      </c>
      <c r="U67">
        <v>999.54986099999996</v>
      </c>
      <c r="V67">
        <v>-35315.353862999997</v>
      </c>
      <c r="W67">
        <v>152533.08085500001</v>
      </c>
      <c r="X67">
        <v>11.472644000000001</v>
      </c>
      <c r="Z67">
        <v>90000</v>
      </c>
      <c r="AA67">
        <v>374.31131399999998</v>
      </c>
      <c r="AB67">
        <v>-36002.574877999999</v>
      </c>
      <c r="AC67">
        <v>149377.351276</v>
      </c>
      <c r="AD67">
        <v>20.634264999999999</v>
      </c>
      <c r="AF67">
        <v>90000</v>
      </c>
      <c r="AG67">
        <v>374.31131399999998</v>
      </c>
      <c r="AH67">
        <v>-36002.574877999999</v>
      </c>
      <c r="AI67">
        <v>149377.351276</v>
      </c>
      <c r="AJ67">
        <v>20.634264999999999</v>
      </c>
      <c r="AL67">
        <v>90000</v>
      </c>
      <c r="AM67">
        <v>753.65439200000003</v>
      </c>
      <c r="AN67">
        <v>-35572.175435999998</v>
      </c>
      <c r="AO67">
        <v>151281.23494600001</v>
      </c>
      <c r="AP67">
        <v>-28.635043</v>
      </c>
    </row>
    <row r="68" spans="2:42" x14ac:dyDescent="0.2">
      <c r="B68">
        <v>100000</v>
      </c>
      <c r="C68">
        <v>743.643912</v>
      </c>
      <c r="D68">
        <v>-35589.167229999999</v>
      </c>
      <c r="E68">
        <v>151229.055318</v>
      </c>
      <c r="F68">
        <v>-13.104647</v>
      </c>
      <c r="H68">
        <v>100000</v>
      </c>
      <c r="I68">
        <v>964.79996500000004</v>
      </c>
      <c r="J68">
        <v>-35307.516301000003</v>
      </c>
      <c r="K68">
        <v>152590.42701799999</v>
      </c>
      <c r="L68">
        <v>-7.476674</v>
      </c>
      <c r="N68">
        <v>100000</v>
      </c>
      <c r="O68">
        <v>753.68587100000002</v>
      </c>
      <c r="P68">
        <v>-35586.148749</v>
      </c>
      <c r="Q68">
        <v>151225.41372499999</v>
      </c>
      <c r="R68">
        <v>54.213847000000001</v>
      </c>
      <c r="T68">
        <v>100000</v>
      </c>
      <c r="U68">
        <v>1009.045481</v>
      </c>
      <c r="V68">
        <v>-35284.250526000003</v>
      </c>
      <c r="W68">
        <v>152702.371285</v>
      </c>
      <c r="X68">
        <v>-44.269069000000002</v>
      </c>
      <c r="Z68">
        <v>100000</v>
      </c>
      <c r="AA68">
        <v>373.85252300000002</v>
      </c>
      <c r="AB68">
        <v>-36007.622044999996</v>
      </c>
      <c r="AC68">
        <v>149462.144286</v>
      </c>
      <c r="AD68">
        <v>-9.3571100000000005</v>
      </c>
      <c r="AF68">
        <v>100000</v>
      </c>
      <c r="AG68">
        <v>373.85252300000002</v>
      </c>
      <c r="AH68">
        <v>-36007.622044999996</v>
      </c>
      <c r="AI68">
        <v>149462.144286</v>
      </c>
      <c r="AJ68">
        <v>-9.3571100000000005</v>
      </c>
      <c r="AL68">
        <v>100000</v>
      </c>
      <c r="AM68">
        <v>743.643912</v>
      </c>
      <c r="AN68">
        <v>-35589.167229999999</v>
      </c>
      <c r="AO68">
        <v>151229.055318</v>
      </c>
      <c r="AP68">
        <v>-13.104647</v>
      </c>
    </row>
    <row r="69" spans="2:42" x14ac:dyDescent="0.2">
      <c r="B69">
        <v>110000</v>
      </c>
      <c r="C69">
        <v>753.00453000000005</v>
      </c>
      <c r="D69">
        <v>-35588.699994000002</v>
      </c>
      <c r="E69">
        <v>151198.25252800001</v>
      </c>
      <c r="F69">
        <v>39.140844999999999</v>
      </c>
      <c r="H69">
        <v>110000</v>
      </c>
      <c r="I69">
        <v>960.856357</v>
      </c>
      <c r="J69">
        <v>-35326.004129000001</v>
      </c>
      <c r="K69">
        <v>152448.22967599999</v>
      </c>
      <c r="L69">
        <v>18.795259000000001</v>
      </c>
      <c r="N69">
        <v>110000</v>
      </c>
      <c r="O69">
        <v>751.49505899999997</v>
      </c>
      <c r="P69">
        <v>-35582.012849999999</v>
      </c>
      <c r="Q69">
        <v>151253.76548500001</v>
      </c>
      <c r="R69">
        <v>10.22029</v>
      </c>
      <c r="T69">
        <v>110000</v>
      </c>
      <c r="U69">
        <v>1013.752658</v>
      </c>
      <c r="V69">
        <v>-35299.926867000002</v>
      </c>
      <c r="W69">
        <v>152675.97317499999</v>
      </c>
      <c r="X69">
        <v>54.174726</v>
      </c>
      <c r="Z69">
        <v>110000</v>
      </c>
      <c r="AA69">
        <v>375.40219300000001</v>
      </c>
      <c r="AB69">
        <v>-36003.492336000003</v>
      </c>
      <c r="AC69">
        <v>149491.66269500001</v>
      </c>
      <c r="AD69">
        <v>23.827781000000002</v>
      </c>
      <c r="AF69">
        <v>110000</v>
      </c>
      <c r="AG69">
        <v>375.40219300000001</v>
      </c>
      <c r="AH69">
        <v>-36003.492336000003</v>
      </c>
      <c r="AI69">
        <v>149491.66269500001</v>
      </c>
      <c r="AJ69">
        <v>23.827781000000002</v>
      </c>
      <c r="AL69">
        <v>110000</v>
      </c>
      <c r="AM69">
        <v>753.00453000000005</v>
      </c>
      <c r="AN69">
        <v>-35588.699994000002</v>
      </c>
      <c r="AO69">
        <v>151198.25252800001</v>
      </c>
      <c r="AP69">
        <v>39.140844999999999</v>
      </c>
    </row>
    <row r="70" spans="2:42" x14ac:dyDescent="0.2">
      <c r="B70">
        <v>120000</v>
      </c>
      <c r="C70">
        <v>747.09504900000002</v>
      </c>
      <c r="D70">
        <v>-35581.468934999997</v>
      </c>
      <c r="E70">
        <v>151288.62784500001</v>
      </c>
      <c r="F70">
        <v>37.414459999999998</v>
      </c>
      <c r="H70">
        <v>120000</v>
      </c>
      <c r="I70">
        <v>980.89020500000004</v>
      </c>
      <c r="J70">
        <v>-35310.909701999997</v>
      </c>
      <c r="K70">
        <v>152613.38876</v>
      </c>
      <c r="L70">
        <v>2.9480970000000002</v>
      </c>
      <c r="N70">
        <v>120000</v>
      </c>
      <c r="O70">
        <v>753.89082399999995</v>
      </c>
      <c r="P70">
        <v>-35584.975689999999</v>
      </c>
      <c r="Q70">
        <v>151243.13239300001</v>
      </c>
      <c r="R70">
        <v>-39.185369999999999</v>
      </c>
      <c r="T70">
        <v>120000</v>
      </c>
      <c r="U70">
        <v>1014.4344149999999</v>
      </c>
      <c r="V70">
        <v>-35314.696070999998</v>
      </c>
      <c r="W70">
        <v>152540.72296000001</v>
      </c>
      <c r="X70">
        <v>23.310863000000001</v>
      </c>
      <c r="Z70">
        <v>120000</v>
      </c>
      <c r="AA70">
        <v>371.99020200000001</v>
      </c>
      <c r="AB70">
        <v>-35999.033187000001</v>
      </c>
      <c r="AC70">
        <v>149489.59034299999</v>
      </c>
      <c r="AD70">
        <v>-14.207335</v>
      </c>
      <c r="AF70">
        <v>120000</v>
      </c>
      <c r="AG70">
        <v>371.99020200000001</v>
      </c>
      <c r="AH70">
        <v>-35999.033187000001</v>
      </c>
      <c r="AI70">
        <v>149489.59034299999</v>
      </c>
      <c r="AJ70">
        <v>-14.207335</v>
      </c>
      <c r="AL70">
        <v>120000</v>
      </c>
      <c r="AM70">
        <v>747.09504900000002</v>
      </c>
      <c r="AN70">
        <v>-35581.468934999997</v>
      </c>
      <c r="AO70">
        <v>151288.62784500001</v>
      </c>
      <c r="AP70">
        <v>37.414459999999998</v>
      </c>
    </row>
    <row r="71" spans="2:42" x14ac:dyDescent="0.2">
      <c r="B71">
        <v>130000</v>
      </c>
      <c r="C71">
        <v>749.18226300000003</v>
      </c>
      <c r="D71">
        <v>-35586.385365000002</v>
      </c>
      <c r="E71">
        <v>151202.61879199999</v>
      </c>
      <c r="F71">
        <v>47.200015</v>
      </c>
      <c r="H71">
        <v>130000</v>
      </c>
      <c r="I71">
        <v>966.963213</v>
      </c>
      <c r="J71">
        <v>-35308.205114999997</v>
      </c>
      <c r="K71">
        <v>152574.255577</v>
      </c>
      <c r="L71">
        <v>12.76474</v>
      </c>
      <c r="N71">
        <v>130000</v>
      </c>
      <c r="O71">
        <v>756.77152799999999</v>
      </c>
      <c r="P71">
        <v>-35584.569323000003</v>
      </c>
      <c r="Q71">
        <v>151296.67714700001</v>
      </c>
      <c r="R71">
        <v>33.953029999999998</v>
      </c>
      <c r="T71">
        <v>130000</v>
      </c>
      <c r="U71">
        <v>1002.926187</v>
      </c>
      <c r="V71">
        <v>-35316.092664000003</v>
      </c>
      <c r="W71">
        <v>152504.68663899999</v>
      </c>
      <c r="X71">
        <v>-1.4941990000000001</v>
      </c>
      <c r="Z71">
        <v>130000</v>
      </c>
      <c r="AA71">
        <v>376.05856799999998</v>
      </c>
      <c r="AB71">
        <v>-36002.159897999998</v>
      </c>
      <c r="AC71">
        <v>149477.09598099999</v>
      </c>
      <c r="AD71">
        <v>2.7132350000000001</v>
      </c>
      <c r="AF71">
        <v>130000</v>
      </c>
      <c r="AG71">
        <v>376.05856799999998</v>
      </c>
      <c r="AH71">
        <v>-36002.159897999998</v>
      </c>
      <c r="AI71">
        <v>149477.09598099999</v>
      </c>
      <c r="AJ71">
        <v>2.7132350000000001</v>
      </c>
      <c r="AL71">
        <v>130000</v>
      </c>
      <c r="AM71">
        <v>749.18226300000003</v>
      </c>
      <c r="AN71">
        <v>-35586.385365000002</v>
      </c>
      <c r="AO71">
        <v>151202.61879199999</v>
      </c>
      <c r="AP71">
        <v>47.200015</v>
      </c>
    </row>
    <row r="72" spans="2:42" x14ac:dyDescent="0.2">
      <c r="B72">
        <v>140000</v>
      </c>
      <c r="C72">
        <v>745.15410899999995</v>
      </c>
      <c r="D72">
        <v>-35582.147086999998</v>
      </c>
      <c r="E72">
        <v>151173.35731299999</v>
      </c>
      <c r="F72">
        <v>16.420497000000001</v>
      </c>
      <c r="H72">
        <v>140000</v>
      </c>
      <c r="I72">
        <v>974.16814099999999</v>
      </c>
      <c r="J72">
        <v>-35323.142394000002</v>
      </c>
      <c r="K72">
        <v>152626.033581</v>
      </c>
      <c r="L72">
        <v>39.732565000000001</v>
      </c>
      <c r="N72">
        <v>140000</v>
      </c>
      <c r="O72">
        <v>764.58234500000003</v>
      </c>
      <c r="P72">
        <v>-35587.290073999997</v>
      </c>
      <c r="Q72">
        <v>151271.38756900001</v>
      </c>
      <c r="R72">
        <v>74.919545999999997</v>
      </c>
      <c r="T72">
        <v>140000</v>
      </c>
      <c r="U72">
        <v>993.92765499999996</v>
      </c>
      <c r="V72">
        <v>-35315.699653000003</v>
      </c>
      <c r="W72">
        <v>152561.83627</v>
      </c>
      <c r="X72">
        <v>-29.717378</v>
      </c>
      <c r="Z72">
        <v>140000</v>
      </c>
      <c r="AA72">
        <v>374.23307999999997</v>
      </c>
      <c r="AB72">
        <v>-36010.924876999998</v>
      </c>
      <c r="AC72">
        <v>149416.35090600001</v>
      </c>
      <c r="AD72">
        <v>0.40964099999999998</v>
      </c>
      <c r="AF72">
        <v>140000</v>
      </c>
      <c r="AG72">
        <v>374.23307999999997</v>
      </c>
      <c r="AH72">
        <v>-36010.924876999998</v>
      </c>
      <c r="AI72">
        <v>149416.35090600001</v>
      </c>
      <c r="AJ72">
        <v>0.40964099999999998</v>
      </c>
    </row>
    <row r="73" spans="2:42" x14ac:dyDescent="0.2">
      <c r="B73">
        <v>150000</v>
      </c>
      <c r="C73">
        <v>751.57926199999997</v>
      </c>
      <c r="D73">
        <v>-35585.400077999999</v>
      </c>
      <c r="E73">
        <v>151224.79998899999</v>
      </c>
      <c r="F73">
        <v>37.175198000000002</v>
      </c>
      <c r="H73">
        <v>150000</v>
      </c>
      <c r="I73">
        <v>985.32035800000006</v>
      </c>
      <c r="J73">
        <v>-35316.129690000002</v>
      </c>
      <c r="K73">
        <v>152636.85316100001</v>
      </c>
      <c r="L73">
        <v>-12.572468000000001</v>
      </c>
      <c r="N73">
        <v>150000</v>
      </c>
      <c r="O73">
        <v>753.95300299999997</v>
      </c>
      <c r="P73">
        <v>-35574.261223000001</v>
      </c>
      <c r="Q73">
        <v>151245.21772700001</v>
      </c>
      <c r="R73">
        <v>69.521467000000001</v>
      </c>
      <c r="T73">
        <v>150000</v>
      </c>
      <c r="U73">
        <v>999.48582699999997</v>
      </c>
      <c r="V73">
        <v>-35317.346905999999</v>
      </c>
      <c r="W73">
        <v>152598.33362600001</v>
      </c>
      <c r="X73">
        <v>14.788529</v>
      </c>
      <c r="Z73">
        <v>150000</v>
      </c>
      <c r="AA73">
        <v>370.62128200000001</v>
      </c>
      <c r="AB73">
        <v>-36007.910302999997</v>
      </c>
      <c r="AC73">
        <v>149372.46389899999</v>
      </c>
      <c r="AD73">
        <v>11.628131</v>
      </c>
    </row>
    <row r="74" spans="2:42" x14ac:dyDescent="0.2">
      <c r="B74">
        <v>160000</v>
      </c>
      <c r="C74">
        <v>760.05080099999998</v>
      </c>
      <c r="D74">
        <v>-35572.819818999997</v>
      </c>
      <c r="E74">
        <v>151292.636811</v>
      </c>
      <c r="F74">
        <v>75.968329999999995</v>
      </c>
      <c r="H74">
        <v>160000</v>
      </c>
      <c r="I74">
        <v>960.27616599999999</v>
      </c>
      <c r="J74">
        <v>-35325.059699999998</v>
      </c>
      <c r="K74">
        <v>152521.28911899999</v>
      </c>
      <c r="L74">
        <v>-46.327623000000003</v>
      </c>
      <c r="N74">
        <v>160000</v>
      </c>
      <c r="O74">
        <v>751.35543700000005</v>
      </c>
      <c r="P74">
        <v>-35575.993994999997</v>
      </c>
      <c r="Q74">
        <v>151336.918821</v>
      </c>
      <c r="R74">
        <v>-33.244518999999997</v>
      </c>
      <c r="T74">
        <v>160000</v>
      </c>
      <c r="U74">
        <v>997.45857100000001</v>
      </c>
      <c r="V74">
        <v>-35316.032717000002</v>
      </c>
      <c r="W74">
        <v>152596.981252</v>
      </c>
      <c r="X74">
        <v>-2.0752190000000001</v>
      </c>
      <c r="Z74">
        <v>160000</v>
      </c>
      <c r="AA74">
        <v>372.41057899999998</v>
      </c>
      <c r="AB74">
        <v>-36011.975921999998</v>
      </c>
      <c r="AC74">
        <v>149353.03888599999</v>
      </c>
      <c r="AD74">
        <v>-7.586074</v>
      </c>
    </row>
    <row r="75" spans="2:42" x14ac:dyDescent="0.2">
      <c r="B75">
        <v>170000</v>
      </c>
      <c r="C75">
        <v>752.45050400000002</v>
      </c>
      <c r="D75">
        <v>-35585.166889</v>
      </c>
      <c r="E75">
        <v>151231.87073600001</v>
      </c>
      <c r="F75">
        <v>62.531773999999999</v>
      </c>
      <c r="H75">
        <v>170000</v>
      </c>
      <c r="I75">
        <v>980.70674899999995</v>
      </c>
      <c r="J75">
        <v>-35313.561027999996</v>
      </c>
      <c r="K75">
        <v>152581.80951299999</v>
      </c>
      <c r="L75">
        <v>-20.908217</v>
      </c>
      <c r="N75">
        <v>170000</v>
      </c>
      <c r="O75">
        <v>751.22132699999997</v>
      </c>
      <c r="P75">
        <v>-35579.041704000003</v>
      </c>
      <c r="Q75">
        <v>151261.90770400001</v>
      </c>
      <c r="R75">
        <v>-14.479625</v>
      </c>
      <c r="T75">
        <v>170000</v>
      </c>
      <c r="U75">
        <v>1001.108635</v>
      </c>
      <c r="V75">
        <v>-35317.363249000002</v>
      </c>
      <c r="W75">
        <v>152539.798179</v>
      </c>
      <c r="X75">
        <v>50.378579000000002</v>
      </c>
      <c r="Z75">
        <v>170000</v>
      </c>
      <c r="AA75">
        <v>371.18187399999999</v>
      </c>
      <c r="AB75">
        <v>-36009.708006000001</v>
      </c>
      <c r="AC75">
        <v>149399.559075</v>
      </c>
      <c r="AD75">
        <v>14.008608000000001</v>
      </c>
    </row>
    <row r="76" spans="2:42" x14ac:dyDescent="0.2">
      <c r="B76">
        <v>180000</v>
      </c>
      <c r="C76">
        <v>758.10777299999995</v>
      </c>
      <c r="D76">
        <v>-35590.332635999999</v>
      </c>
      <c r="E76">
        <v>151169.955717</v>
      </c>
      <c r="F76">
        <v>61.886526000000003</v>
      </c>
      <c r="H76">
        <v>180000</v>
      </c>
      <c r="I76">
        <v>971.39543100000003</v>
      </c>
      <c r="J76">
        <v>-35328.043015000003</v>
      </c>
      <c r="K76">
        <v>152459.03703599999</v>
      </c>
      <c r="L76">
        <v>-28.148285999999999</v>
      </c>
      <c r="N76">
        <v>180000</v>
      </c>
      <c r="O76">
        <v>752.74746000000005</v>
      </c>
      <c r="P76">
        <v>-35580.540352999997</v>
      </c>
      <c r="Q76">
        <v>151270.68373399999</v>
      </c>
      <c r="R76">
        <v>51.081864000000003</v>
      </c>
      <c r="T76">
        <v>180000</v>
      </c>
      <c r="U76">
        <v>1000.359919</v>
      </c>
      <c r="V76">
        <v>-35293.703032999998</v>
      </c>
      <c r="W76">
        <v>152678.313093</v>
      </c>
      <c r="X76">
        <v>-12.325495999999999</v>
      </c>
      <c r="Z76">
        <v>180000</v>
      </c>
      <c r="AA76">
        <v>376.23185999999998</v>
      </c>
      <c r="AB76">
        <v>-36005.65984</v>
      </c>
      <c r="AC76">
        <v>149538.41634900001</v>
      </c>
      <c r="AD76">
        <v>21.836072000000001</v>
      </c>
    </row>
    <row r="77" spans="2:42" x14ac:dyDescent="0.2">
      <c r="B77">
        <v>190000</v>
      </c>
      <c r="C77">
        <v>746.35564199999999</v>
      </c>
      <c r="D77">
        <v>-35581.909236</v>
      </c>
      <c r="E77">
        <v>151212.23639500001</v>
      </c>
      <c r="F77">
        <v>1.4400360000000001</v>
      </c>
      <c r="H77">
        <v>190000</v>
      </c>
      <c r="I77">
        <v>972.78574100000003</v>
      </c>
      <c r="J77">
        <v>-35309.80414</v>
      </c>
      <c r="K77">
        <v>152636.65919999999</v>
      </c>
      <c r="L77">
        <v>59.441429999999997</v>
      </c>
      <c r="N77">
        <v>190000</v>
      </c>
      <c r="O77">
        <v>755.08715700000005</v>
      </c>
      <c r="P77">
        <v>-35589.535587999999</v>
      </c>
      <c r="Q77">
        <v>151293.86466299999</v>
      </c>
      <c r="R77">
        <v>19.519549999999999</v>
      </c>
      <c r="T77">
        <v>190000</v>
      </c>
      <c r="U77">
        <v>1000.988551</v>
      </c>
      <c r="V77">
        <v>-35318.535958</v>
      </c>
      <c r="W77">
        <v>152544.01318099999</v>
      </c>
      <c r="X77">
        <v>-55.613568000000001</v>
      </c>
      <c r="Z77">
        <v>190000</v>
      </c>
      <c r="AA77">
        <v>375.69759199999999</v>
      </c>
      <c r="AB77">
        <v>-36007.726610999998</v>
      </c>
      <c r="AC77">
        <v>149487.58374999999</v>
      </c>
      <c r="AD77">
        <v>-10.399716</v>
      </c>
    </row>
    <row r="78" spans="2:42" x14ac:dyDescent="0.2">
      <c r="B78">
        <v>200000</v>
      </c>
      <c r="C78">
        <v>747.52908500000001</v>
      </c>
      <c r="D78">
        <v>-35571.801065</v>
      </c>
      <c r="E78">
        <v>151232.35157</v>
      </c>
      <c r="F78">
        <v>28.778435000000002</v>
      </c>
      <c r="H78">
        <v>200000</v>
      </c>
      <c r="I78">
        <v>969.14422000000002</v>
      </c>
      <c r="J78">
        <v>-35331.185654000001</v>
      </c>
      <c r="K78">
        <v>152515.56195500001</v>
      </c>
      <c r="L78">
        <v>25.073233999999999</v>
      </c>
      <c r="N78">
        <v>200000</v>
      </c>
      <c r="O78">
        <v>754.70351900000003</v>
      </c>
      <c r="P78">
        <v>-35585.253270000001</v>
      </c>
      <c r="Q78">
        <v>151307.50275499999</v>
      </c>
      <c r="R78">
        <v>-44.802145000000003</v>
      </c>
      <c r="T78">
        <v>200000</v>
      </c>
      <c r="U78">
        <v>982.67960300000004</v>
      </c>
      <c r="V78">
        <v>-35312.616449000001</v>
      </c>
      <c r="W78">
        <v>152714.20369299999</v>
      </c>
      <c r="X78">
        <v>-43.095551999999998</v>
      </c>
      <c r="Z78">
        <v>200000</v>
      </c>
      <c r="AA78">
        <v>372.16677700000002</v>
      </c>
      <c r="AB78">
        <v>-36007.598768000003</v>
      </c>
      <c r="AC78">
        <v>149461.31503500001</v>
      </c>
      <c r="AD78">
        <v>-0.25690600000000002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B1:BA127"/>
  <sheetViews>
    <sheetView tabSelected="1" topLeftCell="Q1" zoomScale="90" zoomScaleNormal="90" workbookViewId="0">
      <selection activeCell="AC42" sqref="AC42:AC51"/>
    </sheetView>
  </sheetViews>
  <sheetFormatPr baseColWidth="10" defaultRowHeight="16" x14ac:dyDescent="0.2"/>
  <cols>
    <col min="48" max="48" width="13.1640625" bestFit="1" customWidth="1"/>
  </cols>
  <sheetData>
    <row r="1" spans="2:18" x14ac:dyDescent="0.2">
      <c r="B1" t="s">
        <v>4</v>
      </c>
      <c r="C1">
        <v>238</v>
      </c>
    </row>
    <row r="2" spans="2:18" x14ac:dyDescent="0.2">
      <c r="B2" t="s">
        <v>10</v>
      </c>
      <c r="C2">
        <v>96</v>
      </c>
      <c r="E2" t="s">
        <v>114</v>
      </c>
    </row>
    <row r="3" spans="2:18" x14ac:dyDescent="0.2">
      <c r="B3" t="s">
        <v>115</v>
      </c>
      <c r="C3" t="s">
        <v>116</v>
      </c>
      <c r="M3" t="s">
        <v>79</v>
      </c>
    </row>
    <row r="4" spans="2:18" x14ac:dyDescent="0.2">
      <c r="B4">
        <v>0</v>
      </c>
      <c r="C4" s="32">
        <f t="shared" ref="C4:C9" si="0">(238*B4)/(96+142*B4)</f>
        <v>0</v>
      </c>
      <c r="E4" s="10" t="s">
        <v>72</v>
      </c>
      <c r="F4">
        <v>600</v>
      </c>
      <c r="G4" s="10">
        <v>800</v>
      </c>
      <c r="H4" s="10">
        <v>1000</v>
      </c>
      <c r="I4" s="10">
        <v>1200</v>
      </c>
      <c r="J4" s="10" t="s">
        <v>119</v>
      </c>
      <c r="M4" s="10" t="s">
        <v>112</v>
      </c>
      <c r="N4" s="10" t="s">
        <v>72</v>
      </c>
      <c r="O4" s="10" t="s">
        <v>32</v>
      </c>
      <c r="P4" s="10" t="s">
        <v>73</v>
      </c>
      <c r="Q4" s="39" t="s">
        <v>118</v>
      </c>
      <c r="R4" s="10" t="s">
        <v>113</v>
      </c>
    </row>
    <row r="5" spans="2:18" x14ac:dyDescent="0.2">
      <c r="B5">
        <v>0.05</v>
      </c>
      <c r="C5" s="32">
        <f t="shared" si="0"/>
        <v>0.11542192046556742</v>
      </c>
      <c r="E5" s="41" t="s">
        <v>163</v>
      </c>
      <c r="F5" s="20">
        <v>0.42028864761672791</v>
      </c>
      <c r="G5" s="20">
        <v>0.49852866337781815</v>
      </c>
      <c r="H5" s="20">
        <v>0.57445493857159113</v>
      </c>
      <c r="I5" s="20">
        <v>0.69308110900649167</v>
      </c>
      <c r="J5" s="40">
        <v>54</v>
      </c>
      <c r="L5" s="41" t="s">
        <v>163</v>
      </c>
      <c r="M5" s="20">
        <v>0.34005727712181116</v>
      </c>
      <c r="N5" s="20">
        <v>0.42028864761672791</v>
      </c>
      <c r="O5" s="20">
        <v>0.56538596982123235</v>
      </c>
      <c r="P5" s="20">
        <v>0.62079812637782628</v>
      </c>
      <c r="Q5" s="20">
        <v>1.1283949581942085</v>
      </c>
      <c r="R5" s="20">
        <v>1.6110840255766583</v>
      </c>
    </row>
    <row r="6" spans="2:18" x14ac:dyDescent="0.2">
      <c r="B6">
        <v>0.1</v>
      </c>
      <c r="C6" s="32">
        <f t="shared" si="0"/>
        <v>0.2159709618874773</v>
      </c>
      <c r="E6" s="41" t="s">
        <v>164</v>
      </c>
      <c r="F6" s="20">
        <v>0.40709714188681073</v>
      </c>
      <c r="G6" s="20">
        <v>0.48026505917896667</v>
      </c>
      <c r="H6" s="20">
        <v>0.53620589916500738</v>
      </c>
      <c r="I6" s="20">
        <v>0.63282250818263464</v>
      </c>
      <c r="J6" s="40">
        <v>36</v>
      </c>
      <c r="L6" s="41" t="s">
        <v>164</v>
      </c>
      <c r="M6" s="20">
        <v>0.34954032574035304</v>
      </c>
      <c r="N6" s="20">
        <v>0.40709714188681073</v>
      </c>
      <c r="O6" s="20">
        <v>0.54988961835965766</v>
      </c>
      <c r="P6" s="20">
        <v>0.63273491901755885</v>
      </c>
      <c r="Q6" s="20">
        <v>1.1161930657207983</v>
      </c>
      <c r="R6" s="20">
        <v>1.5532530662965855</v>
      </c>
    </row>
    <row r="7" spans="2:18" x14ac:dyDescent="0.2">
      <c r="B7">
        <v>0.15</v>
      </c>
      <c r="C7" s="32">
        <f t="shared" si="0"/>
        <v>0.30434782608695649</v>
      </c>
      <c r="E7" s="41" t="s">
        <v>165</v>
      </c>
      <c r="F7" s="20">
        <v>0.44679845600478929</v>
      </c>
      <c r="G7" s="20">
        <v>0.50353216159751357</v>
      </c>
      <c r="H7" s="20">
        <v>0.52689102171577618</v>
      </c>
      <c r="I7" s="20">
        <v>0.63222793456718152</v>
      </c>
      <c r="J7" s="40">
        <v>22</v>
      </c>
      <c r="L7" s="41" t="s">
        <v>165</v>
      </c>
      <c r="M7" s="20">
        <v>0.43292370677381642</v>
      </c>
      <c r="N7" s="20">
        <v>0.44679845600478929</v>
      </c>
      <c r="O7" s="20">
        <v>0.56851294882102754</v>
      </c>
      <c r="P7" s="20">
        <v>0.65604958546118008</v>
      </c>
      <c r="Q7" s="20">
        <v>1.1860949911349437</v>
      </c>
      <c r="R7" s="20">
        <v>1.6162468126163236</v>
      </c>
    </row>
    <row r="8" spans="2:18" x14ac:dyDescent="0.2">
      <c r="B8">
        <v>0.5</v>
      </c>
      <c r="C8" s="32">
        <f t="shared" si="0"/>
        <v>0.71257485029940115</v>
      </c>
      <c r="E8" s="45" t="s">
        <v>166</v>
      </c>
      <c r="F8" s="20">
        <v>0.41757721597053088</v>
      </c>
      <c r="G8" s="20">
        <v>0.44217721979257896</v>
      </c>
      <c r="H8" s="20">
        <v>0.49647213784709382</v>
      </c>
      <c r="I8" s="20">
        <v>0.53984791829694267</v>
      </c>
      <c r="J8" s="40">
        <v>12</v>
      </c>
      <c r="L8" s="45" t="s">
        <v>166</v>
      </c>
      <c r="M8" s="20">
        <v>0.42997002822320596</v>
      </c>
      <c r="N8" s="20">
        <v>0.41757721597053088</v>
      </c>
      <c r="O8" s="20">
        <v>0.52623986580595583</v>
      </c>
      <c r="P8" s="20">
        <v>0.54996741120052894</v>
      </c>
      <c r="Q8" s="20">
        <v>0.95204359825307083</v>
      </c>
      <c r="R8" s="20">
        <v>1.5210681670184989</v>
      </c>
    </row>
    <row r="9" spans="2:18" x14ac:dyDescent="0.2">
      <c r="B9">
        <v>1</v>
      </c>
      <c r="C9" s="32">
        <f t="shared" si="0"/>
        <v>1</v>
      </c>
      <c r="E9" s="46" t="s">
        <v>167</v>
      </c>
      <c r="F9" s="20">
        <v>0.48821843838832873</v>
      </c>
      <c r="G9" s="20">
        <v>0.54993020140221505</v>
      </c>
      <c r="H9" s="20">
        <v>0.59949279804702582</v>
      </c>
      <c r="I9" s="20">
        <v>0.7685712202231717</v>
      </c>
      <c r="J9" s="20"/>
      <c r="L9" s="46" t="s">
        <v>167</v>
      </c>
      <c r="M9" s="20">
        <v>0.47790012944782062</v>
      </c>
      <c r="N9" s="20">
        <v>0.48821843838832873</v>
      </c>
      <c r="O9" s="20">
        <v>0.58080565878804646</v>
      </c>
      <c r="P9" s="20">
        <v>0.68171968573347841</v>
      </c>
      <c r="Q9" s="20">
        <v>1.2693907282962211</v>
      </c>
      <c r="R9" s="20">
        <v>1.8696392477949075</v>
      </c>
    </row>
    <row r="10" spans="2:18" x14ac:dyDescent="0.2">
      <c r="E10" s="46"/>
      <c r="F10" s="32">
        <v>2.0090192680101544E-2</v>
      </c>
      <c r="G10" s="32">
        <v>9.7629594979178197E-3</v>
      </c>
      <c r="H10" s="32">
        <v>3.78094066404107E-2</v>
      </c>
      <c r="I10" s="32">
        <v>3.4639588700074393E-2</v>
      </c>
      <c r="J10" s="20"/>
      <c r="M10" s="20">
        <f t="shared" ref="M10:R10" si="1">AVERAGE(M5:M9)</f>
        <v>0.40607829346140145</v>
      </c>
      <c r="N10" s="20">
        <f t="shared" si="1"/>
        <v>0.43599597997343748</v>
      </c>
      <c r="O10" s="20">
        <f t="shared" si="1"/>
        <v>0.55816681231918397</v>
      </c>
      <c r="P10" s="20">
        <f t="shared" si="1"/>
        <v>0.62825394555811465</v>
      </c>
      <c r="Q10" s="20">
        <f t="shared" si="1"/>
        <v>1.1304234683198486</v>
      </c>
      <c r="R10" s="20">
        <f t="shared" si="1"/>
        <v>1.6342582638605947</v>
      </c>
    </row>
    <row r="11" spans="2:18" x14ac:dyDescent="0.2">
      <c r="E11" s="46"/>
      <c r="F11" s="32">
        <v>5.2607803041447951E-2</v>
      </c>
      <c r="G11" s="32">
        <v>2.8105185913893806E-2</v>
      </c>
      <c r="H11" s="32">
        <v>3.2620386867400222E-2</v>
      </c>
      <c r="I11" s="32">
        <v>5.448121536242178E-2</v>
      </c>
      <c r="J11" s="20"/>
      <c r="M11" t="s">
        <v>68</v>
      </c>
    </row>
    <row r="12" spans="2:18" x14ac:dyDescent="0.2">
      <c r="E12" s="46"/>
      <c r="F12" s="32">
        <v>2.99048976544046E-2</v>
      </c>
      <c r="G12" s="32">
        <v>3.7031621518631132E-2</v>
      </c>
      <c r="H12" s="32">
        <v>3.4712462141539682E-2</v>
      </c>
      <c r="I12" s="32">
        <v>7.4298362728311335E-2</v>
      </c>
      <c r="J12" s="20"/>
      <c r="M12" s="10" t="s">
        <v>112</v>
      </c>
      <c r="N12" s="10" t="s">
        <v>72</v>
      </c>
      <c r="O12" s="10" t="s">
        <v>32</v>
      </c>
      <c r="P12" s="10" t="s">
        <v>73</v>
      </c>
      <c r="Q12" s="39" t="s">
        <v>118</v>
      </c>
      <c r="R12" s="10" t="s">
        <v>113</v>
      </c>
    </row>
    <row r="13" spans="2:18" x14ac:dyDescent="0.2">
      <c r="B13" t="s">
        <v>207</v>
      </c>
      <c r="E13" s="46"/>
      <c r="F13" s="32">
        <v>1.3302842696443936E-2</v>
      </c>
      <c r="G13" s="32">
        <v>1.8447718261649149E-2</v>
      </c>
      <c r="H13" s="32">
        <v>3.4949369057928045E-2</v>
      </c>
      <c r="I13" s="32">
        <v>3.3072690252072476E-2</v>
      </c>
      <c r="J13" s="20"/>
      <c r="L13" s="41" t="s">
        <v>163</v>
      </c>
      <c r="M13" s="20">
        <v>0.47340373055181895</v>
      </c>
      <c r="N13" s="20">
        <v>0.49852866337781815</v>
      </c>
      <c r="O13" s="20">
        <v>0.58278863997256292</v>
      </c>
      <c r="P13" s="20">
        <v>0.65729557958148088</v>
      </c>
      <c r="Q13" s="20">
        <v>1.1602871273920983</v>
      </c>
      <c r="R13" s="20">
        <v>1.6166045715023087</v>
      </c>
    </row>
    <row r="14" spans="2:18" x14ac:dyDescent="0.2">
      <c r="C14">
        <f>((1-C4)/$M$10+C4/$R$10)^-1</f>
        <v>0.40607829346140145</v>
      </c>
      <c r="E14" s="46"/>
      <c r="F14" s="32">
        <v>2.5795992584672175E-2</v>
      </c>
      <c r="G14" s="32">
        <v>2.1453509237122248E-2</v>
      </c>
      <c r="H14" s="32">
        <v>4.0716628996412797E-2</v>
      </c>
      <c r="I14" s="32">
        <v>4.2926166531292206E-2</v>
      </c>
      <c r="J14" s="20"/>
      <c r="L14" s="41" t="s">
        <v>164</v>
      </c>
      <c r="M14" s="20">
        <v>0.41052044705238649</v>
      </c>
      <c r="N14" s="20">
        <v>0.48026505917896667</v>
      </c>
      <c r="O14" s="20">
        <v>0.56793755941912116</v>
      </c>
      <c r="P14" s="20">
        <v>0.67232401454996626</v>
      </c>
      <c r="Q14" s="20">
        <v>1.1722082992079281</v>
      </c>
      <c r="R14" s="20">
        <v>1.551869770910125</v>
      </c>
    </row>
    <row r="15" spans="2:18" x14ac:dyDescent="0.2">
      <c r="C15">
        <f t="shared" ref="C15:C19" si="2">((1-C5)/$M$10+C5/$R$10)^-1</f>
        <v>0.44464796359000047</v>
      </c>
      <c r="E15" s="46"/>
      <c r="F15" s="20"/>
      <c r="G15" s="20"/>
      <c r="H15" s="20"/>
      <c r="I15" s="20"/>
      <c r="J15" s="20"/>
      <c r="L15" s="41" t="s">
        <v>165</v>
      </c>
      <c r="M15" s="20">
        <v>0.49137460359161345</v>
      </c>
      <c r="N15" s="20">
        <v>0.50353216159751357</v>
      </c>
      <c r="O15" s="20">
        <v>0.62778922542236193</v>
      </c>
      <c r="P15" s="20">
        <v>0.64231566195298329</v>
      </c>
      <c r="Q15" s="20">
        <v>1.0964497572057499</v>
      </c>
      <c r="R15" s="20">
        <v>1.6229690429764296</v>
      </c>
    </row>
    <row r="16" spans="2:18" x14ac:dyDescent="0.2">
      <c r="C16">
        <f t="shared" si="2"/>
        <v>0.48475777008431398</v>
      </c>
      <c r="E16" s="46"/>
      <c r="F16" s="20"/>
      <c r="G16" s="20"/>
      <c r="H16" s="20"/>
      <c r="I16" s="20"/>
      <c r="J16" s="20"/>
      <c r="L16" s="45" t="s">
        <v>166</v>
      </c>
      <c r="M16" s="20">
        <v>0.47023730631744165</v>
      </c>
      <c r="N16" s="20">
        <v>0.44217721979257896</v>
      </c>
      <c r="O16" s="20">
        <v>0.54696438794276481</v>
      </c>
      <c r="P16" s="20">
        <v>0.55662893120954315</v>
      </c>
      <c r="Q16" s="20">
        <v>0.9172378128189479</v>
      </c>
      <c r="R16" s="20">
        <v>1.5124010476954708</v>
      </c>
    </row>
    <row r="17" spans="3:24" x14ac:dyDescent="0.2">
      <c r="C17">
        <f t="shared" si="2"/>
        <v>0.52650184171433778</v>
      </c>
      <c r="L17" s="46" t="s">
        <v>167</v>
      </c>
      <c r="M17" s="20">
        <v>0.56173107564390401</v>
      </c>
      <c r="N17" s="20">
        <v>0.54993020140221505</v>
      </c>
      <c r="O17" s="20">
        <v>0.61198438201877747</v>
      </c>
      <c r="P17" s="20">
        <v>0.7037745866603442</v>
      </c>
      <c r="Q17" s="20">
        <v>1.2149951107478407</v>
      </c>
      <c r="R17" s="20">
        <v>1.8613920264118371</v>
      </c>
    </row>
    <row r="18" spans="3:24" x14ac:dyDescent="0.2">
      <c r="C18">
        <f t="shared" si="2"/>
        <v>0.87425531004777446</v>
      </c>
      <c r="E18" s="10" t="s">
        <v>73</v>
      </c>
      <c r="F18">
        <v>600</v>
      </c>
      <c r="G18" s="10">
        <v>800</v>
      </c>
      <c r="H18" s="10">
        <v>1000</v>
      </c>
      <c r="I18" s="10">
        <v>1200</v>
      </c>
      <c r="J18" s="10" t="s">
        <v>119</v>
      </c>
      <c r="M18" s="20">
        <f t="shared" ref="M18:R18" si="3">AVERAGE(M13:M17)</f>
        <v>0.48145343263143292</v>
      </c>
      <c r="N18" s="20">
        <f t="shared" si="3"/>
        <v>0.49488666106981849</v>
      </c>
      <c r="O18" s="20">
        <f t="shared" si="3"/>
        <v>0.58749283895511772</v>
      </c>
      <c r="P18" s="20">
        <f t="shared" si="3"/>
        <v>0.6464677547908636</v>
      </c>
      <c r="Q18" s="20">
        <f t="shared" si="3"/>
        <v>1.1122356214745128</v>
      </c>
      <c r="R18" s="20">
        <f t="shared" si="3"/>
        <v>1.6330472918992343</v>
      </c>
    </row>
    <row r="19" spans="3:24" x14ac:dyDescent="0.2">
      <c r="C19">
        <f t="shared" si="2"/>
        <v>1.6342582638605947</v>
      </c>
      <c r="E19" s="41" t="s">
        <v>163</v>
      </c>
      <c r="F19" s="20">
        <v>0.62079812637782628</v>
      </c>
      <c r="G19" s="20">
        <v>0.65729557958148088</v>
      </c>
      <c r="H19" s="20">
        <v>0.68965963126411522</v>
      </c>
      <c r="I19" s="20">
        <v>0.7294987398861813</v>
      </c>
      <c r="J19" s="40">
        <v>54</v>
      </c>
      <c r="M19" t="s">
        <v>34</v>
      </c>
    </row>
    <row r="20" spans="3:24" x14ac:dyDescent="0.2">
      <c r="E20" s="41" t="s">
        <v>164</v>
      </c>
      <c r="F20" s="20">
        <v>0.63273491901755885</v>
      </c>
      <c r="G20" s="20">
        <v>0.67232401454996626</v>
      </c>
      <c r="H20" s="20">
        <v>0.70435140712966415</v>
      </c>
      <c r="I20" s="20">
        <v>0.77605693616979332</v>
      </c>
      <c r="J20" s="40">
        <v>36</v>
      </c>
      <c r="M20" s="10" t="s">
        <v>112</v>
      </c>
      <c r="N20" s="10" t="s">
        <v>72</v>
      </c>
      <c r="O20" s="10" t="s">
        <v>32</v>
      </c>
      <c r="P20" s="10" t="s">
        <v>73</v>
      </c>
      <c r="Q20" s="39" t="s">
        <v>118</v>
      </c>
      <c r="R20" s="10" t="s">
        <v>113</v>
      </c>
      <c r="T20" t="s">
        <v>79</v>
      </c>
      <c r="V20" t="s">
        <v>132</v>
      </c>
    </row>
    <row r="21" spans="3:24" x14ac:dyDescent="0.2">
      <c r="E21" s="41" t="s">
        <v>165</v>
      </c>
      <c r="F21" s="20">
        <v>0.65604958546118008</v>
      </c>
      <c r="G21" s="20">
        <v>0.64231566195298329</v>
      </c>
      <c r="H21" s="20">
        <v>0.64556180438752198</v>
      </c>
      <c r="I21" s="20">
        <v>0.63387897756503198</v>
      </c>
      <c r="J21" s="40">
        <v>22</v>
      </c>
      <c r="L21" s="41" t="s">
        <v>163</v>
      </c>
      <c r="M21" s="20">
        <v>0.55396158966096887</v>
      </c>
      <c r="N21" s="20">
        <v>0.57445493857159113</v>
      </c>
      <c r="O21" s="20">
        <v>0.60039486801484576</v>
      </c>
      <c r="P21" s="20">
        <v>0.68965963126411522</v>
      </c>
      <c r="Q21" s="20">
        <v>1.1811295003146394</v>
      </c>
      <c r="R21" s="20">
        <v>1.6378354198643019</v>
      </c>
      <c r="T21" t="s">
        <v>113</v>
      </c>
      <c r="V21" t="s">
        <v>131</v>
      </c>
    </row>
    <row r="22" spans="3:24" x14ac:dyDescent="0.2">
      <c r="E22" s="45" t="s">
        <v>166</v>
      </c>
      <c r="F22" s="20">
        <v>0.54996741120052894</v>
      </c>
      <c r="G22" s="20">
        <v>0.55662893120954315</v>
      </c>
      <c r="H22" s="20">
        <v>0.55741857614699852</v>
      </c>
      <c r="I22" s="20">
        <v>0.53866028970953361</v>
      </c>
      <c r="J22" s="40">
        <v>12</v>
      </c>
      <c r="L22" s="41" t="s">
        <v>164</v>
      </c>
      <c r="M22" s="20">
        <v>0.42078741710482098</v>
      </c>
      <c r="N22" s="20">
        <v>0.53620589916500738</v>
      </c>
      <c r="O22" s="20">
        <v>0.6407724683742293</v>
      </c>
      <c r="P22" s="20">
        <v>0.70435140712966415</v>
      </c>
      <c r="Q22" s="20">
        <v>1.1951579642686965</v>
      </c>
      <c r="R22" s="20">
        <v>1.5676658377525972</v>
      </c>
      <c r="T22" t="s">
        <v>120</v>
      </c>
      <c r="U22" t="s">
        <v>119</v>
      </c>
      <c r="V22">
        <v>0</v>
      </c>
      <c r="W22">
        <v>0</v>
      </c>
    </row>
    <row r="23" spans="3:24" x14ac:dyDescent="0.2">
      <c r="E23" s="46" t="s">
        <v>167</v>
      </c>
      <c r="F23" s="20">
        <v>0.68171968573347841</v>
      </c>
      <c r="G23" s="20">
        <v>0.7037745866603442</v>
      </c>
      <c r="H23" s="20">
        <v>0.74157826739548249</v>
      </c>
      <c r="I23" s="20">
        <v>0.76099027678302311</v>
      </c>
      <c r="J23" s="20"/>
      <c r="L23" s="41" t="s">
        <v>165</v>
      </c>
      <c r="M23" s="20">
        <v>0.54043955504228935</v>
      </c>
      <c r="N23" s="20">
        <v>0.52689102171577618</v>
      </c>
      <c r="O23" s="20">
        <v>0.71298139768847357</v>
      </c>
      <c r="P23" s="20">
        <v>0.64556180438752198</v>
      </c>
      <c r="Q23" s="20">
        <v>1.24105412500945</v>
      </c>
      <c r="R23" s="20">
        <v>1.633167301293085</v>
      </c>
      <c r="T23" s="42">
        <v>0</v>
      </c>
      <c r="U23" s="42">
        <v>0</v>
      </c>
      <c r="V23" s="32">
        <v>7.5391553463772398</v>
      </c>
      <c r="W23" s="32">
        <v>1.5695312377024599</v>
      </c>
      <c r="X23" s="43"/>
    </row>
    <row r="24" spans="3:24" x14ac:dyDescent="0.2">
      <c r="L24" s="45" t="s">
        <v>166</v>
      </c>
      <c r="M24" s="20">
        <v>0.47237106811470675</v>
      </c>
      <c r="N24" s="20">
        <v>0.49647213784709382</v>
      </c>
      <c r="O24" s="20">
        <v>0.56255936704926879</v>
      </c>
      <c r="P24" s="20">
        <v>0.55741857614699852</v>
      </c>
      <c r="Q24" s="20">
        <v>0.94628952844789949</v>
      </c>
      <c r="R24" s="20">
        <v>1.5383473012901794</v>
      </c>
      <c r="T24" s="42">
        <v>1.52</v>
      </c>
      <c r="U24" s="42">
        <v>12.68</v>
      </c>
      <c r="V24" s="32">
        <v>12.68</v>
      </c>
      <c r="W24" s="32">
        <v>1.8719875962159001</v>
      </c>
      <c r="X24" s="43" t="s">
        <v>138</v>
      </c>
    </row>
    <row r="25" spans="3:24" x14ac:dyDescent="0.2">
      <c r="E25" s="10" t="s">
        <v>32</v>
      </c>
      <c r="F25">
        <v>600</v>
      </c>
      <c r="G25" s="10">
        <v>800</v>
      </c>
      <c r="H25" s="10">
        <v>1000</v>
      </c>
      <c r="I25" s="10">
        <v>1200</v>
      </c>
      <c r="J25" s="10" t="s">
        <v>119</v>
      </c>
      <c r="L25" s="46" t="s">
        <v>167</v>
      </c>
      <c r="M25" s="20">
        <v>0.64092956228742481</v>
      </c>
      <c r="N25" s="20">
        <v>0.59949279804702582</v>
      </c>
      <c r="O25" s="20">
        <v>0.65398618906141481</v>
      </c>
      <c r="P25" s="20">
        <v>0.74157826739548249</v>
      </c>
      <c r="Q25" s="20">
        <v>1.2486907666252591</v>
      </c>
      <c r="R25" s="20">
        <v>1.8905298735355653</v>
      </c>
      <c r="T25" s="42">
        <v>1.5856781284448818</v>
      </c>
      <c r="U25" s="32">
        <v>16.260000000000002</v>
      </c>
      <c r="V25" s="32">
        <v>16.260000000000002</v>
      </c>
      <c r="W25" s="32">
        <v>1.93449054762391</v>
      </c>
      <c r="X25" s="43" t="s">
        <v>121</v>
      </c>
    </row>
    <row r="26" spans="3:24" x14ac:dyDescent="0.2">
      <c r="E26" s="41" t="s">
        <v>163</v>
      </c>
      <c r="F26" s="20">
        <v>0.56538596982123235</v>
      </c>
      <c r="G26" s="20">
        <v>0.58278863997256292</v>
      </c>
      <c r="H26" s="20">
        <v>0.60039486801484576</v>
      </c>
      <c r="I26" s="20">
        <v>0.72804389975119865</v>
      </c>
      <c r="J26" s="40">
        <v>54</v>
      </c>
      <c r="M26" s="20">
        <f t="shared" ref="M26:R26" si="4">AVERAGE(M21:M25)</f>
        <v>0.52569783844204221</v>
      </c>
      <c r="N26" s="20">
        <f t="shared" si="4"/>
        <v>0.5467033590692989</v>
      </c>
      <c r="O26" s="20">
        <f t="shared" si="4"/>
        <v>0.63413885803764647</v>
      </c>
      <c r="P26" s="20">
        <f t="shared" si="4"/>
        <v>0.66771393726475647</v>
      </c>
      <c r="Q26" s="20">
        <f t="shared" si="4"/>
        <v>1.162464376933189</v>
      </c>
      <c r="R26" s="20">
        <f t="shared" si="4"/>
        <v>1.6535091467471457</v>
      </c>
      <c r="T26" s="42">
        <v>1.62</v>
      </c>
      <c r="U26" s="42">
        <v>22.62</v>
      </c>
      <c r="V26" s="32">
        <v>18.196099419162898</v>
      </c>
      <c r="W26" s="32">
        <v>1.8884367769050301</v>
      </c>
    </row>
    <row r="27" spans="3:24" x14ac:dyDescent="0.2">
      <c r="E27" s="41" t="s">
        <v>164</v>
      </c>
      <c r="F27" s="20">
        <v>0.54988961835965766</v>
      </c>
      <c r="G27" s="20">
        <v>0.56793755941912116</v>
      </c>
      <c r="H27" s="20">
        <v>0.6407724683742293</v>
      </c>
      <c r="I27" s="20">
        <v>0.68405492569493731</v>
      </c>
      <c r="J27" s="40">
        <v>36</v>
      </c>
      <c r="M27" t="s">
        <v>69</v>
      </c>
      <c r="T27" s="42">
        <v>1.821191288416339</v>
      </c>
      <c r="U27" s="32">
        <v>27.6760219742164</v>
      </c>
      <c r="V27" s="42">
        <v>22.62</v>
      </c>
      <c r="W27" s="32">
        <v>1.8719757905838199</v>
      </c>
      <c r="X27" s="43" t="s">
        <v>122</v>
      </c>
    </row>
    <row r="28" spans="3:24" x14ac:dyDescent="0.2">
      <c r="E28" s="41" t="s">
        <v>165</v>
      </c>
      <c r="F28" s="20">
        <v>0.56851294882102754</v>
      </c>
      <c r="G28" s="20">
        <v>0.62778922542236193</v>
      </c>
      <c r="H28" s="20">
        <v>0.71298139768847357</v>
      </c>
      <c r="I28" s="20">
        <v>0.70177945419000487</v>
      </c>
      <c r="J28" s="40">
        <v>22</v>
      </c>
      <c r="M28" s="10" t="s">
        <v>112</v>
      </c>
      <c r="N28" s="10" t="s">
        <v>72</v>
      </c>
      <c r="O28" s="10" t="s">
        <v>32</v>
      </c>
      <c r="P28" s="10" t="s">
        <v>73</v>
      </c>
      <c r="Q28" s="39" t="s">
        <v>118</v>
      </c>
      <c r="R28" s="10" t="s">
        <v>113</v>
      </c>
      <c r="T28" s="42">
        <v>1.55</v>
      </c>
      <c r="U28" s="42">
        <v>36.869999999999997</v>
      </c>
      <c r="V28" s="32">
        <v>27.6760219742164</v>
      </c>
      <c r="W28" s="32">
        <v>1.9526121928568001</v>
      </c>
      <c r="X28" s="41" t="s">
        <v>123</v>
      </c>
    </row>
    <row r="29" spans="3:24" x14ac:dyDescent="0.2">
      <c r="E29" s="45" t="s">
        <v>166</v>
      </c>
      <c r="F29" s="20">
        <v>0.52623986580595583</v>
      </c>
      <c r="G29" s="20">
        <v>0.54696438794276481</v>
      </c>
      <c r="H29" s="20">
        <v>0.56255936704926879</v>
      </c>
      <c r="I29" s="20">
        <v>0.6076218141552383</v>
      </c>
      <c r="J29" s="40">
        <v>12</v>
      </c>
      <c r="L29" s="41" t="s">
        <v>163</v>
      </c>
      <c r="M29" s="20">
        <v>0.69679869063521238</v>
      </c>
      <c r="N29" s="20">
        <v>0.69308110900649167</v>
      </c>
      <c r="O29" s="20">
        <v>0.72804389975119865</v>
      </c>
      <c r="P29" s="20">
        <v>0.7294987398861813</v>
      </c>
      <c r="Q29" s="20">
        <v>1.1930626695111877</v>
      </c>
      <c r="R29" s="20">
        <v>1.6422828812404018</v>
      </c>
      <c r="T29" s="42">
        <v>1.8534916324637218</v>
      </c>
      <c r="U29" s="32">
        <v>46.145146311133402</v>
      </c>
      <c r="V29" s="32">
        <v>31.371184813234802</v>
      </c>
      <c r="W29" s="32">
        <v>1.99755229895008</v>
      </c>
    </row>
    <row r="30" spans="3:24" x14ac:dyDescent="0.2">
      <c r="E30" s="46" t="s">
        <v>167</v>
      </c>
      <c r="F30" s="20">
        <v>0.58080565878804646</v>
      </c>
      <c r="G30" s="20">
        <v>0.61198438201877747</v>
      </c>
      <c r="H30" s="20">
        <v>0.65398618906141481</v>
      </c>
      <c r="I30" s="20">
        <v>0.76937515839515103</v>
      </c>
      <c r="J30" s="20"/>
      <c r="L30" s="41" t="s">
        <v>164</v>
      </c>
      <c r="M30" s="20">
        <v>0.62755308502241136</v>
      </c>
      <c r="N30" s="20">
        <v>0.63282250818263464</v>
      </c>
      <c r="O30" s="20">
        <v>0.68405492569493731</v>
      </c>
      <c r="P30" s="20">
        <v>0.77605693616979332</v>
      </c>
      <c r="Q30" s="20">
        <v>1.2514509050967189</v>
      </c>
      <c r="R30" s="20">
        <v>1.5770724526863764</v>
      </c>
      <c r="T30" s="42">
        <v>1.61</v>
      </c>
      <c r="U30" s="42">
        <v>53.13</v>
      </c>
      <c r="V30" s="42">
        <v>36.869999999999997</v>
      </c>
      <c r="W30" s="32">
        <v>1.6131373073714299</v>
      </c>
      <c r="X30" s="41" t="s">
        <v>124</v>
      </c>
    </row>
    <row r="31" spans="3:24" x14ac:dyDescent="0.2">
      <c r="L31" s="41" t="s">
        <v>165</v>
      </c>
      <c r="M31" s="20">
        <v>0.66243638221824941</v>
      </c>
      <c r="N31" s="20">
        <v>0.63222793456718152</v>
      </c>
      <c r="O31" s="20">
        <v>0.70177945419000487</v>
      </c>
      <c r="P31" s="20">
        <v>0.63387897756503198</v>
      </c>
      <c r="Q31" s="20">
        <v>1.2441824373363599</v>
      </c>
      <c r="R31" s="20">
        <v>1.6414871981148256</v>
      </c>
      <c r="T31" s="42">
        <v>1.9488070381671576</v>
      </c>
      <c r="U31" s="42">
        <v>61.71</v>
      </c>
      <c r="V31" s="32">
        <v>39.712257394260803</v>
      </c>
      <c r="W31" s="32">
        <v>2.0233830219269899</v>
      </c>
    </row>
    <row r="32" spans="3:24" x14ac:dyDescent="0.2">
      <c r="E32" s="10" t="s">
        <v>118</v>
      </c>
      <c r="F32">
        <v>600</v>
      </c>
      <c r="G32" s="10">
        <v>800</v>
      </c>
      <c r="H32" s="10">
        <v>1000</v>
      </c>
      <c r="I32" s="10">
        <v>1200</v>
      </c>
      <c r="L32" s="45" t="s">
        <v>166</v>
      </c>
      <c r="M32" s="20">
        <v>0.63674079936032568</v>
      </c>
      <c r="N32" s="20">
        <v>0.53984791829694267</v>
      </c>
      <c r="O32" s="20">
        <v>0.6076218141552383</v>
      </c>
      <c r="P32" s="20">
        <v>0.53866028970953361</v>
      </c>
      <c r="Q32" s="20">
        <v>0.92525349477684382</v>
      </c>
      <c r="R32" s="20">
        <v>1.5666256018006701</v>
      </c>
      <c r="T32" s="42">
        <v>1.7709530555514637</v>
      </c>
      <c r="U32" s="32">
        <v>67.724661178359398</v>
      </c>
      <c r="V32" s="32">
        <v>43.526657117222001</v>
      </c>
      <c r="W32" s="32">
        <v>2.1823930803255198</v>
      </c>
      <c r="X32" s="41" t="s">
        <v>125</v>
      </c>
    </row>
    <row r="33" spans="5:30" x14ac:dyDescent="0.2">
      <c r="E33" s="41" t="s">
        <v>163</v>
      </c>
      <c r="F33" s="20">
        <v>1.1283949581942085</v>
      </c>
      <c r="G33" s="20">
        <v>1.1602871273920983</v>
      </c>
      <c r="H33" s="20">
        <v>1.1811295003146394</v>
      </c>
      <c r="I33" s="20">
        <v>1.1930626695111877</v>
      </c>
      <c r="L33" s="46" t="s">
        <v>167</v>
      </c>
      <c r="M33" s="20">
        <v>0.89975198743823692</v>
      </c>
      <c r="N33" s="20">
        <v>0.7685712202231717</v>
      </c>
      <c r="O33" s="20">
        <v>0.76937515839515103</v>
      </c>
      <c r="P33" s="20">
        <v>0.76099027678302311</v>
      </c>
      <c r="Q33" s="20">
        <v>1.2557856336285897</v>
      </c>
      <c r="R33" s="20">
        <v>1.9024893445687696</v>
      </c>
      <c r="T33" s="42">
        <v>1.7395736649469691</v>
      </c>
      <c r="U33" s="32">
        <v>73.933636606903903</v>
      </c>
      <c r="V33" s="32">
        <v>46.145146311133402</v>
      </c>
      <c r="W33" s="32">
        <v>2.2270183695635</v>
      </c>
      <c r="X33" s="41" t="s">
        <v>126</v>
      </c>
    </row>
    <row r="34" spans="5:30" x14ac:dyDescent="0.2">
      <c r="E34" s="41" t="s">
        <v>164</v>
      </c>
      <c r="F34" s="20">
        <v>1.1161930657207983</v>
      </c>
      <c r="G34" s="20">
        <v>1.1722082992079281</v>
      </c>
      <c r="H34" s="20">
        <v>1.1951579642686965</v>
      </c>
      <c r="I34" s="20">
        <v>1.2514509050967189</v>
      </c>
      <c r="L34" s="39"/>
      <c r="M34" s="42">
        <v>3.0272398037727882E-2</v>
      </c>
      <c r="N34" s="32">
        <v>3.4639588700074393E-2</v>
      </c>
      <c r="O34" s="42">
        <v>1.8917230950388244E-2</v>
      </c>
      <c r="P34" s="32">
        <v>3.5728117048583898E-2</v>
      </c>
      <c r="Q34" s="32">
        <v>7.8172400097738681E-2</v>
      </c>
      <c r="R34" s="42">
        <v>5.5408691008959525E-3</v>
      </c>
      <c r="T34" s="16">
        <v>0</v>
      </c>
      <c r="U34" s="42">
        <v>90</v>
      </c>
      <c r="V34" s="32">
        <v>50.489618914196598</v>
      </c>
      <c r="W34" s="32">
        <v>1.9475869288041601</v>
      </c>
    </row>
    <row r="35" spans="5:30" x14ac:dyDescent="0.2">
      <c r="E35" s="41" t="s">
        <v>165</v>
      </c>
      <c r="F35" s="20">
        <v>1.1860949911349437</v>
      </c>
      <c r="G35" s="20">
        <v>1.0964497572057499</v>
      </c>
      <c r="H35" s="20">
        <v>1.24105412500945</v>
      </c>
      <c r="I35" s="20">
        <v>1.2441824373363599</v>
      </c>
      <c r="L35" s="39"/>
      <c r="M35" s="42">
        <v>2.5422981701460658E-2</v>
      </c>
      <c r="N35" s="32">
        <v>5.448121536242178E-2</v>
      </c>
      <c r="O35" s="42">
        <v>8.032246549775833E-2</v>
      </c>
      <c r="P35" s="32">
        <v>4.2747030172493081E-2</v>
      </c>
      <c r="Q35" s="32">
        <v>9.9968450395310923E-2</v>
      </c>
      <c r="R35" s="42">
        <v>1.2128811084867049E-2</v>
      </c>
      <c r="V35" s="42">
        <v>53.13</v>
      </c>
      <c r="W35" s="32">
        <v>1.67635646712524</v>
      </c>
      <c r="X35" s="41" t="s">
        <v>127</v>
      </c>
    </row>
    <row r="36" spans="5:30" x14ac:dyDescent="0.2">
      <c r="E36" s="45" t="s">
        <v>166</v>
      </c>
      <c r="F36" s="20">
        <v>0.95204359825307083</v>
      </c>
      <c r="G36" s="20">
        <v>0.9172378128189479</v>
      </c>
      <c r="H36" s="20">
        <v>0.94628952844789949</v>
      </c>
      <c r="I36" s="20">
        <v>0.92525349477684382</v>
      </c>
      <c r="L36" s="39"/>
      <c r="M36" s="42">
        <v>5.9265909154710028E-2</v>
      </c>
      <c r="N36" s="32">
        <v>7.4298362728311335E-2</v>
      </c>
      <c r="O36" s="42">
        <v>0.10025033962908443</v>
      </c>
      <c r="P36" s="32">
        <v>6.4663478856594278E-2</v>
      </c>
      <c r="Q36" s="32">
        <v>0.25374807100029778</v>
      </c>
      <c r="R36" s="42">
        <v>5.4706216548618082E-3</v>
      </c>
      <c r="V36" s="32">
        <v>57.7638558768436</v>
      </c>
      <c r="W36" s="32">
        <v>1.9000062963371001</v>
      </c>
    </row>
    <row r="37" spans="5:30" x14ac:dyDescent="0.2">
      <c r="E37" s="46" t="s">
        <v>167</v>
      </c>
      <c r="F37" s="20">
        <v>1.2693907282962211</v>
      </c>
      <c r="G37" s="20">
        <v>1.2149951107478407</v>
      </c>
      <c r="H37" s="20">
        <v>1.2486907666252591</v>
      </c>
      <c r="I37" s="20">
        <v>1.2557856336285897</v>
      </c>
      <c r="L37" s="39"/>
      <c r="M37" s="42">
        <v>5.8633820791678982E-2</v>
      </c>
      <c r="N37" s="42">
        <v>3.3072690252072476E-2</v>
      </c>
      <c r="O37" s="42">
        <v>8.7793363691216139E-2</v>
      </c>
      <c r="P37" s="42">
        <v>2.8690520530763299E-2</v>
      </c>
      <c r="Q37" s="42">
        <v>0.14418013317730322</v>
      </c>
      <c r="R37" s="42">
        <v>6.0735867104712897E-2</v>
      </c>
      <c r="V37" s="32">
        <v>61.714807410788701</v>
      </c>
      <c r="W37" s="32">
        <v>2.0444363991248</v>
      </c>
      <c r="X37" s="41" t="s">
        <v>128</v>
      </c>
    </row>
    <row r="38" spans="5:30" x14ac:dyDescent="0.2">
      <c r="M38" s="42">
        <v>9.889294873350972E-2</v>
      </c>
      <c r="N38" s="32">
        <v>4.2926166531292206E-2</v>
      </c>
      <c r="O38" s="42">
        <v>6.7086284793727857E-2</v>
      </c>
      <c r="P38" s="32">
        <v>8.4426528009244578E-2</v>
      </c>
      <c r="Q38" s="32">
        <v>0.10074100618796832</v>
      </c>
      <c r="R38" s="42">
        <v>6.1715227958573024E-3</v>
      </c>
      <c r="V38" s="32">
        <v>67.724661178359398</v>
      </c>
      <c r="W38" s="32">
        <v>1.8912229060743899</v>
      </c>
      <c r="X38" s="41" t="s">
        <v>129</v>
      </c>
    </row>
    <row r="39" spans="5:30" x14ac:dyDescent="0.2">
      <c r="E39" s="10" t="s">
        <v>112</v>
      </c>
      <c r="F39">
        <v>600</v>
      </c>
      <c r="G39" s="10">
        <v>800</v>
      </c>
      <c r="H39" s="10">
        <v>1000</v>
      </c>
      <c r="I39" s="10">
        <v>1200</v>
      </c>
      <c r="J39" s="10" t="s">
        <v>119</v>
      </c>
      <c r="M39" s="20">
        <f t="shared" ref="M39:R39" si="5">AVERAGE(M29:M33)</f>
        <v>0.70465618893488702</v>
      </c>
      <c r="N39" s="20">
        <f t="shared" si="5"/>
        <v>0.65331013805528448</v>
      </c>
      <c r="O39" s="20">
        <f t="shared" si="5"/>
        <v>0.69817505043730599</v>
      </c>
      <c r="P39" s="20">
        <f t="shared" si="5"/>
        <v>0.68781704402271271</v>
      </c>
      <c r="Q39" s="20">
        <f t="shared" si="5"/>
        <v>1.17394702806994</v>
      </c>
      <c r="R39" s="20">
        <f t="shared" si="5"/>
        <v>1.6659914956822086</v>
      </c>
      <c r="V39" s="32">
        <v>70.340395724787101</v>
      </c>
      <c r="W39" s="32">
        <v>1.9563152261172001</v>
      </c>
      <c r="AA39" s="42"/>
      <c r="AB39" s="43"/>
    </row>
    <row r="40" spans="5:30" x14ac:dyDescent="0.2">
      <c r="E40" s="41" t="s">
        <v>163</v>
      </c>
      <c r="F40" s="20">
        <v>0.34005727712181116</v>
      </c>
      <c r="G40" s="20">
        <v>0.47340373055181895</v>
      </c>
      <c r="H40" s="20">
        <v>0.55396158966096887</v>
      </c>
      <c r="I40" s="20">
        <v>0.69679869063521238</v>
      </c>
      <c r="J40" s="40">
        <v>54</v>
      </c>
      <c r="M40" t="s">
        <v>79</v>
      </c>
      <c r="V40" s="32">
        <v>73.933636606903903</v>
      </c>
      <c r="W40" s="32">
        <v>1.7585354719891699</v>
      </c>
      <c r="X40" s="41" t="s">
        <v>130</v>
      </c>
      <c r="AA40" t="s">
        <v>29</v>
      </c>
      <c r="AB40" s="43"/>
      <c r="AC40" t="s">
        <v>119</v>
      </c>
      <c r="AD40" t="s">
        <v>30</v>
      </c>
    </row>
    <row r="41" spans="5:30" x14ac:dyDescent="0.2">
      <c r="E41" s="41" t="s">
        <v>164</v>
      </c>
      <c r="F41" s="20">
        <v>0.34954032574035304</v>
      </c>
      <c r="G41" s="20">
        <v>0.41052044705238649</v>
      </c>
      <c r="H41" s="20">
        <v>0.42078741710482098</v>
      </c>
      <c r="I41" s="20">
        <v>0.62755308502241136</v>
      </c>
      <c r="J41" s="40">
        <v>36</v>
      </c>
      <c r="M41" s="10" t="s">
        <v>112</v>
      </c>
      <c r="N41" s="10" t="s">
        <v>72</v>
      </c>
      <c r="O41" s="10" t="s">
        <v>32</v>
      </c>
      <c r="P41" s="10" t="s">
        <v>73</v>
      </c>
      <c r="Q41" s="39" t="s">
        <v>118</v>
      </c>
      <c r="R41" s="10" t="s">
        <v>113</v>
      </c>
      <c r="V41" s="32">
        <v>77.740559429551794</v>
      </c>
      <c r="W41" s="32">
        <v>1.47309889971509</v>
      </c>
      <c r="Z41" t="s">
        <v>145</v>
      </c>
      <c r="AA41" s="42">
        <v>0</v>
      </c>
      <c r="AB41" s="43"/>
      <c r="AC41">
        <v>0</v>
      </c>
      <c r="AD41" s="42">
        <v>0</v>
      </c>
    </row>
    <row r="42" spans="5:30" x14ac:dyDescent="0.2">
      <c r="E42" s="41" t="s">
        <v>165</v>
      </c>
      <c r="F42" s="20">
        <v>0.43292370677381642</v>
      </c>
      <c r="G42" s="20">
        <v>0.49137460359161345</v>
      </c>
      <c r="H42" s="20">
        <v>0.54043955504228935</v>
      </c>
      <c r="I42" s="20">
        <v>0.66243638221824941</v>
      </c>
      <c r="J42" s="40">
        <v>22</v>
      </c>
      <c r="L42" s="41" t="s">
        <v>163</v>
      </c>
      <c r="M42" s="20">
        <v>1.1417847241190653</v>
      </c>
      <c r="N42" s="20">
        <v>1.3126404277547192</v>
      </c>
      <c r="O42" s="20">
        <v>1.4993004371111849</v>
      </c>
      <c r="P42" s="20">
        <v>1.6866899936140847</v>
      </c>
      <c r="Q42" s="20">
        <v>2.9938584530204047</v>
      </c>
      <c r="R42" s="20">
        <v>4.7582232490558258</v>
      </c>
      <c r="S42" s="32">
        <f>R42-M42</f>
        <v>3.6164385249367603</v>
      </c>
      <c r="V42">
        <v>90</v>
      </c>
      <c r="W42">
        <v>0</v>
      </c>
      <c r="Z42">
        <v>1.8517788006198372E-2</v>
      </c>
      <c r="AA42" s="20">
        <v>0.42997002822320596</v>
      </c>
      <c r="AB42" s="43" t="s">
        <v>138</v>
      </c>
      <c r="AC42" s="42">
        <v>12.68</v>
      </c>
      <c r="AD42" s="42">
        <v>1.52</v>
      </c>
    </row>
    <row r="43" spans="5:30" x14ac:dyDescent="0.2">
      <c r="E43" s="45" t="s">
        <v>166</v>
      </c>
      <c r="F43" s="20">
        <v>0.42997002822320596</v>
      </c>
      <c r="G43" s="20">
        <v>0.47023730631744165</v>
      </c>
      <c r="H43" s="20">
        <v>0.47237106811470675</v>
      </c>
      <c r="I43" s="20">
        <v>0.63674079936032568</v>
      </c>
      <c r="J43" s="40">
        <v>12</v>
      </c>
      <c r="L43" s="41" t="s">
        <v>164</v>
      </c>
      <c r="M43" s="20">
        <v>1.1807320121333085</v>
      </c>
      <c r="N43" s="20">
        <v>1.327620068192124</v>
      </c>
      <c r="O43" s="20">
        <v>1.5471450600185022</v>
      </c>
      <c r="P43" s="20">
        <v>1.7163615759317543</v>
      </c>
      <c r="Q43" s="20">
        <v>3.0680518516991149</v>
      </c>
      <c r="R43" s="20">
        <v>4.8118605830360286</v>
      </c>
      <c r="S43" s="32">
        <f t="shared" ref="S43:S48" si="6">R43-M43</f>
        <v>3.6311285709027201</v>
      </c>
      <c r="Z43">
        <v>2.565235523015719E-2</v>
      </c>
      <c r="AA43" s="20">
        <v>0.42948468297198428</v>
      </c>
      <c r="AB43" s="43" t="s">
        <v>121</v>
      </c>
      <c r="AC43" s="32">
        <v>16.260000000000002</v>
      </c>
      <c r="AD43" s="42">
        <v>1.5856781284448818</v>
      </c>
    </row>
    <row r="44" spans="5:30" x14ac:dyDescent="0.2">
      <c r="E44" s="46" t="s">
        <v>167</v>
      </c>
      <c r="F44" s="20">
        <v>0.47790012944782062</v>
      </c>
      <c r="G44" s="20">
        <v>0.56173107564390401</v>
      </c>
      <c r="H44" s="20">
        <v>0.64092956228742481</v>
      </c>
      <c r="I44" s="20">
        <v>0.89975198743823692</v>
      </c>
      <c r="J44" s="20"/>
      <c r="L44" s="41" t="s">
        <v>165</v>
      </c>
      <c r="M44" s="20">
        <v>1.1877466988904259</v>
      </c>
      <c r="N44" s="20">
        <v>1.2829504885030727</v>
      </c>
      <c r="O44" s="20">
        <v>1.5729436463655997</v>
      </c>
      <c r="P44" s="20">
        <v>1.7557256753332595</v>
      </c>
      <c r="Q44" s="20">
        <v>3.1422807058350637</v>
      </c>
      <c r="R44" s="20">
        <v>4.8390791770074149</v>
      </c>
      <c r="S44" s="32">
        <f t="shared" si="6"/>
        <v>3.6513324781169887</v>
      </c>
      <c r="Z44">
        <v>3.8182400529653071E-3</v>
      </c>
      <c r="AA44" s="20">
        <v>0.43292370677381642</v>
      </c>
      <c r="AB44" s="43" t="s">
        <v>122</v>
      </c>
      <c r="AC44" s="42">
        <v>22.62</v>
      </c>
      <c r="AD44" s="42">
        <v>1.62</v>
      </c>
    </row>
    <row r="45" spans="5:30" x14ac:dyDescent="0.2">
      <c r="L45" s="45" t="s">
        <v>166</v>
      </c>
      <c r="M45" s="20">
        <v>1.1699099610578692</v>
      </c>
      <c r="N45" s="20">
        <v>1.3399180242565134</v>
      </c>
      <c r="O45" s="20">
        <v>1.5240993960617104</v>
      </c>
      <c r="P45" s="20">
        <v>1.7014723861582177</v>
      </c>
      <c r="Q45" s="20">
        <v>3.048623591829398</v>
      </c>
      <c r="R45" s="20">
        <v>4.8566989292160461</v>
      </c>
      <c r="S45" s="32">
        <f t="shared" si="6"/>
        <v>3.6867889681581767</v>
      </c>
      <c r="Z45">
        <v>1.219639459137409E-2</v>
      </c>
      <c r="AA45" s="20">
        <v>0.45801015663760947</v>
      </c>
      <c r="AB45" s="41" t="s">
        <v>123</v>
      </c>
      <c r="AC45" s="32">
        <v>27.6760219742164</v>
      </c>
      <c r="AD45" s="42">
        <v>1.821191288416339</v>
      </c>
    </row>
    <row r="46" spans="5:30" x14ac:dyDescent="0.2">
      <c r="E46" s="10" t="s">
        <v>113</v>
      </c>
      <c r="F46">
        <v>600</v>
      </c>
      <c r="G46" s="10">
        <v>800</v>
      </c>
      <c r="H46" s="10">
        <v>1000</v>
      </c>
      <c r="I46" s="10">
        <v>1200</v>
      </c>
      <c r="J46" s="10" t="s">
        <v>119</v>
      </c>
      <c r="L46" s="46" t="s">
        <v>168</v>
      </c>
      <c r="M46" s="20">
        <v>1.1490538956680909</v>
      </c>
      <c r="N46" s="20">
        <v>1.3119524471317674</v>
      </c>
      <c r="O46" s="20">
        <v>1.4824809264786118</v>
      </c>
      <c r="P46" s="20">
        <v>1.6349650568656682</v>
      </c>
      <c r="Q46" s="20">
        <v>2.9634284532986883</v>
      </c>
      <c r="R46" s="20">
        <v>4.8396626624633896</v>
      </c>
      <c r="S46" s="32">
        <f t="shared" si="6"/>
        <v>3.6906087667952985</v>
      </c>
      <c r="Z46">
        <v>2.6863561323461245E-2</v>
      </c>
      <c r="AA46" s="20">
        <v>0.34954032574035304</v>
      </c>
      <c r="AB46" s="41" t="s">
        <v>124</v>
      </c>
      <c r="AC46" s="42">
        <v>36.869999999999997</v>
      </c>
      <c r="AD46" s="42">
        <v>1.55</v>
      </c>
    </row>
    <row r="47" spans="5:30" x14ac:dyDescent="0.2">
      <c r="E47" s="41" t="s">
        <v>163</v>
      </c>
      <c r="F47" s="20">
        <v>1.6110840255766583</v>
      </c>
      <c r="G47" s="20">
        <v>1.6166045715023087</v>
      </c>
      <c r="H47" s="20">
        <v>1.6378354198643019</v>
      </c>
      <c r="I47" s="20">
        <v>1.6422828812404018</v>
      </c>
      <c r="J47" s="40">
        <v>54</v>
      </c>
      <c r="L47" s="46" t="s">
        <v>169</v>
      </c>
      <c r="M47" s="20">
        <v>1.0323195233449924</v>
      </c>
      <c r="N47" s="20">
        <v>1.1347329507934907</v>
      </c>
      <c r="O47" s="20">
        <v>1.3262243291014431</v>
      </c>
      <c r="P47" s="20">
        <v>1.4810177147704797</v>
      </c>
      <c r="Q47" s="20">
        <v>2.7545392989524857</v>
      </c>
      <c r="R47" s="20">
        <v>4.5880188560511765</v>
      </c>
      <c r="S47" s="32">
        <f t="shared" si="6"/>
        <v>3.5556993327061841</v>
      </c>
      <c r="Z47">
        <v>1.7911804199900627E-2</v>
      </c>
      <c r="AA47" s="20">
        <v>0.37273424505906971</v>
      </c>
      <c r="AB47" s="41" t="s">
        <v>126</v>
      </c>
      <c r="AC47" s="32">
        <v>46.145146311133402</v>
      </c>
      <c r="AD47" s="42">
        <v>1.8534916324637218</v>
      </c>
    </row>
    <row r="48" spans="5:30" x14ac:dyDescent="0.2">
      <c r="E48" s="41" t="s">
        <v>164</v>
      </c>
      <c r="F48" s="20">
        <v>1.5532530662965855</v>
      </c>
      <c r="G48" s="20">
        <v>1.551869770910125</v>
      </c>
      <c r="H48" s="20">
        <v>1.5676658377525972</v>
      </c>
      <c r="I48" s="20">
        <v>1.5770724526863764</v>
      </c>
      <c r="J48" s="40">
        <v>36</v>
      </c>
      <c r="L48" s="46" t="s">
        <v>170</v>
      </c>
      <c r="M48" s="20">
        <v>1.2081286544086183</v>
      </c>
      <c r="N48" s="20">
        <v>1.3813900742822482</v>
      </c>
      <c r="O48" s="20">
        <v>1.5983876027380637</v>
      </c>
      <c r="P48" s="20">
        <v>1.8048101730822874</v>
      </c>
      <c r="Q48" s="20">
        <v>3.1165321393818495</v>
      </c>
      <c r="R48" s="20">
        <v>4.9622075622336181</v>
      </c>
      <c r="S48" s="32">
        <f t="shared" si="6"/>
        <v>3.7540789078249999</v>
      </c>
      <c r="Z48">
        <v>1.4152847964270859E-2</v>
      </c>
      <c r="AA48" s="20">
        <v>0.34005727712181116</v>
      </c>
      <c r="AB48" s="41" t="s">
        <v>127</v>
      </c>
      <c r="AC48" s="42">
        <v>53.13</v>
      </c>
      <c r="AD48" s="42">
        <v>1.61</v>
      </c>
    </row>
    <row r="49" spans="5:45" x14ac:dyDescent="0.2">
      <c r="E49" s="41" t="s">
        <v>165</v>
      </c>
      <c r="F49" s="20">
        <v>1.6162468126163236</v>
      </c>
      <c r="G49" s="20">
        <v>1.6229690429764296</v>
      </c>
      <c r="H49" s="20">
        <v>1.633167301293085</v>
      </c>
      <c r="I49" s="20">
        <v>1.6414871981148256</v>
      </c>
      <c r="J49" s="40">
        <v>22</v>
      </c>
      <c r="M49" s="32">
        <f t="shared" ref="M49:R49" si="7">AVERAGE(M42:M48)</f>
        <v>1.1528107813746244</v>
      </c>
      <c r="N49" s="32">
        <f t="shared" si="7"/>
        <v>1.2987434972734193</v>
      </c>
      <c r="O49" s="32">
        <f t="shared" si="7"/>
        <v>1.5072259139821595</v>
      </c>
      <c r="P49" s="32">
        <f t="shared" si="7"/>
        <v>1.6830060822508217</v>
      </c>
      <c r="Q49" s="32">
        <f t="shared" si="7"/>
        <v>3.0124734991452864</v>
      </c>
      <c r="R49" s="32">
        <f t="shared" si="7"/>
        <v>4.8079644312947849</v>
      </c>
      <c r="Z49">
        <v>1.0919222774251837E-2</v>
      </c>
      <c r="AA49" s="20">
        <v>0.55726137889538596</v>
      </c>
      <c r="AB49" s="41" t="s">
        <v>128</v>
      </c>
      <c r="AC49" s="42">
        <v>61.71</v>
      </c>
      <c r="AD49" s="42">
        <v>1.9488070381671576</v>
      </c>
    </row>
    <row r="50" spans="5:45" x14ac:dyDescent="0.2">
      <c r="E50" s="45" t="s">
        <v>166</v>
      </c>
      <c r="F50" s="20">
        <v>1.5210681670184989</v>
      </c>
      <c r="G50" s="20">
        <v>1.5124010476954708</v>
      </c>
      <c r="H50" s="20">
        <v>1.5383473012901794</v>
      </c>
      <c r="I50" s="20">
        <v>1.5666256018006701</v>
      </c>
      <c r="J50" s="40">
        <v>12</v>
      </c>
      <c r="M50" t="s">
        <v>68</v>
      </c>
      <c r="Z50">
        <v>2.5312829344658991E-2</v>
      </c>
      <c r="AA50" s="20">
        <v>0.45693548394487671</v>
      </c>
      <c r="AB50" s="41" t="s">
        <v>129</v>
      </c>
      <c r="AC50" s="32">
        <v>67.724661178359398</v>
      </c>
      <c r="AD50" s="42">
        <v>1.7709530555514637</v>
      </c>
    </row>
    <row r="51" spans="5:45" x14ac:dyDescent="0.2">
      <c r="E51" s="46" t="s">
        <v>167</v>
      </c>
      <c r="F51" s="20">
        <v>1.8696392477949075</v>
      </c>
      <c r="G51" s="20">
        <v>1.8613920264118371</v>
      </c>
      <c r="H51" s="20">
        <v>1.8905298735355653</v>
      </c>
      <c r="I51" s="20">
        <v>1.9024893445687696</v>
      </c>
      <c r="J51" s="20"/>
      <c r="M51" s="10" t="s">
        <v>112</v>
      </c>
      <c r="N51" s="10" t="s">
        <v>72</v>
      </c>
      <c r="O51" s="10" t="s">
        <v>32</v>
      </c>
      <c r="P51" s="10" t="s">
        <v>73</v>
      </c>
      <c r="Q51" s="39" t="s">
        <v>118</v>
      </c>
      <c r="R51" s="10" t="s">
        <v>113</v>
      </c>
      <c r="Z51">
        <v>1.9891116132721699E-2</v>
      </c>
      <c r="AA51" s="20">
        <v>0.46834195329599648</v>
      </c>
      <c r="AB51" s="41" t="s">
        <v>130</v>
      </c>
      <c r="AC51" s="32">
        <v>73.933636606903903</v>
      </c>
      <c r="AD51" s="42">
        <v>1.7395736649469691</v>
      </c>
    </row>
    <row r="52" spans="5:45" x14ac:dyDescent="0.2">
      <c r="J52" s="40"/>
      <c r="L52" s="41" t="s">
        <v>163</v>
      </c>
      <c r="M52" s="20">
        <v>1.2121254441008973</v>
      </c>
      <c r="N52" s="20">
        <v>1.3551293018678674</v>
      </c>
      <c r="O52" s="20">
        <v>1.5517365761252533</v>
      </c>
      <c r="P52" s="20">
        <v>1.7208953434775425</v>
      </c>
      <c r="Q52" s="20">
        <v>3.052895776130605</v>
      </c>
      <c r="R52" s="20">
        <v>4.7538273401141842</v>
      </c>
      <c r="Z52" t="s">
        <v>146</v>
      </c>
      <c r="AA52" s="20">
        <v>0</v>
      </c>
      <c r="AC52" s="42">
        <v>90</v>
      </c>
      <c r="AD52" s="16">
        <v>0</v>
      </c>
    </row>
    <row r="53" spans="5:45" x14ac:dyDescent="0.2">
      <c r="J53" s="40"/>
      <c r="L53" s="41" t="s">
        <v>164</v>
      </c>
      <c r="M53" s="20">
        <v>1.2207595440044074</v>
      </c>
      <c r="N53" s="20">
        <v>1.3993741155229351</v>
      </c>
      <c r="O53" s="20">
        <v>1.6047990747544656</v>
      </c>
      <c r="P53" s="20">
        <v>1.78276116206738</v>
      </c>
      <c r="Q53" s="20">
        <v>3.0441192700329642</v>
      </c>
      <c r="R53" s="20">
        <v>4.8121998602234983</v>
      </c>
      <c r="Z53">
        <f>Z42*2</f>
        <v>3.7035576012396744E-2</v>
      </c>
    </row>
    <row r="54" spans="5:45" x14ac:dyDescent="0.2">
      <c r="E54" t="s">
        <v>153</v>
      </c>
      <c r="J54" s="20"/>
      <c r="L54" s="41" t="s">
        <v>165</v>
      </c>
      <c r="M54" s="20">
        <v>1.2532842134072641</v>
      </c>
      <c r="N54" s="20">
        <v>1.396585815337831</v>
      </c>
      <c r="O54" s="20">
        <v>1.5901741775817031</v>
      </c>
      <c r="P54" s="20">
        <v>1.7710338342393981</v>
      </c>
      <c r="Q54" s="20">
        <v>3.1191318614746542</v>
      </c>
      <c r="R54" s="20">
        <v>4.8467911389346003</v>
      </c>
      <c r="Z54">
        <f t="shared" ref="Z54:Z62" si="8">Z43*2</f>
        <v>5.130471046031438E-2</v>
      </c>
      <c r="AN54">
        <v>0</v>
      </c>
      <c r="AO54" s="32">
        <v>0.11542192046556742</v>
      </c>
      <c r="AP54" s="32">
        <v>0.2159709618874773</v>
      </c>
      <c r="AQ54" s="32">
        <v>0.30434782608695649</v>
      </c>
      <c r="AR54" s="32">
        <v>0.71257485029940115</v>
      </c>
      <c r="AS54" s="32">
        <v>1</v>
      </c>
    </row>
    <row r="55" spans="5:45" x14ac:dyDescent="0.2">
      <c r="E55" s="10" t="s">
        <v>72</v>
      </c>
      <c r="F55">
        <v>600</v>
      </c>
      <c r="G55" s="10">
        <v>800</v>
      </c>
      <c r="H55" s="10">
        <v>1000</v>
      </c>
      <c r="I55" s="10">
        <v>1200</v>
      </c>
      <c r="J55" s="20"/>
      <c r="L55" s="45" t="s">
        <v>166</v>
      </c>
      <c r="M55" s="20">
        <v>1.2426699928597111</v>
      </c>
      <c r="N55" s="20">
        <v>1.3802268904221533</v>
      </c>
      <c r="O55" s="20">
        <v>1.5956999501879825</v>
      </c>
      <c r="P55" s="20">
        <v>1.7156556242270842</v>
      </c>
      <c r="Q55" s="20">
        <v>3.0715700047266425</v>
      </c>
      <c r="R55" s="20">
        <v>4.8620866949765151</v>
      </c>
      <c r="Z55">
        <f t="shared" si="8"/>
        <v>7.6364801059306143E-3</v>
      </c>
    </row>
    <row r="56" spans="5:45" x14ac:dyDescent="0.2">
      <c r="E56" s="41" t="s">
        <v>163</v>
      </c>
      <c r="F56" s="20">
        <v>1.3126404277547192</v>
      </c>
      <c r="G56" s="20">
        <v>1.3551293018678674</v>
      </c>
      <c r="H56" s="20">
        <v>1.3953963821522279</v>
      </c>
      <c r="I56" s="20">
        <v>1.4904017300742587</v>
      </c>
      <c r="J56" s="20"/>
      <c r="L56" s="46" t="s">
        <v>168</v>
      </c>
      <c r="M56" s="20">
        <v>1.2325829072111127</v>
      </c>
      <c r="N56" s="20">
        <v>1.3723273572618797</v>
      </c>
      <c r="O56" s="20">
        <v>1.5576808499878863</v>
      </c>
      <c r="P56" s="20">
        <v>1.7343135328665802</v>
      </c>
      <c r="Q56" s="20">
        <v>3.0183307497425593</v>
      </c>
      <c r="R56" s="20">
        <v>4.8444544838373629</v>
      </c>
      <c r="Z56">
        <f t="shared" si="8"/>
        <v>2.4392789182748179E-2</v>
      </c>
      <c r="AM56">
        <v>600</v>
      </c>
      <c r="AN56" s="20">
        <v>0.40607829346140145</v>
      </c>
      <c r="AO56" s="20">
        <v>0.43599597997343748</v>
      </c>
      <c r="AP56" s="20">
        <v>0.55816681231918397</v>
      </c>
      <c r="AQ56" s="20">
        <v>0.62825394555811465</v>
      </c>
      <c r="AR56" s="20">
        <v>1.1304234683198486</v>
      </c>
      <c r="AS56" s="20">
        <v>1.6342582638605947</v>
      </c>
    </row>
    <row r="57" spans="5:45" x14ac:dyDescent="0.2">
      <c r="E57" s="41" t="s">
        <v>164</v>
      </c>
      <c r="F57" s="20">
        <v>1.327620068192124</v>
      </c>
      <c r="G57" s="20">
        <v>1.3993741155229351</v>
      </c>
      <c r="H57" s="20">
        <v>1.4347956274039948</v>
      </c>
      <c r="I57" s="20">
        <v>1.5414063194245986</v>
      </c>
      <c r="L57" s="46" t="s">
        <v>169</v>
      </c>
      <c r="M57" s="20">
        <v>1.0584171184492379</v>
      </c>
      <c r="N57" s="20">
        <v>1.1957221152043118</v>
      </c>
      <c r="O57" s="20">
        <v>1.3836882189355035</v>
      </c>
      <c r="P57" s="20">
        <v>1.5151129892187154</v>
      </c>
      <c r="Q57" s="20">
        <v>2.7536635447989122</v>
      </c>
      <c r="R57" s="20">
        <v>4.5804504923295521</v>
      </c>
      <c r="Z57">
        <f t="shared" si="8"/>
        <v>5.372712264692249E-2</v>
      </c>
      <c r="AM57">
        <v>800</v>
      </c>
      <c r="AN57" s="20">
        <v>0.48145343263143292</v>
      </c>
      <c r="AO57" s="20">
        <v>0.49488666106981849</v>
      </c>
      <c r="AP57" s="20">
        <v>0.58749283895511772</v>
      </c>
      <c r="AQ57" s="20">
        <v>0.6464677547908636</v>
      </c>
      <c r="AR57" s="20">
        <v>1.1122356214745128</v>
      </c>
      <c r="AS57" s="20">
        <v>1.6330472918992343</v>
      </c>
    </row>
    <row r="58" spans="5:45" x14ac:dyDescent="0.2">
      <c r="E58" s="41" t="s">
        <v>165</v>
      </c>
      <c r="F58" s="20">
        <v>1.2829504885030727</v>
      </c>
      <c r="G58" s="20">
        <v>1.396585815337831</v>
      </c>
      <c r="H58" s="20">
        <v>1.428170538221702</v>
      </c>
      <c r="I58" s="20">
        <v>1.4949747194061678</v>
      </c>
      <c r="J58" s="10"/>
      <c r="L58" s="46" t="s">
        <v>170</v>
      </c>
      <c r="M58" s="20">
        <v>1.2445777221215129</v>
      </c>
      <c r="N58" s="20">
        <v>1.4026508077284316</v>
      </c>
      <c r="O58" s="20">
        <v>1.6267068610608917</v>
      </c>
      <c r="P58" s="20">
        <v>1.8102461152713922</v>
      </c>
      <c r="Q58" s="20">
        <v>3.059574777645401</v>
      </c>
      <c r="R58" s="20">
        <v>4.9499576332028132</v>
      </c>
      <c r="Z58">
        <f t="shared" si="8"/>
        <v>3.5823608399801254E-2</v>
      </c>
      <c r="AM58">
        <v>1000</v>
      </c>
      <c r="AN58" s="20">
        <v>0.52569783844204221</v>
      </c>
      <c r="AO58" s="20">
        <v>0.5467033590692989</v>
      </c>
      <c r="AP58" s="20">
        <v>0.63413885803764647</v>
      </c>
      <c r="AQ58" s="20">
        <v>0.66771393726475647</v>
      </c>
      <c r="AR58" s="20">
        <v>1.162464376933189</v>
      </c>
      <c r="AS58" s="20">
        <v>1.6535091467471457</v>
      </c>
    </row>
    <row r="59" spans="5:45" x14ac:dyDescent="0.2">
      <c r="E59" s="45" t="s">
        <v>166</v>
      </c>
      <c r="F59" s="20">
        <v>1.3399180242565134</v>
      </c>
      <c r="G59" s="20">
        <v>1.3802268904221533</v>
      </c>
      <c r="H59" s="20">
        <v>1.4311938199074086</v>
      </c>
      <c r="I59" s="20">
        <v>1.547438841003334</v>
      </c>
      <c r="J59" s="20"/>
      <c r="M59" s="32">
        <f t="shared" ref="M59:R59" si="9">AVERAGE(M52:M58)</f>
        <v>1.2092024203077347</v>
      </c>
      <c r="N59" s="32">
        <f t="shared" si="9"/>
        <v>1.3574309147636299</v>
      </c>
      <c r="O59" s="32">
        <f t="shared" si="9"/>
        <v>1.5586408155190981</v>
      </c>
      <c r="P59" s="32">
        <f t="shared" si="9"/>
        <v>1.7214312287668705</v>
      </c>
      <c r="Q59" s="32">
        <f t="shared" si="9"/>
        <v>3.0170408549359631</v>
      </c>
      <c r="R59" s="32">
        <f t="shared" si="9"/>
        <v>4.8071096633740753</v>
      </c>
      <c r="Z59">
        <f t="shared" si="8"/>
        <v>2.8305695928541718E-2</v>
      </c>
      <c r="AM59">
        <v>1200</v>
      </c>
      <c r="AN59" s="20">
        <v>0.70465618893488702</v>
      </c>
      <c r="AO59" s="20">
        <v>0.65331013805528448</v>
      </c>
      <c r="AP59" s="20">
        <v>0.69817505043730599</v>
      </c>
      <c r="AQ59" s="20">
        <v>0.68781704402271271</v>
      </c>
      <c r="AR59" s="20">
        <v>1.17394702806994</v>
      </c>
      <c r="AS59" s="20">
        <v>1.6659914956822086</v>
      </c>
    </row>
    <row r="60" spans="5:45" x14ac:dyDescent="0.2">
      <c r="E60" s="46" t="s">
        <v>168</v>
      </c>
      <c r="F60" s="20">
        <v>1.3119524471317674</v>
      </c>
      <c r="G60" s="20">
        <v>1.3723273572618797</v>
      </c>
      <c r="H60" s="20">
        <v>1.4198243354886204</v>
      </c>
      <c r="I60" s="20">
        <v>1.4856511459398227</v>
      </c>
      <c r="J60" s="20"/>
      <c r="M60" t="s">
        <v>34</v>
      </c>
      <c r="Z60">
        <f t="shared" si="8"/>
        <v>2.1838445548503675E-2</v>
      </c>
    </row>
    <row r="61" spans="5:45" x14ac:dyDescent="0.2">
      <c r="E61" s="46" t="s">
        <v>169</v>
      </c>
      <c r="F61" s="20">
        <v>1.1347329507934907</v>
      </c>
      <c r="G61" s="20">
        <v>1.1957221152043118</v>
      </c>
      <c r="H61" s="20">
        <v>1.2272323356642059</v>
      </c>
      <c r="I61" s="20">
        <v>1.2764058514230894</v>
      </c>
      <c r="J61" s="20"/>
      <c r="M61" s="10" t="s">
        <v>112</v>
      </c>
      <c r="N61" s="10" t="s">
        <v>72</v>
      </c>
      <c r="O61" s="10" t="s">
        <v>32</v>
      </c>
      <c r="P61" s="10" t="s">
        <v>73</v>
      </c>
      <c r="Q61" s="39" t="s">
        <v>118</v>
      </c>
      <c r="R61" s="10" t="s">
        <v>113</v>
      </c>
      <c r="Z61">
        <f t="shared" si="8"/>
        <v>5.0625658689317982E-2</v>
      </c>
      <c r="AN61" s="32">
        <f t="shared" ref="AN61:AS61" si="10">AN56-AN$56</f>
        <v>0</v>
      </c>
      <c r="AO61" s="32">
        <f t="shared" si="10"/>
        <v>0</v>
      </c>
      <c r="AP61" s="32">
        <f t="shared" si="10"/>
        <v>0</v>
      </c>
      <c r="AQ61" s="32">
        <f t="shared" si="10"/>
        <v>0</v>
      </c>
      <c r="AR61" s="32">
        <f t="shared" si="10"/>
        <v>0</v>
      </c>
      <c r="AS61" s="32">
        <f t="shared" si="10"/>
        <v>0</v>
      </c>
    </row>
    <row r="62" spans="5:45" x14ac:dyDescent="0.2">
      <c r="E62" s="46" t="s">
        <v>170</v>
      </c>
      <c r="F62" s="20">
        <v>1.3813900742822482</v>
      </c>
      <c r="G62" s="20">
        <v>1.4026508077284316</v>
      </c>
      <c r="H62" s="20">
        <v>1.4618044491539786</v>
      </c>
      <c r="I62" s="20">
        <v>1.5499752456935476</v>
      </c>
      <c r="J62" s="20"/>
      <c r="L62" s="41" t="s">
        <v>163</v>
      </c>
      <c r="M62" s="20">
        <v>1.2383491451758224</v>
      </c>
      <c r="N62" s="20">
        <v>1.3953963821522279</v>
      </c>
      <c r="O62" s="20">
        <v>1.5786790405602635</v>
      </c>
      <c r="P62" s="20">
        <v>1.749294771304005</v>
      </c>
      <c r="Q62" s="20">
        <v>3.0859244093442877</v>
      </c>
      <c r="R62" s="20">
        <v>4.7809255882189472</v>
      </c>
      <c r="Z62">
        <f t="shared" si="8"/>
        <v>3.9782232265443397E-2</v>
      </c>
      <c r="AN62" s="32">
        <f t="shared" ref="AN62:AS64" si="11">AN57-AN$56</f>
        <v>7.5375139170031469E-2</v>
      </c>
      <c r="AO62" s="32">
        <f t="shared" si="11"/>
        <v>5.8890681096381015E-2</v>
      </c>
      <c r="AP62" s="32">
        <f t="shared" si="11"/>
        <v>2.9326026635933755E-2</v>
      </c>
      <c r="AQ62" s="32">
        <f t="shared" si="11"/>
        <v>1.8213809232748956E-2</v>
      </c>
      <c r="AR62" s="32">
        <f t="shared" si="11"/>
        <v>-1.8187846845335809E-2</v>
      </c>
      <c r="AS62" s="32">
        <f t="shared" si="11"/>
        <v>-1.2109719613604408E-3</v>
      </c>
    </row>
    <row r="63" spans="5:45" x14ac:dyDescent="0.2">
      <c r="J63" s="20"/>
      <c r="L63" s="41" t="s">
        <v>164</v>
      </c>
      <c r="M63" s="20">
        <v>1.2661057820168231</v>
      </c>
      <c r="N63" s="20">
        <v>1.4347956274039948</v>
      </c>
      <c r="O63" s="20">
        <v>1.6291617569961918</v>
      </c>
      <c r="P63" s="20">
        <v>1.8061851912323994</v>
      </c>
      <c r="Q63" s="20">
        <v>3.0890706771241048</v>
      </c>
      <c r="R63" s="20">
        <v>4.8438640596663927</v>
      </c>
      <c r="AN63" s="32">
        <f t="shared" si="11"/>
        <v>0.11961954498064076</v>
      </c>
      <c r="AO63" s="32">
        <f t="shared" si="11"/>
        <v>0.11070737909586142</v>
      </c>
      <c r="AP63" s="32">
        <f t="shared" si="11"/>
        <v>7.59720457184625E-2</v>
      </c>
      <c r="AQ63" s="32">
        <f t="shared" si="11"/>
        <v>3.9459991706641828E-2</v>
      </c>
      <c r="AR63" s="32">
        <f t="shared" si="11"/>
        <v>3.2040908613340413E-2</v>
      </c>
      <c r="AS63" s="32">
        <f t="shared" si="11"/>
        <v>1.9250882886550968E-2</v>
      </c>
    </row>
    <row r="64" spans="5:45" x14ac:dyDescent="0.2">
      <c r="E64" s="10" t="s">
        <v>73</v>
      </c>
      <c r="F64">
        <v>600</v>
      </c>
      <c r="G64" s="10">
        <v>800</v>
      </c>
      <c r="H64" s="10">
        <v>1000</v>
      </c>
      <c r="I64" s="10">
        <v>1200</v>
      </c>
      <c r="J64" s="20"/>
      <c r="L64" s="41" t="s">
        <v>165</v>
      </c>
      <c r="M64" s="20">
        <v>1.2851510516876756</v>
      </c>
      <c r="N64" s="20">
        <v>1.428170538221702</v>
      </c>
      <c r="O64" s="20">
        <v>1.6381693528636905</v>
      </c>
      <c r="P64" s="20">
        <v>1.7947230067554127</v>
      </c>
      <c r="Q64" s="20">
        <v>3.1571264383865141</v>
      </c>
      <c r="R64" s="20">
        <v>4.8884868144795872</v>
      </c>
      <c r="AN64" s="32">
        <f t="shared" si="11"/>
        <v>0.29857789547348557</v>
      </c>
      <c r="AO64" s="32">
        <f t="shared" si="11"/>
        <v>0.21731415808184701</v>
      </c>
      <c r="AP64" s="32">
        <f t="shared" si="11"/>
        <v>0.14000823811812202</v>
      </c>
      <c r="AQ64" s="32">
        <f t="shared" si="11"/>
        <v>5.9563098464598063E-2</v>
      </c>
      <c r="AR64" s="32">
        <f t="shared" si="11"/>
        <v>4.3523559750091367E-2</v>
      </c>
      <c r="AS64" s="32">
        <f>AS59-AS$56</f>
        <v>3.1733231821613916E-2</v>
      </c>
    </row>
    <row r="65" spans="5:50" x14ac:dyDescent="0.2">
      <c r="E65" s="41" t="s">
        <v>163</v>
      </c>
      <c r="F65" s="20">
        <v>1.6866899936140847</v>
      </c>
      <c r="G65" s="20">
        <v>1.7208953434775425</v>
      </c>
      <c r="H65" s="20">
        <v>1.749294771304005</v>
      </c>
      <c r="I65" s="20">
        <v>1.796570468585879</v>
      </c>
      <c r="J65" s="20"/>
      <c r="L65" s="45" t="s">
        <v>166</v>
      </c>
      <c r="M65" s="20">
        <v>1.3174876301289875</v>
      </c>
      <c r="N65" s="20">
        <v>1.4311938199074086</v>
      </c>
      <c r="O65" s="20">
        <v>1.6475868996489393</v>
      </c>
      <c r="P65" s="20">
        <v>1.7514824386443795</v>
      </c>
      <c r="Q65" s="20">
        <v>3.1187381203570483</v>
      </c>
      <c r="R65" s="20">
        <v>4.8956341368403882</v>
      </c>
      <c r="AA65" s="32">
        <f>AVERAGE(AA42:AA51)</f>
        <v>0.42952592386641097</v>
      </c>
      <c r="AD65" s="32">
        <f>AVERAGE(AD42:AD51)</f>
        <v>1.7019694807990533</v>
      </c>
      <c r="AN65" s="32">
        <f>AN64/$AN64</f>
        <v>1</v>
      </c>
      <c r="AO65" s="32">
        <f>AO64/$AN64</f>
        <v>0.7278306980402206</v>
      </c>
      <c r="AP65" s="32">
        <f>AP64/$AN64</f>
        <v>0.46891695681656742</v>
      </c>
      <c r="AQ65" s="32">
        <f>AQ64/$AN64</f>
        <v>0.19948931038629888</v>
      </c>
      <c r="AR65" s="32">
        <f>AR64/$AN64</f>
        <v>0.14576953086587874</v>
      </c>
      <c r="AS65" s="32">
        <v>0.01</v>
      </c>
    </row>
    <row r="66" spans="5:50" x14ac:dyDescent="0.2">
      <c r="E66" s="41" t="s">
        <v>164</v>
      </c>
      <c r="F66" s="20">
        <v>1.7163615759317543</v>
      </c>
      <c r="G66" s="20">
        <v>1.78276116206738</v>
      </c>
      <c r="H66" s="20">
        <v>1.8061851912323994</v>
      </c>
      <c r="I66" s="20">
        <v>1.8443734529226461</v>
      </c>
      <c r="J66" s="20"/>
      <c r="L66" s="46" t="s">
        <v>168</v>
      </c>
      <c r="M66" s="20">
        <v>1.308266323894304</v>
      </c>
      <c r="N66" s="20">
        <v>1.4198243354886204</v>
      </c>
      <c r="O66" s="20">
        <v>1.6310236390185324</v>
      </c>
      <c r="P66" s="20">
        <v>1.7529634527829039</v>
      </c>
      <c r="Q66" s="20">
        <v>3.0618191260036034</v>
      </c>
      <c r="R66" s="20">
        <v>4.8846242298380975</v>
      </c>
      <c r="AX66">
        <f>400-600</f>
        <v>-200</v>
      </c>
    </row>
    <row r="67" spans="5:50" x14ac:dyDescent="0.2">
      <c r="E67" s="41" t="s">
        <v>165</v>
      </c>
      <c r="F67" s="20">
        <v>1.7557256753332595</v>
      </c>
      <c r="G67" s="20">
        <v>1.7710338342393981</v>
      </c>
      <c r="H67" s="20">
        <v>1.7947230067554127</v>
      </c>
      <c r="I67" s="20">
        <v>1.853831327876001</v>
      </c>
      <c r="J67" s="10"/>
      <c r="L67" s="46" t="s">
        <v>169</v>
      </c>
      <c r="M67" s="20">
        <v>1.0736883313771581</v>
      </c>
      <c r="N67" s="20">
        <v>1.2272323356642059</v>
      </c>
      <c r="O67" s="20">
        <v>1.4102972150311224</v>
      </c>
      <c r="P67" s="20">
        <v>1.5416771362066366</v>
      </c>
      <c r="Q67" s="20">
        <v>2.8085258690040242</v>
      </c>
      <c r="R67" s="20">
        <v>4.5866562912623916</v>
      </c>
    </row>
    <row r="68" spans="5:50" x14ac:dyDescent="0.2">
      <c r="E68" s="45" t="s">
        <v>166</v>
      </c>
      <c r="F68" s="20">
        <v>1.7014723861582177</v>
      </c>
      <c r="G68" s="20">
        <v>1.7156556242270842</v>
      </c>
      <c r="H68" s="20">
        <v>1.7514824386443795</v>
      </c>
      <c r="I68" s="20">
        <v>1.7760461216332115</v>
      </c>
      <c r="J68" s="20"/>
      <c r="L68" s="46" t="s">
        <v>170</v>
      </c>
      <c r="M68" s="20">
        <v>1.2806942855155452</v>
      </c>
      <c r="N68" s="20">
        <v>1.4618044491539786</v>
      </c>
      <c r="O68" s="20">
        <v>1.6267007624755312</v>
      </c>
      <c r="P68" s="20">
        <v>1.8291206738667984</v>
      </c>
      <c r="Q68" s="20">
        <v>3.0620906667383392</v>
      </c>
      <c r="R68" s="20">
        <v>4.9717847481598731</v>
      </c>
    </row>
    <row r="69" spans="5:50" x14ac:dyDescent="0.2">
      <c r="E69" s="46" t="s">
        <v>168</v>
      </c>
      <c r="F69" s="20">
        <v>1.6349650568656682</v>
      </c>
      <c r="G69" s="20">
        <v>1.7343135328665802</v>
      </c>
      <c r="H69" s="20">
        <v>1.7529634527829039</v>
      </c>
      <c r="I69" s="20">
        <v>1.808506078989484</v>
      </c>
      <c r="J69" s="20"/>
      <c r="M69" s="32">
        <f t="shared" ref="M69:R69" si="12">AVERAGE(M62:M68)</f>
        <v>1.2528203642566165</v>
      </c>
      <c r="N69" s="32">
        <f t="shared" si="12"/>
        <v>1.3997739268560196</v>
      </c>
      <c r="O69" s="32">
        <f t="shared" si="12"/>
        <v>1.5945169523706102</v>
      </c>
      <c r="P69" s="32">
        <f t="shared" si="12"/>
        <v>1.7464923815417908</v>
      </c>
      <c r="Q69" s="32">
        <f t="shared" si="12"/>
        <v>3.0547564724225604</v>
      </c>
      <c r="R69" s="32">
        <f t="shared" si="12"/>
        <v>4.8359965526379556</v>
      </c>
      <c r="AA69" t="s">
        <v>160</v>
      </c>
    </row>
    <row r="70" spans="5:50" x14ac:dyDescent="0.2">
      <c r="E70" s="46" t="s">
        <v>169</v>
      </c>
      <c r="F70" s="20">
        <v>1.4810177147704797</v>
      </c>
      <c r="G70" s="20">
        <v>1.5151129892187154</v>
      </c>
      <c r="H70" s="20">
        <v>1.5416771362066366</v>
      </c>
      <c r="I70" s="20">
        <v>1.5867656309211764</v>
      </c>
      <c r="J70" s="20"/>
      <c r="M70" t="s">
        <v>69</v>
      </c>
      <c r="AA70" t="s">
        <v>29</v>
      </c>
      <c r="AB70" s="43"/>
      <c r="AC70" t="s">
        <v>119</v>
      </c>
    </row>
    <row r="71" spans="5:50" x14ac:dyDescent="0.2">
      <c r="E71" s="46" t="s">
        <v>170</v>
      </c>
      <c r="F71" s="20">
        <v>1.8048101730822874</v>
      </c>
      <c r="G71" s="20">
        <v>1.8102461152713922</v>
      </c>
      <c r="H71" s="20">
        <v>1.8291206738667984</v>
      </c>
      <c r="I71" s="20">
        <v>1.8759862010967201</v>
      </c>
      <c r="J71" s="20"/>
      <c r="M71" s="10" t="s">
        <v>112</v>
      </c>
      <c r="N71" s="10" t="s">
        <v>72</v>
      </c>
      <c r="O71" s="10" t="s">
        <v>32</v>
      </c>
      <c r="P71" s="10" t="s">
        <v>73</v>
      </c>
      <c r="Q71" s="39" t="s">
        <v>118</v>
      </c>
      <c r="R71" s="10" t="s">
        <v>113</v>
      </c>
      <c r="AA71" s="42">
        <v>0</v>
      </c>
      <c r="AB71" s="43"/>
      <c r="AC71">
        <v>0</v>
      </c>
      <c r="AV71">
        <f>0.3/(600^1.5)</f>
        <v>2.0412414523193169E-5</v>
      </c>
    </row>
    <row r="72" spans="5:50" x14ac:dyDescent="0.2">
      <c r="F72" s="20"/>
      <c r="G72" s="20"/>
      <c r="H72" s="20"/>
      <c r="I72" s="20"/>
      <c r="J72" s="20"/>
      <c r="L72" s="41" t="s">
        <v>163</v>
      </c>
      <c r="M72" s="20">
        <v>1.3123225079497538</v>
      </c>
      <c r="N72" s="20">
        <v>1.4904017300742587</v>
      </c>
      <c r="O72" s="20">
        <v>1.6581960805676403</v>
      </c>
      <c r="P72" s="20">
        <v>1.796570468585879</v>
      </c>
      <c r="Q72" s="20">
        <v>3.1174646438443969</v>
      </c>
      <c r="R72" s="20">
        <v>4.8393300006629412</v>
      </c>
      <c r="S72" s="32">
        <f>R72-M72</f>
        <v>3.5270074927131874</v>
      </c>
      <c r="AA72" s="42">
        <v>0.63674079936032568</v>
      </c>
      <c r="AB72" s="43" t="s">
        <v>138</v>
      </c>
      <c r="AC72" s="42">
        <v>12.68</v>
      </c>
    </row>
    <row r="73" spans="5:50" x14ac:dyDescent="0.2">
      <c r="E73" s="10" t="s">
        <v>32</v>
      </c>
      <c r="F73">
        <v>600</v>
      </c>
      <c r="G73" s="10">
        <v>800</v>
      </c>
      <c r="H73" s="10">
        <v>1000</v>
      </c>
      <c r="I73" s="10">
        <v>1200</v>
      </c>
      <c r="J73" s="20"/>
      <c r="L73" s="41" t="s">
        <v>164</v>
      </c>
      <c r="M73" s="20">
        <v>1.4054753903948574</v>
      </c>
      <c r="N73" s="20">
        <v>1.5414063194245986</v>
      </c>
      <c r="O73" s="20">
        <v>1.7108313110528901</v>
      </c>
      <c r="P73" s="20">
        <v>1.8443734529226461</v>
      </c>
      <c r="Q73" s="20">
        <v>3.1312545974361492</v>
      </c>
      <c r="R73" s="20">
        <v>4.9045824192571121</v>
      </c>
      <c r="S73" s="32">
        <f t="shared" ref="S73:S78" si="13">R73-M73</f>
        <v>3.4991070288622548</v>
      </c>
      <c r="AA73" s="42">
        <v>0.63590245384727329</v>
      </c>
      <c r="AB73" s="43" t="s">
        <v>121</v>
      </c>
      <c r="AC73" s="32">
        <v>16.260000000000002</v>
      </c>
      <c r="AV73">
        <f>0.3/(600^3)</f>
        <v>1.3888888888888888E-9</v>
      </c>
    </row>
    <row r="74" spans="5:50" x14ac:dyDescent="0.2">
      <c r="E74" s="41" t="s">
        <v>163</v>
      </c>
      <c r="F74" s="20">
        <v>1.4993004371111849</v>
      </c>
      <c r="G74" s="20">
        <v>1.5517365761252533</v>
      </c>
      <c r="H74" s="20">
        <v>1.5786790405602635</v>
      </c>
      <c r="I74" s="20">
        <v>1.6581960805676403</v>
      </c>
      <c r="J74" s="20"/>
      <c r="L74" s="41" t="s">
        <v>165</v>
      </c>
      <c r="M74" s="20">
        <v>1.3718581682805524</v>
      </c>
      <c r="N74" s="20">
        <v>1.4949747194061678</v>
      </c>
      <c r="O74" s="20">
        <v>1.6867636361711278</v>
      </c>
      <c r="P74" s="20">
        <v>1.853831327876001</v>
      </c>
      <c r="Q74" s="20">
        <v>3.1966951874019349</v>
      </c>
      <c r="R74" s="20">
        <v>4.9678962319767086</v>
      </c>
      <c r="S74" s="32">
        <f t="shared" si="13"/>
        <v>3.596038063696156</v>
      </c>
      <c r="AA74" s="42">
        <v>0.66243638221824941</v>
      </c>
      <c r="AB74" s="43" t="s">
        <v>122</v>
      </c>
      <c r="AC74" s="42">
        <v>22.62</v>
      </c>
    </row>
    <row r="75" spans="5:50" x14ac:dyDescent="0.2">
      <c r="E75" s="41" t="s">
        <v>164</v>
      </c>
      <c r="F75" s="20">
        <v>1.5471450600185022</v>
      </c>
      <c r="G75" s="20">
        <v>1.6047990747544656</v>
      </c>
      <c r="H75" s="20">
        <v>1.6291617569961918</v>
      </c>
      <c r="I75" s="20">
        <v>1.7108313110528901</v>
      </c>
      <c r="J75" s="20"/>
      <c r="L75" s="45" t="s">
        <v>166</v>
      </c>
      <c r="M75" s="20">
        <v>1.4910252233166632</v>
      </c>
      <c r="N75" s="20">
        <v>1.547438841003334</v>
      </c>
      <c r="O75" s="20">
        <v>1.7298639174083323</v>
      </c>
      <c r="P75" s="20">
        <v>1.7760461216332115</v>
      </c>
      <c r="Q75" s="20">
        <v>3.1284087130017122</v>
      </c>
      <c r="R75" s="20">
        <v>4.9998964385095537</v>
      </c>
      <c r="S75" s="32">
        <f t="shared" si="13"/>
        <v>3.5088712151928902</v>
      </c>
      <c r="AA75" s="42">
        <v>0.72025611606285256</v>
      </c>
      <c r="AB75" s="41" t="s">
        <v>123</v>
      </c>
      <c r="AC75" s="32">
        <v>27.6760219742164</v>
      </c>
      <c r="AV75">
        <f>0.3/600</f>
        <v>5.0000000000000001E-4</v>
      </c>
    </row>
    <row r="76" spans="5:50" x14ac:dyDescent="0.2">
      <c r="E76" s="41" t="s">
        <v>165</v>
      </c>
      <c r="F76" s="20">
        <v>1.5729436463655997</v>
      </c>
      <c r="G76" s="20">
        <v>1.5901741775817031</v>
      </c>
      <c r="H76" s="20">
        <v>1.6381693528636905</v>
      </c>
      <c r="I76" s="20">
        <v>1.6867636361711278</v>
      </c>
      <c r="J76" s="10"/>
      <c r="L76" s="46" t="s">
        <v>168</v>
      </c>
      <c r="M76" s="20">
        <v>1.4710324200061364</v>
      </c>
      <c r="N76" s="20">
        <v>1.4856511459398227</v>
      </c>
      <c r="O76" s="20">
        <v>1.6911314887609048</v>
      </c>
      <c r="P76" s="20">
        <v>1.808506078989484</v>
      </c>
      <c r="Q76" s="20">
        <v>3.1282529798349499</v>
      </c>
      <c r="R76" s="20">
        <v>5.0280277923367809</v>
      </c>
      <c r="S76" s="32">
        <f t="shared" si="13"/>
        <v>3.5569953723306442</v>
      </c>
      <c r="AA76" s="42">
        <v>0.62755308502241136</v>
      </c>
      <c r="AB76" s="41" t="s">
        <v>124</v>
      </c>
      <c r="AC76" s="42">
        <v>36.869999999999997</v>
      </c>
    </row>
    <row r="77" spans="5:50" x14ac:dyDescent="0.2">
      <c r="E77" s="45" t="s">
        <v>166</v>
      </c>
      <c r="F77" s="20">
        <v>1.5240993960617104</v>
      </c>
      <c r="G77" s="20">
        <v>1.5956999501879825</v>
      </c>
      <c r="H77" s="20">
        <v>1.6475868996489393</v>
      </c>
      <c r="I77" s="20">
        <v>1.7298639174083323</v>
      </c>
      <c r="J77" s="20"/>
      <c r="L77" s="46" t="s">
        <v>169</v>
      </c>
      <c r="M77" s="20">
        <v>1.1585881257158659</v>
      </c>
      <c r="N77" s="20">
        <v>1.2764058514230894</v>
      </c>
      <c r="O77" s="20">
        <v>1.4371460178335993</v>
      </c>
      <c r="P77" s="20">
        <v>1.5867656309211764</v>
      </c>
      <c r="Q77" s="20">
        <v>2.8326968752859978</v>
      </c>
      <c r="R77" s="20">
        <v>4.6067631578378423</v>
      </c>
      <c r="S77" s="32">
        <f t="shared" si="13"/>
        <v>3.4481750321219762</v>
      </c>
      <c r="AA77" s="42">
        <v>0.7252357512069928</v>
      </c>
      <c r="AB77" s="41" t="s">
        <v>126</v>
      </c>
      <c r="AC77" s="32">
        <v>46.145146311133402</v>
      </c>
      <c r="AV77">
        <f>0.3/(600^2)</f>
        <v>8.3333333333333333E-7</v>
      </c>
    </row>
    <row r="78" spans="5:50" x14ac:dyDescent="0.2">
      <c r="E78" s="46" t="s">
        <v>168</v>
      </c>
      <c r="F78" s="20">
        <v>1.4824809264786118</v>
      </c>
      <c r="G78" s="20">
        <v>1.5576808499878863</v>
      </c>
      <c r="H78" s="20">
        <v>1.6310236390185324</v>
      </c>
      <c r="I78" s="20">
        <v>1.6911314887609048</v>
      </c>
      <c r="J78" s="20"/>
      <c r="L78" s="46" t="s">
        <v>170</v>
      </c>
      <c r="M78" s="20">
        <v>1.4301299924612976</v>
      </c>
      <c r="N78" s="20">
        <v>1.5499752456935476</v>
      </c>
      <c r="O78" s="20">
        <v>1.7373124077172879</v>
      </c>
      <c r="P78" s="20">
        <v>1.8759862010967201</v>
      </c>
      <c r="Q78" s="20">
        <v>3.0972935448899084</v>
      </c>
      <c r="R78" s="20">
        <v>5.0108852605579326</v>
      </c>
      <c r="S78" s="32">
        <f t="shared" si="13"/>
        <v>3.580755268096635</v>
      </c>
      <c r="AA78" s="42">
        <v>0.69679869063521238</v>
      </c>
      <c r="AB78" s="41" t="s">
        <v>127</v>
      </c>
      <c r="AC78" s="42">
        <v>53.13</v>
      </c>
    </row>
    <row r="79" spans="5:50" x14ac:dyDescent="0.2">
      <c r="E79" s="46" t="s">
        <v>169</v>
      </c>
      <c r="F79" s="20">
        <v>1.3262243291014431</v>
      </c>
      <c r="G79" s="20">
        <v>1.3836882189355035</v>
      </c>
      <c r="H79" s="20">
        <v>1.4102972150311224</v>
      </c>
      <c r="I79" s="20">
        <v>1.4371460178335993</v>
      </c>
      <c r="J79" s="20"/>
      <c r="M79" s="32">
        <f t="shared" ref="M79:R79" si="14">AVERAGE(M72:M78)</f>
        <v>1.3772045468750183</v>
      </c>
      <c r="N79" s="32">
        <f t="shared" si="14"/>
        <v>1.4837505504235455</v>
      </c>
      <c r="O79" s="32">
        <f t="shared" si="14"/>
        <v>1.6644635513588262</v>
      </c>
      <c r="P79" s="32">
        <f t="shared" si="14"/>
        <v>1.7917256117178741</v>
      </c>
      <c r="Q79" s="32">
        <f t="shared" si="14"/>
        <v>3.0902952202421501</v>
      </c>
      <c r="R79" s="32">
        <f t="shared" si="14"/>
        <v>4.9081973287341247</v>
      </c>
      <c r="AA79" s="42">
        <v>0.87732693689562891</v>
      </c>
      <c r="AB79" s="41" t="s">
        <v>128</v>
      </c>
      <c r="AC79" s="42">
        <v>61.71</v>
      </c>
    </row>
    <row r="80" spans="5:50" x14ac:dyDescent="0.2">
      <c r="E80" s="46" t="s">
        <v>170</v>
      </c>
      <c r="F80" s="20">
        <v>1.5983876027380637</v>
      </c>
      <c r="G80" s="20">
        <v>1.6267068610608917</v>
      </c>
      <c r="H80" s="20">
        <v>1.6267007624755312</v>
      </c>
      <c r="I80" s="20">
        <v>1.7373124077172879</v>
      </c>
      <c r="J80" s="20"/>
      <c r="AA80" s="42">
        <v>0.79655671034304909</v>
      </c>
      <c r="AB80" s="41" t="s">
        <v>129</v>
      </c>
      <c r="AC80" s="32">
        <v>67.724661178359398</v>
      </c>
    </row>
    <row r="81" spans="5:53" x14ac:dyDescent="0.2">
      <c r="F81" s="20"/>
      <c r="G81" s="20"/>
      <c r="H81" s="20"/>
      <c r="I81" s="20"/>
      <c r="J81" s="20"/>
      <c r="AA81" s="42">
        <v>0.73003258223170586</v>
      </c>
      <c r="AB81" s="41" t="s">
        <v>130</v>
      </c>
      <c r="AC81" s="32">
        <v>73.933636606903903</v>
      </c>
    </row>
    <row r="82" spans="5:53" x14ac:dyDescent="0.2">
      <c r="E82" s="10" t="s">
        <v>29</v>
      </c>
      <c r="F82">
        <v>600</v>
      </c>
      <c r="G82" s="10">
        <v>800</v>
      </c>
      <c r="H82" s="10">
        <v>1000</v>
      </c>
      <c r="I82" s="10">
        <v>1200</v>
      </c>
      <c r="J82" s="20"/>
      <c r="AA82" s="42">
        <v>0</v>
      </c>
      <c r="AC82" s="42">
        <v>90</v>
      </c>
    </row>
    <row r="83" spans="5:53" x14ac:dyDescent="0.2">
      <c r="E83" s="41" t="s">
        <v>163</v>
      </c>
      <c r="F83" s="20">
        <v>1.1417847241190653</v>
      </c>
      <c r="G83" s="20">
        <v>1.2121254441008973</v>
      </c>
      <c r="H83" s="20">
        <v>1.2383491451758224</v>
      </c>
      <c r="I83" s="20">
        <v>1.3123225079497538</v>
      </c>
      <c r="J83" s="20"/>
      <c r="AN83">
        <v>0</v>
      </c>
      <c r="AO83" s="32">
        <v>0.11542192046556742</v>
      </c>
      <c r="AP83" s="32">
        <v>0.2159709618874773</v>
      </c>
      <c r="AQ83" s="32">
        <v>0.30434782608695649</v>
      </c>
      <c r="AR83" s="32">
        <v>0.71257485029940115</v>
      </c>
      <c r="AS83" s="32">
        <v>1</v>
      </c>
      <c r="AV83">
        <v>0</v>
      </c>
      <c r="AW83" s="32">
        <v>0.11542192046556742</v>
      </c>
      <c r="AX83" s="32">
        <v>0.2159709618874773</v>
      </c>
      <c r="AY83" s="32">
        <v>0.30434782608695649</v>
      </c>
      <c r="AZ83" s="32">
        <v>0.71257485029940115</v>
      </c>
      <c r="BA83" s="32">
        <v>1</v>
      </c>
    </row>
    <row r="84" spans="5:53" x14ac:dyDescent="0.2">
      <c r="E84" s="41" t="s">
        <v>164</v>
      </c>
      <c r="F84" s="20">
        <v>1.1807320121333085</v>
      </c>
      <c r="G84" s="20">
        <v>1.2207595440044074</v>
      </c>
      <c r="H84" s="20">
        <v>1.2661057820168231</v>
      </c>
      <c r="I84" s="20">
        <v>1.4054753903948574</v>
      </c>
      <c r="J84" s="20"/>
      <c r="AM84">
        <v>400</v>
      </c>
      <c r="AN84">
        <f t="shared" ref="AN84:AS85" si="15">(0.7019*AN$83^2)+0.5372*AN$83+0.3944 + ($AM84-600)*(0.0005)*EXP(-4*AN$83)</f>
        <v>0.2944</v>
      </c>
      <c r="AO84">
        <f t="shared" si="15"/>
        <v>0.40273360789074364</v>
      </c>
      <c r="AP84">
        <f t="shared" si="15"/>
        <v>0.50100646548616989</v>
      </c>
      <c r="AQ84">
        <f t="shared" si="15"/>
        <v>0.59331083028168985</v>
      </c>
      <c r="AR84">
        <f t="shared" si="15"/>
        <v>1.1278113007382937</v>
      </c>
      <c r="AS84">
        <f t="shared" si="15"/>
        <v>1.6316684361111267</v>
      </c>
      <c r="AU84">
        <v>400</v>
      </c>
      <c r="AV84">
        <f>(0.7019*AV$83^2)+0.5372*AV$83+0.3944 + ($AM84-600)^2*(0.00000083)*EXP(-4*AV$83)</f>
        <v>0.42759999999999998</v>
      </c>
      <c r="AW84">
        <f t="shared" ref="AW84:BA88" si="16">(0.7019*AW$83^2)+0.5372*AW$83+0.3944 + ($AM84-600)^2*(0.00000083)*EXP(-4*AW$83)</f>
        <v>0.48667879708247552</v>
      </c>
      <c r="AX84">
        <f t="shared" si="16"/>
        <v>0.55715316561237238</v>
      </c>
      <c r="AY84">
        <f t="shared" si="16"/>
        <v>0.63273820850526896</v>
      </c>
      <c r="AZ84">
        <f t="shared" si="16"/>
        <v>1.1355138577787525</v>
      </c>
      <c r="BA84">
        <f t="shared" si="16"/>
        <v>1.6341080792111062</v>
      </c>
    </row>
    <row r="85" spans="5:53" x14ac:dyDescent="0.2">
      <c r="E85" s="41" t="s">
        <v>165</v>
      </c>
      <c r="F85" s="20">
        <v>1.1877466988904259</v>
      </c>
      <c r="G85" s="20">
        <v>1.2532842134072641</v>
      </c>
      <c r="H85" s="20">
        <v>1.2851510516876756</v>
      </c>
      <c r="I85" s="20">
        <v>1.3718581682805524</v>
      </c>
      <c r="J85" s="10"/>
      <c r="AM85">
        <v>600</v>
      </c>
      <c r="AN85">
        <f t="shared" si="15"/>
        <v>0.39439999999999997</v>
      </c>
      <c r="AO85">
        <f t="shared" si="15"/>
        <v>0.46575552169835016</v>
      </c>
      <c r="AP85">
        <f t="shared" si="15"/>
        <v>0.54315864275809367</v>
      </c>
      <c r="AQ85">
        <f t="shared" si="15"/>
        <v>0.6229109640831757</v>
      </c>
      <c r="AR85">
        <f t="shared" si="15"/>
        <v>1.1335940012191186</v>
      </c>
      <c r="AS85">
        <f t="shared" si="15"/>
        <v>1.6335000000000002</v>
      </c>
      <c r="AU85">
        <v>600</v>
      </c>
      <c r="AV85">
        <f>(0.7019*AV$83^2)+0.5372*AV$83+0.3944 + ($AM85-600)^2*(0.00000083)*EXP(-4*AV$83)</f>
        <v>0.39439999999999997</v>
      </c>
      <c r="AW85">
        <f t="shared" si="16"/>
        <v>0.46575552169835016</v>
      </c>
      <c r="AX85">
        <f t="shared" si="16"/>
        <v>0.54315864275809367</v>
      </c>
      <c r="AY85">
        <f t="shared" si="16"/>
        <v>0.6229109640831757</v>
      </c>
      <c r="AZ85">
        <f t="shared" si="16"/>
        <v>1.1335940012191186</v>
      </c>
      <c r="BA85">
        <f t="shared" si="16"/>
        <v>1.6335000000000002</v>
      </c>
    </row>
    <row r="86" spans="5:53" x14ac:dyDescent="0.2">
      <c r="E86" s="45" t="s">
        <v>166</v>
      </c>
      <c r="F86" s="20">
        <v>1.1699099610578692</v>
      </c>
      <c r="G86" s="20">
        <v>1.2426699928597111</v>
      </c>
      <c r="H86" s="20">
        <v>1.3174876301289875</v>
      </c>
      <c r="I86" s="20">
        <v>1.4910252233166632</v>
      </c>
      <c r="J86" s="20"/>
      <c r="AM86">
        <v>800</v>
      </c>
      <c r="AN86">
        <f t="shared" ref="AN86:AS88" si="17">(0.7019*AN$83^2)+0.5372*AN$83+0.3944 + ($AM86-600)*(0.0005)*EXP(-4*AN$83)</f>
        <v>0.49439999999999995</v>
      </c>
      <c r="AO86">
        <f t="shared" si="17"/>
        <v>0.52877743550595668</v>
      </c>
      <c r="AP86">
        <f t="shared" si="17"/>
        <v>0.58531082003001744</v>
      </c>
      <c r="AQ86">
        <f t="shared" si="17"/>
        <v>0.65251109788466155</v>
      </c>
      <c r="AR86">
        <f t="shared" si="17"/>
        <v>1.1393767016999434</v>
      </c>
      <c r="AS86">
        <f t="shared" si="17"/>
        <v>1.6353315638888737</v>
      </c>
      <c r="AU86">
        <v>800</v>
      </c>
      <c r="AV86">
        <f>(0.7019*AV$83^2)+0.5372*AV$83+0.3944 + ($AM86-600)^2*(0.00000083)*EXP(-4*AV$83)</f>
        <v>0.42759999999999998</v>
      </c>
      <c r="AW86">
        <f t="shared" si="16"/>
        <v>0.48667879708247552</v>
      </c>
      <c r="AX86">
        <f t="shared" si="16"/>
        <v>0.55715316561237238</v>
      </c>
      <c r="AY86">
        <f t="shared" si="16"/>
        <v>0.63273820850526896</v>
      </c>
      <c r="AZ86">
        <f t="shared" si="16"/>
        <v>1.1355138577787525</v>
      </c>
      <c r="BA86">
        <f t="shared" si="16"/>
        <v>1.6341080792111062</v>
      </c>
    </row>
    <row r="87" spans="5:53" x14ac:dyDescent="0.2">
      <c r="E87" s="46" t="s">
        <v>168</v>
      </c>
      <c r="F87" s="20">
        <v>1.1490538956680909</v>
      </c>
      <c r="G87" s="20">
        <v>1.2325829072111127</v>
      </c>
      <c r="H87" s="20">
        <v>1.308266323894304</v>
      </c>
      <c r="I87" s="20">
        <v>1.4710324200061364</v>
      </c>
      <c r="J87" s="20"/>
      <c r="AM87">
        <v>1000</v>
      </c>
      <c r="AN87">
        <f t="shared" si="17"/>
        <v>0.59440000000000004</v>
      </c>
      <c r="AO87">
        <f t="shared" si="17"/>
        <v>0.59179934931356315</v>
      </c>
      <c r="AP87">
        <f t="shared" si="17"/>
        <v>0.62746299730194122</v>
      </c>
      <c r="AQ87">
        <f t="shared" si="17"/>
        <v>0.6821112316861474</v>
      </c>
      <c r="AR87">
        <f t="shared" si="17"/>
        <v>1.1451594021807683</v>
      </c>
      <c r="AS87">
        <f t="shared" si="17"/>
        <v>1.637163127777747</v>
      </c>
      <c r="AU87">
        <v>1000</v>
      </c>
      <c r="AV87">
        <f>(0.7019*AV$83^2)+0.5372*AV$83+0.3944 + ($AM87-600)^2*(0.00000083)*EXP(-4*AV$83)</f>
        <v>0.5272</v>
      </c>
      <c r="AW87">
        <f t="shared" si="16"/>
        <v>0.54944862323485166</v>
      </c>
      <c r="AX87">
        <f t="shared" si="16"/>
        <v>0.59913673417520852</v>
      </c>
      <c r="AY87">
        <f t="shared" si="16"/>
        <v>0.66221994177154886</v>
      </c>
      <c r="AZ87">
        <f t="shared" si="16"/>
        <v>1.1412734274576539</v>
      </c>
      <c r="BA87">
        <f t="shared" si="16"/>
        <v>1.635932316844424</v>
      </c>
    </row>
    <row r="88" spans="5:53" x14ac:dyDescent="0.2">
      <c r="E88" s="46" t="s">
        <v>169</v>
      </c>
      <c r="F88" s="20">
        <v>1.0323195233449924</v>
      </c>
      <c r="G88" s="20">
        <v>1.0584171184492379</v>
      </c>
      <c r="H88" s="20">
        <v>1.0736883313771581</v>
      </c>
      <c r="I88" s="20">
        <v>1.1585881257158659</v>
      </c>
      <c r="J88" s="20"/>
      <c r="AM88">
        <v>1200</v>
      </c>
      <c r="AN88">
        <f t="shared" si="17"/>
        <v>0.69439999999999991</v>
      </c>
      <c r="AO88">
        <f t="shared" si="17"/>
        <v>0.65482126312116973</v>
      </c>
      <c r="AP88">
        <f t="shared" si="17"/>
        <v>0.66961517457386499</v>
      </c>
      <c r="AQ88">
        <f t="shared" si="17"/>
        <v>0.71171136548763325</v>
      </c>
      <c r="AR88">
        <f t="shared" si="17"/>
        <v>1.1509421026615931</v>
      </c>
      <c r="AS88">
        <f t="shared" si="17"/>
        <v>1.6389946916666205</v>
      </c>
      <c r="AU88">
        <v>1200</v>
      </c>
      <c r="AV88">
        <f>(0.7019*AV$83^2)+0.5372*AV$83+0.3944 + ($AM88-600)^2*(0.00000083)*EXP(-4*AV$83)</f>
        <v>0.69320000000000004</v>
      </c>
      <c r="AW88">
        <f t="shared" si="16"/>
        <v>0.65406500015547842</v>
      </c>
      <c r="AX88">
        <f t="shared" si="16"/>
        <v>0.66910934844660197</v>
      </c>
      <c r="AY88">
        <f t="shared" si="16"/>
        <v>0.71135616388201539</v>
      </c>
      <c r="AZ88">
        <f t="shared" si="16"/>
        <v>1.1508727102558234</v>
      </c>
      <c r="BA88">
        <f t="shared" si="16"/>
        <v>1.6389727128999541</v>
      </c>
    </row>
    <row r="89" spans="5:53" x14ac:dyDescent="0.2">
      <c r="E89" s="46" t="s">
        <v>170</v>
      </c>
      <c r="F89" s="20">
        <v>1.2081286544086183</v>
      </c>
      <c r="G89" s="20">
        <v>1.2445777221215129</v>
      </c>
      <c r="H89" s="20">
        <v>1.2806942855155452</v>
      </c>
      <c r="I89" s="20">
        <v>1.4301299924612976</v>
      </c>
      <c r="J89" s="20"/>
    </row>
    <row r="90" spans="5:53" x14ac:dyDescent="0.2">
      <c r="E90" s="39"/>
      <c r="F90" s="20"/>
      <c r="G90" s="20"/>
      <c r="H90" s="20"/>
      <c r="I90" s="20"/>
      <c r="J90" s="20"/>
      <c r="AM90" t="s">
        <v>154</v>
      </c>
      <c r="AU90" t="s">
        <v>154</v>
      </c>
    </row>
    <row r="91" spans="5:53" x14ac:dyDescent="0.2">
      <c r="E91" s="10" t="s">
        <v>30</v>
      </c>
      <c r="F91">
        <v>600</v>
      </c>
      <c r="G91" s="10">
        <v>800</v>
      </c>
      <c r="H91" s="10">
        <v>1000</v>
      </c>
      <c r="I91" s="10">
        <v>1200</v>
      </c>
      <c r="J91" s="20"/>
      <c r="AN91">
        <v>0</v>
      </c>
      <c r="AO91" s="32">
        <v>0.11542192046556742</v>
      </c>
      <c r="AP91" s="32">
        <v>0.2159709618874773</v>
      </c>
      <c r="AQ91" s="32">
        <v>0.30434782608695649</v>
      </c>
      <c r="AR91" s="32">
        <v>0.71257485029940115</v>
      </c>
      <c r="AS91" s="32">
        <v>1</v>
      </c>
      <c r="AV91">
        <v>0</v>
      </c>
      <c r="AW91" s="32">
        <v>0.11542192046556742</v>
      </c>
      <c r="AX91" s="32">
        <v>0.2159709618874773</v>
      </c>
      <c r="AY91" s="32">
        <v>0.30434782608695649</v>
      </c>
      <c r="AZ91" s="32">
        <v>0.71257485029940115</v>
      </c>
      <c r="BA91" s="32">
        <v>1</v>
      </c>
    </row>
    <row r="92" spans="5:53" x14ac:dyDescent="0.2">
      <c r="E92" s="41" t="s">
        <v>163</v>
      </c>
      <c r="F92" s="20">
        <v>4.7582232490558258</v>
      </c>
      <c r="G92" s="20">
        <v>4.7538273401141842</v>
      </c>
      <c r="H92" s="20">
        <v>4.7809255882189472</v>
      </c>
      <c r="I92" s="20">
        <v>4.8393300006629412</v>
      </c>
      <c r="J92" s="20"/>
      <c r="AM92">
        <v>600</v>
      </c>
      <c r="AN92" s="32">
        <f>ABS(AN85-AN56)</f>
        <v>1.1678293461401479E-2</v>
      </c>
      <c r="AO92" s="32">
        <f t="shared" ref="AN92:AS95" si="18">ABS(AO85-AO56)</f>
        <v>2.9759541724912686E-2</v>
      </c>
      <c r="AP92" s="32">
        <f t="shared" si="18"/>
        <v>1.5008169561090301E-2</v>
      </c>
      <c r="AQ92" s="32">
        <f t="shared" si="18"/>
        <v>5.3429814749389459E-3</v>
      </c>
      <c r="AR92" s="32">
        <f t="shared" si="18"/>
        <v>3.17053289926994E-3</v>
      </c>
      <c r="AS92" s="32">
        <f t="shared" si="18"/>
        <v>7.5826386059452133E-4</v>
      </c>
      <c r="AU92">
        <v>600</v>
      </c>
      <c r="AV92" s="32">
        <f t="shared" ref="AV92:BA95" si="19">ABS(AV85-AN56)</f>
        <v>1.1678293461401479E-2</v>
      </c>
      <c r="AW92" s="32">
        <f t="shared" si="19"/>
        <v>2.9759541724912686E-2</v>
      </c>
      <c r="AX92" s="32">
        <f t="shared" si="19"/>
        <v>1.5008169561090301E-2</v>
      </c>
      <c r="AY92" s="32">
        <f t="shared" si="19"/>
        <v>5.3429814749389459E-3</v>
      </c>
      <c r="AZ92" s="32">
        <f t="shared" si="19"/>
        <v>3.17053289926994E-3</v>
      </c>
      <c r="BA92" s="32">
        <f t="shared" si="19"/>
        <v>7.5826386059452133E-4</v>
      </c>
    </row>
    <row r="93" spans="5:53" x14ac:dyDescent="0.2">
      <c r="E93" s="41" t="s">
        <v>164</v>
      </c>
      <c r="F93" s="20">
        <v>4.8118605830360286</v>
      </c>
      <c r="G93" s="20">
        <v>4.8121998602234983</v>
      </c>
      <c r="H93" s="20">
        <v>4.8438640596663927</v>
      </c>
      <c r="I93" s="20">
        <v>4.9045824192571121</v>
      </c>
      <c r="AM93">
        <v>800</v>
      </c>
      <c r="AN93" s="32">
        <f t="shared" si="18"/>
        <v>1.294656736856703E-2</v>
      </c>
      <c r="AO93" s="32">
        <f t="shared" si="18"/>
        <v>3.3890774436138194E-2</v>
      </c>
      <c r="AP93" s="32">
        <f t="shared" si="18"/>
        <v>2.1820189251002819E-3</v>
      </c>
      <c r="AQ93" s="32">
        <f t="shared" si="18"/>
        <v>6.0433430937979482E-3</v>
      </c>
      <c r="AR93" s="32">
        <f t="shared" si="18"/>
        <v>2.7141080225430603E-2</v>
      </c>
      <c r="AS93" s="32">
        <f t="shared" si="18"/>
        <v>2.2842719896394303E-3</v>
      </c>
      <c r="AU93">
        <v>800</v>
      </c>
      <c r="AV93" s="32">
        <f t="shared" si="19"/>
        <v>5.385343263143294E-2</v>
      </c>
      <c r="AW93" s="32">
        <f t="shared" si="19"/>
        <v>8.2078639873429671E-3</v>
      </c>
      <c r="AX93" s="32">
        <f t="shared" si="19"/>
        <v>3.0339673342745344E-2</v>
      </c>
      <c r="AY93" s="32">
        <f t="shared" si="19"/>
        <v>1.372954628559464E-2</v>
      </c>
      <c r="AZ93" s="32">
        <f t="shared" si="19"/>
        <v>2.3278236304239641E-2</v>
      </c>
      <c r="BA93" s="32">
        <f t="shared" si="19"/>
        <v>1.0607873118719802E-3</v>
      </c>
    </row>
    <row r="94" spans="5:53" x14ac:dyDescent="0.2">
      <c r="E94" s="41" t="s">
        <v>165</v>
      </c>
      <c r="F94" s="20">
        <v>4.8390791770074149</v>
      </c>
      <c r="G94" s="20">
        <v>4.8467911389346003</v>
      </c>
      <c r="H94" s="20">
        <v>4.8884868144795872</v>
      </c>
      <c r="I94" s="20">
        <v>4.9678962319767086</v>
      </c>
      <c r="AM94">
        <v>1000</v>
      </c>
      <c r="AN94" s="32">
        <f t="shared" si="18"/>
        <v>6.870216155795783E-2</v>
      </c>
      <c r="AO94" s="32">
        <f t="shared" si="18"/>
        <v>4.509599024426425E-2</v>
      </c>
      <c r="AP94" s="32">
        <f t="shared" si="18"/>
        <v>6.6758607357052524E-3</v>
      </c>
      <c r="AQ94" s="32">
        <f t="shared" si="18"/>
        <v>1.4397294421390927E-2</v>
      </c>
      <c r="AR94" s="32">
        <f t="shared" si="18"/>
        <v>1.7304974752420765E-2</v>
      </c>
      <c r="AS94" s="32">
        <f t="shared" si="18"/>
        <v>1.634601896939869E-2</v>
      </c>
      <c r="AU94">
        <v>1000</v>
      </c>
      <c r="AV94" s="32">
        <f t="shared" si="19"/>
        <v>1.5021615579577929E-3</v>
      </c>
      <c r="AW94" s="32">
        <f t="shared" si="19"/>
        <v>2.7452641655527632E-3</v>
      </c>
      <c r="AX94" s="32">
        <f t="shared" si="19"/>
        <v>3.500212386243795E-2</v>
      </c>
      <c r="AY94" s="32">
        <f t="shared" si="19"/>
        <v>5.4939954932076152E-3</v>
      </c>
      <c r="AZ94" s="32">
        <f t="shared" si="19"/>
        <v>2.1190949475535126E-2</v>
      </c>
      <c r="BA94" s="32">
        <f t="shared" si="19"/>
        <v>1.7576829902721691E-2</v>
      </c>
    </row>
    <row r="95" spans="5:53" x14ac:dyDescent="0.2">
      <c r="E95" s="45" t="s">
        <v>166</v>
      </c>
      <c r="F95" s="20">
        <v>4.8566989292160461</v>
      </c>
      <c r="G95" s="20">
        <v>4.8620866949765151</v>
      </c>
      <c r="H95" s="20">
        <v>4.8956341368403882</v>
      </c>
      <c r="I95" s="20">
        <v>4.9998964385095537</v>
      </c>
      <c r="AM95">
        <v>1200</v>
      </c>
      <c r="AN95" s="32">
        <f t="shared" si="18"/>
        <v>1.0256188934887112E-2</v>
      </c>
      <c r="AO95" s="32">
        <f t="shared" si="18"/>
        <v>1.5111250658852438E-3</v>
      </c>
      <c r="AP95" s="32">
        <f t="shared" si="18"/>
        <v>2.8559875863440998E-2</v>
      </c>
      <c r="AQ95" s="32">
        <f t="shared" si="18"/>
        <v>2.3894321464920543E-2</v>
      </c>
      <c r="AR95" s="32">
        <f t="shared" si="18"/>
        <v>2.3004925408346866E-2</v>
      </c>
      <c r="AS95" s="32">
        <f t="shared" si="18"/>
        <v>2.6996804015588127E-2</v>
      </c>
      <c r="AU95">
        <v>1200</v>
      </c>
      <c r="AV95" s="32">
        <f t="shared" si="19"/>
        <v>1.1456188934886979E-2</v>
      </c>
      <c r="AW95" s="32">
        <f t="shared" si="19"/>
        <v>7.5486210019393152E-4</v>
      </c>
      <c r="AX95" s="32">
        <f t="shared" si="19"/>
        <v>2.9065701990704018E-2</v>
      </c>
      <c r="AY95" s="32">
        <f t="shared" si="19"/>
        <v>2.3539119859302682E-2</v>
      </c>
      <c r="AZ95" s="32">
        <f t="shared" si="19"/>
        <v>2.3074317814116618E-2</v>
      </c>
      <c r="BA95" s="32">
        <f t="shared" si="19"/>
        <v>2.7018782782254558E-2</v>
      </c>
    </row>
    <row r="96" spans="5:53" x14ac:dyDescent="0.2">
      <c r="E96" s="46" t="s">
        <v>168</v>
      </c>
      <c r="F96" s="20">
        <v>4.8396626624633896</v>
      </c>
      <c r="G96" s="20">
        <v>4.8444544838373629</v>
      </c>
      <c r="H96" s="20">
        <v>4.8846242298380975</v>
      </c>
      <c r="I96" s="20">
        <v>5.0280277923367809</v>
      </c>
    </row>
    <row r="97" spans="5:49" x14ac:dyDescent="0.2">
      <c r="E97" s="46" t="s">
        <v>169</v>
      </c>
      <c r="F97" s="20">
        <v>4.5880188560511765</v>
      </c>
      <c r="G97" s="20">
        <v>4.5804504923295521</v>
      </c>
      <c r="H97" s="20">
        <v>4.5866562912623916</v>
      </c>
      <c r="I97" s="20">
        <v>4.6067631578378423</v>
      </c>
      <c r="AN97" s="32">
        <f>SUM(AN92:AS95)</f>
        <v>0.43295138045508796</v>
      </c>
      <c r="AO97" s="32">
        <f>MAX(AN92:AS95)</f>
        <v>6.870216155795783E-2</v>
      </c>
      <c r="AP97" s="32">
        <f>AVERAGE(AN92:AS95)</f>
        <v>1.8039640852295331E-2</v>
      </c>
      <c r="AV97" s="32">
        <f>SUM(AV92:BA95)</f>
        <v>0.39460762078430711</v>
      </c>
      <c r="AW97" s="32">
        <f>MAX(AV92:BA95)</f>
        <v>5.385343263143294E-2</v>
      </c>
    </row>
    <row r="98" spans="5:49" x14ac:dyDescent="0.2">
      <c r="E98" s="46" t="s">
        <v>170</v>
      </c>
      <c r="F98" s="20">
        <v>4.9622075622336181</v>
      </c>
      <c r="G98" s="20">
        <v>4.9499576332028132</v>
      </c>
      <c r="H98" s="20">
        <v>4.9717847481598731</v>
      </c>
      <c r="I98" s="20">
        <v>5.0108852605579326</v>
      </c>
    </row>
    <row r="99" spans="5:49" x14ac:dyDescent="0.2">
      <c r="AM99" t="s">
        <v>155</v>
      </c>
      <c r="AN99">
        <v>0.49190079150261989</v>
      </c>
      <c r="AO99">
        <v>6.870216155795783E-2</v>
      </c>
      <c r="AU99" t="s">
        <v>158</v>
      </c>
      <c r="AV99">
        <v>0.39460762078430711</v>
      </c>
      <c r="AW99">
        <v>5.385343263143294E-2</v>
      </c>
    </row>
    <row r="100" spans="5:49" x14ac:dyDescent="0.2">
      <c r="E100" s="10" t="s">
        <v>118</v>
      </c>
      <c r="F100">
        <v>600</v>
      </c>
      <c r="G100" s="10">
        <v>800</v>
      </c>
      <c r="H100" s="10">
        <v>1000</v>
      </c>
      <c r="I100" s="10">
        <v>1200</v>
      </c>
      <c r="AU100" s="47">
        <v>8.2999999999999999E-7</v>
      </c>
    </row>
    <row r="101" spans="5:49" x14ac:dyDescent="0.2">
      <c r="E101" s="41" t="s">
        <v>163</v>
      </c>
      <c r="F101" s="20">
        <v>2.9938584530204047</v>
      </c>
      <c r="G101" s="20">
        <v>3.052895776130605</v>
      </c>
      <c r="H101" s="20">
        <v>3.0859244093442877</v>
      </c>
      <c r="I101" s="20">
        <v>3.1174646438443969</v>
      </c>
      <c r="AM101" t="s">
        <v>156</v>
      </c>
      <c r="AN101">
        <v>0.45223779064720271</v>
      </c>
      <c r="AO101">
        <v>6.870216155795783E-2</v>
      </c>
      <c r="AU101" t="s">
        <v>159</v>
      </c>
      <c r="AV101">
        <v>0.38982673833457099</v>
      </c>
      <c r="AW101">
        <v>3.1114816642945797E-2</v>
      </c>
    </row>
    <row r="102" spans="5:49" x14ac:dyDescent="0.2">
      <c r="E102" s="41" t="s">
        <v>164</v>
      </c>
      <c r="F102" s="20">
        <v>3.0680518516991149</v>
      </c>
      <c r="G102" s="20">
        <v>3.0441192700329642</v>
      </c>
      <c r="H102" s="20">
        <v>3.0890706771241048</v>
      </c>
      <c r="I102" s="20">
        <v>3.1312545974361492</v>
      </c>
      <c r="AU102" s="47">
        <v>2.0000000000000002E-5</v>
      </c>
    </row>
    <row r="103" spans="5:49" x14ac:dyDescent="0.2">
      <c r="E103" s="41" t="s">
        <v>165</v>
      </c>
      <c r="F103" s="20">
        <v>3.1422807058350637</v>
      </c>
      <c r="G103" s="20">
        <v>3.1191318614746542</v>
      </c>
      <c r="H103" s="20">
        <v>3.1571264383865141</v>
      </c>
      <c r="I103" s="20">
        <v>3.1966951874019349</v>
      </c>
      <c r="AM103" t="s">
        <v>157</v>
      </c>
      <c r="AN103">
        <v>0.43295138045508796</v>
      </c>
      <c r="AO103">
        <v>6.870216155795783E-2</v>
      </c>
    </row>
    <row r="104" spans="5:49" x14ac:dyDescent="0.2">
      <c r="E104" s="45" t="s">
        <v>166</v>
      </c>
      <c r="F104" s="20">
        <v>3.048623591829398</v>
      </c>
      <c r="G104" s="20">
        <v>3.0715700047266425</v>
      </c>
      <c r="H104" s="20">
        <v>3.1187381203570483</v>
      </c>
      <c r="I104" s="20">
        <v>3.1284087130017122</v>
      </c>
    </row>
    <row r="105" spans="5:49" x14ac:dyDescent="0.2">
      <c r="E105" s="46" t="s">
        <v>168</v>
      </c>
      <c r="F105" s="20">
        <v>2.9634284532986883</v>
      </c>
      <c r="G105" s="20">
        <v>3.0183307497425593</v>
      </c>
      <c r="H105" s="20">
        <v>3.0618191260036034</v>
      </c>
      <c r="I105" s="20">
        <v>3.1282529798349499</v>
      </c>
    </row>
    <row r="106" spans="5:49" x14ac:dyDescent="0.2">
      <c r="E106" s="46" t="s">
        <v>169</v>
      </c>
      <c r="F106" s="20">
        <v>2.7545392989524857</v>
      </c>
      <c r="G106" s="20">
        <v>2.7536635447989122</v>
      </c>
      <c r="H106" s="20">
        <v>2.8085258690040242</v>
      </c>
      <c r="I106" s="20">
        <v>2.8326968752859978</v>
      </c>
    </row>
    <row r="107" spans="5:49" x14ac:dyDescent="0.2">
      <c r="E107" s="46" t="s">
        <v>170</v>
      </c>
      <c r="F107" s="20">
        <v>3.1165321393818495</v>
      </c>
      <c r="G107" s="20">
        <v>3.059574777645401</v>
      </c>
      <c r="H107" s="20">
        <v>3.0620906667383392</v>
      </c>
      <c r="I107" s="20">
        <v>3.0972935448899084</v>
      </c>
      <c r="R107">
        <v>600</v>
      </c>
      <c r="S107" s="32">
        <v>1.1528107813746244</v>
      </c>
      <c r="T107" s="32">
        <v>1.2987434972734193</v>
      </c>
      <c r="U107" s="32">
        <v>1.5072259139821595</v>
      </c>
      <c r="V107" s="32">
        <v>1.6830060822508217</v>
      </c>
      <c r="W107" s="32">
        <v>3.0124734991452864</v>
      </c>
      <c r="X107" s="32">
        <v>4.8079644312947849</v>
      </c>
    </row>
    <row r="108" spans="5:49" x14ac:dyDescent="0.2">
      <c r="R108">
        <v>800</v>
      </c>
      <c r="S108" s="32">
        <v>1.2092024203077347</v>
      </c>
      <c r="T108" s="32">
        <v>1.3574309147636299</v>
      </c>
      <c r="U108" s="32">
        <v>1.5586408155190981</v>
      </c>
      <c r="V108" s="32">
        <v>1.7214312287668705</v>
      </c>
      <c r="W108" s="32">
        <v>3.0170408549359631</v>
      </c>
      <c r="X108" s="32">
        <v>4.8071096633740753</v>
      </c>
      <c r="Z108" s="32">
        <f>S110-S107</f>
        <v>0.2243937655003938</v>
      </c>
      <c r="AA108">
        <f>Z108/600</f>
        <v>3.73989609167323E-4</v>
      </c>
    </row>
    <row r="109" spans="5:49" x14ac:dyDescent="0.2">
      <c r="R109">
        <v>1000</v>
      </c>
      <c r="S109" s="32">
        <v>1.2528203642566165</v>
      </c>
      <c r="T109" s="32">
        <v>1.3997739268560196</v>
      </c>
      <c r="U109" s="32">
        <v>1.5945169523706102</v>
      </c>
      <c r="V109" s="32">
        <v>1.7464923815417908</v>
      </c>
      <c r="W109" s="32">
        <v>3.0547564724225604</v>
      </c>
      <c r="X109" s="32">
        <v>4.8359965526379556</v>
      </c>
    </row>
    <row r="110" spans="5:49" x14ac:dyDescent="0.2">
      <c r="R110">
        <v>1200</v>
      </c>
      <c r="S110" s="32">
        <v>1.3772045468750183</v>
      </c>
      <c r="T110" s="32">
        <v>1.4837505504235455</v>
      </c>
      <c r="U110" s="32">
        <v>1.6644635513588262</v>
      </c>
      <c r="V110" s="32">
        <v>1.7917256117178741</v>
      </c>
      <c r="W110" s="32">
        <v>3.0902952202421501</v>
      </c>
      <c r="X110" s="32">
        <v>4.9081973287341247</v>
      </c>
    </row>
    <row r="112" spans="5:49" x14ac:dyDescent="0.2">
      <c r="S112">
        <v>0</v>
      </c>
      <c r="T112" s="32">
        <v>0.11542192046556742</v>
      </c>
      <c r="U112" s="32">
        <v>0.2159709618874773</v>
      </c>
      <c r="V112" s="32">
        <v>0.30434782608695649</v>
      </c>
      <c r="W112" s="32">
        <v>0.71257485029940115</v>
      </c>
      <c r="X112" s="32">
        <v>1</v>
      </c>
    </row>
    <row r="113" spans="18:24" x14ac:dyDescent="0.2">
      <c r="R113">
        <v>400</v>
      </c>
      <c r="S113">
        <f t="shared" ref="S113:X113" si="20">(2.0614*S$112^3)+(0.068*S$112^2)+1.5347*S$112+1.1427 + ($R113-600)*(0.000374)*EXP(-1*S$112)</f>
        <v>1.0679000000000001</v>
      </c>
      <c r="T113">
        <f t="shared" si="20"/>
        <v>1.2572676356746233</v>
      </c>
      <c r="U113">
        <f t="shared" si="20"/>
        <v>1.4378174248319626</v>
      </c>
      <c r="V113">
        <f t="shared" si="20"/>
        <v>1.6190214313611877</v>
      </c>
      <c r="W113">
        <f t="shared" si="20"/>
        <v>2.979989944781591</v>
      </c>
      <c r="X113">
        <f t="shared" si="20"/>
        <v>4.7792826178003764</v>
      </c>
    </row>
    <row r="114" spans="18:24" x14ac:dyDescent="0.2">
      <c r="R114">
        <v>600</v>
      </c>
      <c r="S114">
        <f t="shared" ref="S114:X117" si="21">(2.0614*S$112^3)+(0.068*S$112^2)+1.5347*S$112+1.1427 + ($R114-600)*(0.000374)*EXP(-1*S$112)</f>
        <v>1.1427</v>
      </c>
      <c r="T114">
        <f t="shared" si="21"/>
        <v>1.3239136979683268</v>
      </c>
      <c r="U114">
        <f t="shared" si="21"/>
        <v>1.4980881755355293</v>
      </c>
      <c r="V114">
        <f t="shared" si="21"/>
        <v>1.6741942302950603</v>
      </c>
      <c r="W114">
        <f t="shared" si="21"/>
        <v>3.0166703624698679</v>
      </c>
      <c r="X114">
        <f t="shared" si="21"/>
        <v>4.8068</v>
      </c>
    </row>
    <row r="115" spans="18:24" x14ac:dyDescent="0.2">
      <c r="R115">
        <v>800</v>
      </c>
      <c r="S115">
        <f t="shared" si="21"/>
        <v>1.2175</v>
      </c>
      <c r="T115">
        <f t="shared" si="21"/>
        <v>1.3905597602620303</v>
      </c>
      <c r="U115">
        <f t="shared" si="21"/>
        <v>1.558358926239096</v>
      </c>
      <c r="V115">
        <f t="shared" si="21"/>
        <v>1.7293670292289329</v>
      </c>
      <c r="W115">
        <f t="shared" si="21"/>
        <v>3.0533507801581448</v>
      </c>
      <c r="X115">
        <f t="shared" si="21"/>
        <v>4.8343173821996235</v>
      </c>
    </row>
    <row r="116" spans="18:24" x14ac:dyDescent="0.2">
      <c r="R116">
        <v>1000</v>
      </c>
      <c r="S116">
        <f t="shared" si="21"/>
        <v>1.2923</v>
      </c>
      <c r="T116">
        <f t="shared" si="21"/>
        <v>1.4572058225557336</v>
      </c>
      <c r="U116">
        <f t="shared" si="21"/>
        <v>1.6186296769426629</v>
      </c>
      <c r="V116">
        <f t="shared" si="21"/>
        <v>1.7845398281628055</v>
      </c>
      <c r="W116">
        <f t="shared" si="21"/>
        <v>3.0900311978464217</v>
      </c>
      <c r="X116">
        <f t="shared" si="21"/>
        <v>4.8618347643992479</v>
      </c>
    </row>
    <row r="117" spans="18:24" x14ac:dyDescent="0.2">
      <c r="R117">
        <v>1200</v>
      </c>
      <c r="S117">
        <f t="shared" si="21"/>
        <v>1.3671</v>
      </c>
      <c r="T117">
        <f t="shared" si="21"/>
        <v>1.5238518848494369</v>
      </c>
      <c r="U117">
        <f t="shared" si="21"/>
        <v>1.6789004276462296</v>
      </c>
      <c r="V117">
        <f t="shared" si="21"/>
        <v>1.8397126270966782</v>
      </c>
      <c r="W117">
        <f t="shared" si="21"/>
        <v>3.1267116155346986</v>
      </c>
      <c r="X117">
        <f t="shared" si="21"/>
        <v>4.8893521465988714</v>
      </c>
    </row>
    <row r="119" spans="18:24" x14ac:dyDescent="0.2">
      <c r="S119" s="32">
        <f t="shared" ref="S119:X119" si="22">ABS(S114-S107)</f>
        <v>1.01107813746244E-2</v>
      </c>
      <c r="T119" s="32">
        <f t="shared" si="22"/>
        <v>2.5170200694907496E-2</v>
      </c>
      <c r="U119" s="32">
        <f t="shared" si="22"/>
        <v>9.1377384466302392E-3</v>
      </c>
      <c r="V119" s="32">
        <f t="shared" si="22"/>
        <v>8.8118519557613961E-3</v>
      </c>
      <c r="W119" s="32">
        <f t="shared" si="22"/>
        <v>4.1968633245814679E-3</v>
      </c>
      <c r="X119" s="32">
        <f t="shared" si="22"/>
        <v>1.16443129478494E-3</v>
      </c>
    </row>
    <row r="120" spans="18:24" x14ac:dyDescent="0.2">
      <c r="S120" s="32">
        <f t="shared" ref="S120:X122" si="23">ABS(S115-S108)</f>
        <v>8.2975796922653E-3</v>
      </c>
      <c r="T120" s="32">
        <f t="shared" si="23"/>
        <v>3.312884549840045E-2</v>
      </c>
      <c r="U120" s="32">
        <f t="shared" si="23"/>
        <v>2.8188928000205671E-4</v>
      </c>
      <c r="V120" s="32">
        <f t="shared" si="23"/>
        <v>7.9358004620624367E-3</v>
      </c>
      <c r="W120" s="32">
        <f t="shared" si="23"/>
        <v>3.6309925222181683E-2</v>
      </c>
      <c r="X120" s="32">
        <f t="shared" si="23"/>
        <v>2.7207718825548177E-2</v>
      </c>
    </row>
    <row r="121" spans="18:24" x14ac:dyDescent="0.2">
      <c r="S121" s="32">
        <f t="shared" si="23"/>
        <v>3.9479635743383534E-2</v>
      </c>
      <c r="T121" s="32">
        <f t="shared" si="23"/>
        <v>5.7431895699713964E-2</v>
      </c>
      <c r="U121" s="32">
        <f t="shared" si="23"/>
        <v>2.4112724572052713E-2</v>
      </c>
      <c r="V121" s="32">
        <f t="shared" si="23"/>
        <v>3.804744662101478E-2</v>
      </c>
      <c r="W121" s="32">
        <f t="shared" si="23"/>
        <v>3.5274725423861231E-2</v>
      </c>
      <c r="X121" s="32">
        <f t="shared" si="23"/>
        <v>2.5838211761292307E-2</v>
      </c>
    </row>
    <row r="122" spans="18:24" x14ac:dyDescent="0.2">
      <c r="S122" s="32">
        <f t="shared" si="23"/>
        <v>1.0104546875018272E-2</v>
      </c>
      <c r="T122" s="32">
        <f t="shared" si="23"/>
        <v>4.0101334425891366E-2</v>
      </c>
      <c r="U122" s="32">
        <f t="shared" si="23"/>
        <v>1.4436876287403422E-2</v>
      </c>
      <c r="V122" s="32">
        <f t="shared" si="23"/>
        <v>4.798701537880401E-2</v>
      </c>
      <c r="W122" s="32">
        <f t="shared" si="23"/>
        <v>3.6416395292548476E-2</v>
      </c>
      <c r="X122" s="32">
        <f t="shared" si="23"/>
        <v>1.8845182135253324E-2</v>
      </c>
    </row>
    <row r="123" spans="18:24" x14ac:dyDescent="0.2">
      <c r="S123" t="s">
        <v>161</v>
      </c>
      <c r="T123" t="s">
        <v>162</v>
      </c>
      <c r="U123" t="s">
        <v>147</v>
      </c>
    </row>
    <row r="124" spans="18:24" x14ac:dyDescent="0.2">
      <c r="S124" s="32">
        <f>SUM(S119:X122)</f>
        <v>0.55982961628798744</v>
      </c>
      <c r="T124" s="32">
        <f>MAX(S119:X122)</f>
        <v>5.7431895699713964E-2</v>
      </c>
      <c r="U124" s="32">
        <f>AVERAGE(S119:X122)</f>
        <v>2.3326234011999476E-2</v>
      </c>
    </row>
    <row r="126" spans="18:24" x14ac:dyDescent="0.2">
      <c r="S126" s="32">
        <f t="shared" ref="S126:X126" si="24">(S110-S107)</f>
        <v>0.2243937655003938</v>
      </c>
      <c r="T126" s="32">
        <f t="shared" si="24"/>
        <v>0.18500705315012622</v>
      </c>
      <c r="U126" s="32">
        <f t="shared" si="24"/>
        <v>0.15723763737666663</v>
      </c>
      <c r="V126" s="32">
        <f t="shared" si="24"/>
        <v>0.10871952946705243</v>
      </c>
      <c r="W126" s="32">
        <f t="shared" si="24"/>
        <v>7.7821721096863694E-2</v>
      </c>
      <c r="X126" s="32">
        <f t="shared" si="24"/>
        <v>0.10023289743933983</v>
      </c>
    </row>
    <row r="127" spans="18:24" x14ac:dyDescent="0.2">
      <c r="S127">
        <f t="shared" ref="S127:X127" si="25">S126/$S$126</f>
        <v>1</v>
      </c>
      <c r="T127">
        <f t="shared" si="25"/>
        <v>0.824475014880935</v>
      </c>
      <c r="U127">
        <f t="shared" si="25"/>
        <v>0.70072195199376286</v>
      </c>
      <c r="V127">
        <f t="shared" si="25"/>
        <v>0.48450334270477596</v>
      </c>
      <c r="W127">
        <f t="shared" si="25"/>
        <v>0.34680874900121555</v>
      </c>
      <c r="X127">
        <f t="shared" si="25"/>
        <v>0.44668307613548169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ED33-599F-7143-951B-AC5845702C29}">
  <dimension ref="B4:Y51"/>
  <sheetViews>
    <sheetView workbookViewId="0">
      <selection activeCell="O37" sqref="O37"/>
    </sheetView>
  </sheetViews>
  <sheetFormatPr baseColWidth="10" defaultRowHeight="16" x14ac:dyDescent="0.2"/>
  <cols>
    <col min="18" max="18" width="12.1640625" bestFit="1" customWidth="1"/>
  </cols>
  <sheetData>
    <row r="4" spans="2:24" x14ac:dyDescent="0.2">
      <c r="B4" t="s">
        <v>73</v>
      </c>
      <c r="I4" t="s">
        <v>118</v>
      </c>
    </row>
    <row r="5" spans="2:24" x14ac:dyDescent="0.2">
      <c r="B5" s="12"/>
      <c r="C5" s="16">
        <v>300</v>
      </c>
      <c r="D5" s="49">
        <v>600</v>
      </c>
      <c r="E5" s="49">
        <v>800</v>
      </c>
      <c r="F5" s="49">
        <v>1000</v>
      </c>
      <c r="G5" s="51">
        <v>1200</v>
      </c>
      <c r="H5" s="50"/>
      <c r="J5" s="41">
        <v>300</v>
      </c>
      <c r="K5" s="50">
        <v>600</v>
      </c>
      <c r="L5" s="50">
        <v>800</v>
      </c>
      <c r="M5" s="50">
        <v>1000</v>
      </c>
      <c r="N5" s="50">
        <v>1200</v>
      </c>
      <c r="R5" s="16">
        <v>300</v>
      </c>
      <c r="S5" s="49">
        <v>600</v>
      </c>
      <c r="T5" s="49">
        <v>800</v>
      </c>
      <c r="U5" s="49">
        <v>1000</v>
      </c>
      <c r="V5" s="51">
        <v>1200</v>
      </c>
      <c r="X5" t="s">
        <v>189</v>
      </c>
    </row>
    <row r="6" spans="2:24" x14ac:dyDescent="0.2">
      <c r="B6" s="45" t="s">
        <v>140</v>
      </c>
      <c r="C6" s="42">
        <v>0.56799919818133371</v>
      </c>
      <c r="D6" s="42">
        <v>0.54996741120052894</v>
      </c>
      <c r="E6" s="42">
        <v>0.55662893120954315</v>
      </c>
      <c r="F6" s="42">
        <v>0.55741857614699852</v>
      </c>
      <c r="G6" s="42">
        <v>0.53866028970953361</v>
      </c>
      <c r="I6" s="43" t="s">
        <v>138</v>
      </c>
      <c r="J6" s="42">
        <v>0.95286852486021589</v>
      </c>
      <c r="K6" s="42">
        <v>0.95204359825307083</v>
      </c>
      <c r="L6" s="42">
        <v>0.9172378128189479</v>
      </c>
      <c r="M6" s="42">
        <v>0.94628952844789949</v>
      </c>
      <c r="N6" s="42">
        <v>0.92525349477684382</v>
      </c>
      <c r="P6" t="s">
        <v>29</v>
      </c>
      <c r="Q6">
        <v>0</v>
      </c>
      <c r="R6" s="52">
        <v>0.45</v>
      </c>
      <c r="S6" s="32">
        <v>0.42952592386641097</v>
      </c>
      <c r="T6" s="32">
        <v>0.50558222941958064</v>
      </c>
      <c r="U6" s="32">
        <v>0.5435351166346748</v>
      </c>
      <c r="V6" s="32">
        <v>0.71088395078237021</v>
      </c>
      <c r="X6">
        <v>0.49</v>
      </c>
    </row>
    <row r="7" spans="2:24" x14ac:dyDescent="0.2">
      <c r="B7" s="45" t="s">
        <v>178</v>
      </c>
      <c r="C7" s="42">
        <v>0.64511335713225404</v>
      </c>
      <c r="D7" s="42">
        <v>0.61036621854757445</v>
      </c>
      <c r="E7" s="42">
        <v>0.66872620102092062</v>
      </c>
      <c r="F7" s="42">
        <v>0.58442406822047421</v>
      </c>
      <c r="G7" s="42">
        <v>0.60307903538186092</v>
      </c>
      <c r="I7" s="43" t="s">
        <v>121</v>
      </c>
      <c r="J7" s="42">
        <v>0.95190999715904212</v>
      </c>
      <c r="K7" s="42">
        <v>0.996790479002861</v>
      </c>
      <c r="L7" s="42">
        <v>1.0399788001610746</v>
      </c>
      <c r="M7" s="42">
        <v>0.97109165898669936</v>
      </c>
      <c r="N7" s="42">
        <v>1.0127401396322067</v>
      </c>
      <c r="P7" t="s">
        <v>74</v>
      </c>
      <c r="Q7">
        <v>0.11</v>
      </c>
      <c r="R7" s="52">
        <v>0.49</v>
      </c>
      <c r="S7" s="32">
        <v>0.4579682432107785</v>
      </c>
      <c r="T7" s="32">
        <v>0.51548660386749912</v>
      </c>
      <c r="U7" s="32">
        <v>0.57029890725971977</v>
      </c>
      <c r="V7" s="32">
        <v>0.64074300364768511</v>
      </c>
      <c r="X7" t="s">
        <v>191</v>
      </c>
    </row>
    <row r="8" spans="2:24" x14ac:dyDescent="0.2">
      <c r="B8" s="45" t="s">
        <v>141</v>
      </c>
      <c r="C8" s="42">
        <v>0.70996814503017969</v>
      </c>
      <c r="D8" s="42">
        <v>0.65604958546118008</v>
      </c>
      <c r="E8" s="42">
        <v>0.64231566195298329</v>
      </c>
      <c r="F8" s="42">
        <v>0.64556180438752198</v>
      </c>
      <c r="G8" s="42">
        <v>0.63387897756503198</v>
      </c>
      <c r="I8" s="43" t="s">
        <v>122</v>
      </c>
      <c r="J8" s="42">
        <v>1.1227701272074158</v>
      </c>
      <c r="K8" s="42">
        <v>1.1860949911349437</v>
      </c>
      <c r="L8" s="42">
        <v>1.0964497572057499</v>
      </c>
      <c r="M8" s="42">
        <v>1.24105412500945</v>
      </c>
      <c r="N8" s="42">
        <v>1.2441824373363599</v>
      </c>
      <c r="P8" t="s">
        <v>16</v>
      </c>
      <c r="Q8">
        <v>0.23</v>
      </c>
      <c r="R8" s="32">
        <v>0.45430182911071287</v>
      </c>
      <c r="S8" s="32">
        <v>0.56089608953050774</v>
      </c>
      <c r="T8" s="32">
        <v>0.60716378790701708</v>
      </c>
      <c r="U8" s="32">
        <v>0.64353999733699807</v>
      </c>
      <c r="V8" s="32">
        <v>0.7053722930489974</v>
      </c>
      <c r="X8" s="32">
        <v>0.45</v>
      </c>
    </row>
    <row r="9" spans="2:24" x14ac:dyDescent="0.2">
      <c r="B9" s="45" t="s">
        <v>179</v>
      </c>
      <c r="C9" s="42">
        <v>0.7294722152598655</v>
      </c>
      <c r="D9" s="42">
        <v>0.71553027079094611</v>
      </c>
      <c r="E9" s="42">
        <v>0.71465468482363548</v>
      </c>
      <c r="F9" s="42">
        <v>0.76985841468709793</v>
      </c>
      <c r="G9" s="42">
        <v>0.7827417752586312</v>
      </c>
      <c r="I9" s="41" t="s">
        <v>123</v>
      </c>
      <c r="J9" s="42">
        <v>1.1624561370231479</v>
      </c>
      <c r="K9" s="42">
        <v>1.2904872937924581</v>
      </c>
      <c r="L9" s="42">
        <v>1.2070478672841891</v>
      </c>
      <c r="M9" s="42">
        <v>1.1923161116636061</v>
      </c>
      <c r="N9" s="42">
        <v>1.2833562150386499</v>
      </c>
      <c r="P9" t="s">
        <v>177</v>
      </c>
      <c r="Q9">
        <v>0.31</v>
      </c>
      <c r="R9" s="32">
        <v>0.69483380435682396</v>
      </c>
      <c r="S9" s="32">
        <v>0.65941913925602791</v>
      </c>
      <c r="T9" s="32">
        <v>0.67421131708979409</v>
      </c>
      <c r="U9" s="32">
        <v>0.69912523443714725</v>
      </c>
      <c r="V9" s="32">
        <v>0.7377071017773067</v>
      </c>
    </row>
    <row r="10" spans="2:24" x14ac:dyDescent="0.2">
      <c r="B10" s="41" t="s">
        <v>142</v>
      </c>
      <c r="C10" s="42">
        <v>0.66293181482486641</v>
      </c>
      <c r="D10" s="42">
        <v>0.63273491901755885</v>
      </c>
      <c r="E10" s="42">
        <v>0.67232401454996626</v>
      </c>
      <c r="F10" s="42">
        <v>0.70435140712966415</v>
      </c>
      <c r="G10" s="42">
        <v>0.77605693616979332</v>
      </c>
      <c r="I10" s="41" t="s">
        <v>124</v>
      </c>
      <c r="J10" s="42">
        <v>1.1223298400889736</v>
      </c>
      <c r="K10" s="42">
        <v>1.1161930657207983</v>
      </c>
      <c r="L10" s="42">
        <v>1.1722082992079281</v>
      </c>
      <c r="M10" s="42">
        <v>1.1951579642686965</v>
      </c>
      <c r="N10" s="42">
        <v>1.2514509050967189</v>
      </c>
      <c r="P10" t="s">
        <v>185</v>
      </c>
      <c r="Q10">
        <v>0.71</v>
      </c>
      <c r="R10" s="32">
        <v>1.1060816213212454</v>
      </c>
      <c r="S10" s="32">
        <v>1.1017222574366783</v>
      </c>
      <c r="T10" s="32">
        <v>1.1235098637336001</v>
      </c>
      <c r="U10" s="32">
        <v>1.1399958815285243</v>
      </c>
      <c r="V10" s="32">
        <v>1.1618348329864274</v>
      </c>
    </row>
    <row r="11" spans="2:24" x14ac:dyDescent="0.2">
      <c r="B11" s="41" t="s">
        <v>180</v>
      </c>
      <c r="C11" s="42">
        <v>0.76991689458749801</v>
      </c>
      <c r="D11" s="42">
        <v>0.79906092179537969</v>
      </c>
      <c r="E11" s="42">
        <v>0.8136772550096808</v>
      </c>
      <c r="F11" s="42">
        <v>0.78916016463624672</v>
      </c>
      <c r="G11" s="42">
        <v>0.97435655006460087</v>
      </c>
      <c r="I11" s="41" t="s">
        <v>126</v>
      </c>
      <c r="J11" s="42">
        <v>1.3393760721813499</v>
      </c>
      <c r="K11" s="42">
        <v>1.219975853758744</v>
      </c>
      <c r="L11" s="42">
        <v>1.3765385861639998</v>
      </c>
      <c r="M11" s="42">
        <v>1.2768423808695597</v>
      </c>
      <c r="N11" s="42">
        <v>1.3906156337068265</v>
      </c>
      <c r="P11" t="s">
        <v>30</v>
      </c>
      <c r="Q11">
        <v>1</v>
      </c>
      <c r="R11" s="32">
        <v>1.71</v>
      </c>
      <c r="S11" s="32">
        <v>1.7021346879498602</v>
      </c>
      <c r="T11" s="32">
        <v>1.6981798238716821</v>
      </c>
      <c r="U11" s="32">
        <v>1.7171432790362573</v>
      </c>
      <c r="V11" s="32">
        <v>1.7278191276262889</v>
      </c>
    </row>
    <row r="12" spans="2:24" x14ac:dyDescent="0.2">
      <c r="B12" s="41" t="s">
        <v>143</v>
      </c>
      <c r="C12" s="42">
        <v>0.62526236214704112</v>
      </c>
      <c r="D12" s="42">
        <v>0.62079812637782628</v>
      </c>
      <c r="E12" s="42">
        <v>0.65729557958148088</v>
      </c>
      <c r="F12" s="42">
        <v>0.68965963126411522</v>
      </c>
      <c r="G12" s="42">
        <v>0.7294987398861813</v>
      </c>
      <c r="I12" s="41" t="s">
        <v>127</v>
      </c>
      <c r="J12" s="42">
        <v>1.1223789838642317</v>
      </c>
      <c r="K12" s="42">
        <v>1.1283949581942085</v>
      </c>
      <c r="L12" s="42">
        <v>1.1602871273920983</v>
      </c>
      <c r="M12" s="42">
        <v>1.1811295003146394</v>
      </c>
      <c r="N12" s="42">
        <v>1.1930626695111877</v>
      </c>
    </row>
    <row r="13" spans="2:24" x14ac:dyDescent="0.2">
      <c r="B13" s="41" t="s">
        <v>181</v>
      </c>
      <c r="C13" s="42">
        <v>0.81916236070345705</v>
      </c>
      <c r="D13" s="42">
        <v>0.74327140769081224</v>
      </c>
      <c r="E13" s="42">
        <v>0.70739516895440668</v>
      </c>
      <c r="F13" s="42">
        <v>0.87124620848162126</v>
      </c>
      <c r="G13" s="42">
        <v>0.88780022174469875</v>
      </c>
      <c r="I13" s="41" t="s">
        <v>128</v>
      </c>
      <c r="J13" s="42">
        <v>1.2733626437024899</v>
      </c>
      <c r="K13" s="42">
        <v>1.1388052509623132</v>
      </c>
      <c r="L13" s="42">
        <v>1.2858402507451263</v>
      </c>
      <c r="M13" s="42">
        <v>1.288884198722235</v>
      </c>
      <c r="N13" s="42">
        <v>1.3192780255987073</v>
      </c>
    </row>
    <row r="14" spans="2:24" x14ac:dyDescent="0.2">
      <c r="B14" s="41" t="s">
        <v>182</v>
      </c>
      <c r="C14" s="42">
        <v>0.70707259086240781</v>
      </c>
      <c r="D14" s="42">
        <v>0.62170356336976829</v>
      </c>
      <c r="E14" s="42">
        <v>0.71972273717848556</v>
      </c>
      <c r="F14" s="42">
        <v>0.7518176125195698</v>
      </c>
      <c r="G14" s="42">
        <v>0.74684126082764735</v>
      </c>
      <c r="I14" s="41" t="s">
        <v>129</v>
      </c>
      <c r="J14" s="42">
        <v>1.058507153580136</v>
      </c>
      <c r="K14" s="42">
        <v>1.0252675518084264</v>
      </c>
      <c r="L14" s="42">
        <v>1.0464788064866408</v>
      </c>
      <c r="M14" s="42">
        <v>1.1394021878737843</v>
      </c>
      <c r="N14" s="42">
        <v>1.0669187532172741</v>
      </c>
    </row>
    <row r="15" spans="2:24" x14ac:dyDescent="0.2">
      <c r="B15" s="41" t="s">
        <v>183</v>
      </c>
      <c r="C15" s="42">
        <v>0.71143910483933581</v>
      </c>
      <c r="D15" s="42">
        <v>0.64470896830870295</v>
      </c>
      <c r="E15" s="42">
        <v>0.5893729366168371</v>
      </c>
      <c r="F15" s="42">
        <v>0.62775445689816156</v>
      </c>
      <c r="G15" s="42">
        <v>0.70415723116508855</v>
      </c>
      <c r="I15" s="41" t="s">
        <v>130</v>
      </c>
      <c r="J15" s="42">
        <v>0.95485673354545209</v>
      </c>
      <c r="K15" s="42">
        <v>0.96316953173895947</v>
      </c>
      <c r="L15" s="42">
        <v>0.93303132987024218</v>
      </c>
      <c r="M15" s="42">
        <v>0.9677911591286712</v>
      </c>
      <c r="N15" s="42">
        <v>0.93149005594949708</v>
      </c>
    </row>
    <row r="16" spans="2:24" x14ac:dyDescent="0.2">
      <c r="B16" s="41" t="s">
        <v>147</v>
      </c>
      <c r="C16" s="32">
        <f t="shared" ref="C16:D16" si="0">AVERAGE(C6:C15)</f>
        <v>0.69483380435682396</v>
      </c>
      <c r="D16" s="32">
        <f t="shared" si="0"/>
        <v>0.65941913925602791</v>
      </c>
      <c r="E16" s="32">
        <f>AVERAGE(E6:E15)</f>
        <v>0.67421131708979409</v>
      </c>
      <c r="F16" s="32">
        <f>AVERAGE(F6:F15)</f>
        <v>0.69912523443714725</v>
      </c>
      <c r="G16" s="32">
        <f>AVERAGE(G6:G15)</f>
        <v>0.7377071017773067</v>
      </c>
      <c r="I16" s="41" t="s">
        <v>184</v>
      </c>
      <c r="J16" s="48">
        <f>AVERAGE(J6:J15)</f>
        <v>1.1060816213212454</v>
      </c>
      <c r="K16" s="48">
        <f t="shared" ref="K16:N16" si="1">AVERAGE(K6:K15)</f>
        <v>1.1017222574366783</v>
      </c>
      <c r="L16" s="48">
        <f t="shared" si="1"/>
        <v>1.1235098637336001</v>
      </c>
      <c r="M16" s="48">
        <f t="shared" si="1"/>
        <v>1.1399958815285243</v>
      </c>
      <c r="N16" s="48">
        <f t="shared" si="1"/>
        <v>1.1618348329864274</v>
      </c>
    </row>
    <row r="18" spans="2:25" x14ac:dyDescent="0.2">
      <c r="B18" s="41" t="s">
        <v>29</v>
      </c>
      <c r="C18">
        <v>300</v>
      </c>
      <c r="D18">
        <v>600</v>
      </c>
      <c r="E18">
        <v>800</v>
      </c>
      <c r="F18">
        <v>1000</v>
      </c>
      <c r="G18">
        <v>1200</v>
      </c>
      <c r="I18" s="41" t="s">
        <v>30</v>
      </c>
      <c r="J18" s="41">
        <v>300</v>
      </c>
      <c r="K18" s="50">
        <v>600</v>
      </c>
      <c r="L18" s="50">
        <v>800</v>
      </c>
      <c r="M18" s="50">
        <v>1000</v>
      </c>
      <c r="N18" s="50">
        <v>1200</v>
      </c>
    </row>
    <row r="19" spans="2:25" x14ac:dyDescent="0.2">
      <c r="B19" s="45" t="s">
        <v>140</v>
      </c>
      <c r="C19" s="32"/>
      <c r="D19" s="42">
        <v>0.42997002822320596</v>
      </c>
      <c r="E19" s="32">
        <v>0.47023730631744165</v>
      </c>
      <c r="F19" s="32">
        <v>0.47237106811470675</v>
      </c>
      <c r="G19" s="42">
        <v>0.63674079936032568</v>
      </c>
      <c r="I19" s="45" t="s">
        <v>140</v>
      </c>
      <c r="J19" s="32">
        <v>1.5265732261014335</v>
      </c>
      <c r="K19" s="42">
        <v>1.5210681670184989</v>
      </c>
      <c r="L19" s="32">
        <v>1.5124010476954708</v>
      </c>
      <c r="M19" s="42">
        <v>1.5383473012901794</v>
      </c>
      <c r="N19" s="32">
        <v>1.5666256018006701</v>
      </c>
    </row>
    <row r="20" spans="2:25" x14ac:dyDescent="0.2">
      <c r="B20" s="45" t="s">
        <v>178</v>
      </c>
      <c r="C20" s="32"/>
      <c r="D20" s="42">
        <v>0.42948468297198428</v>
      </c>
      <c r="E20" s="32">
        <v>0.48519991182573446</v>
      </c>
      <c r="F20" s="32">
        <v>0.48248575830439994</v>
      </c>
      <c r="G20" s="42">
        <v>0.63590245384727329</v>
      </c>
      <c r="I20" s="45" t="s">
        <v>178</v>
      </c>
      <c r="J20" s="32">
        <v>1.5892846252407735</v>
      </c>
      <c r="K20" s="42">
        <v>1.5856781284448818</v>
      </c>
      <c r="L20" s="32">
        <v>1.5902708418224023</v>
      </c>
      <c r="M20" s="42">
        <v>1.6138231405622858</v>
      </c>
      <c r="N20" s="32">
        <v>1.627033733581466</v>
      </c>
    </row>
    <row r="21" spans="2:25" x14ac:dyDescent="0.2">
      <c r="B21" s="45" t="s">
        <v>141</v>
      </c>
      <c r="C21" s="32"/>
      <c r="D21" s="42">
        <v>0.43292370677381642</v>
      </c>
      <c r="E21" s="32">
        <v>0.49137460359161345</v>
      </c>
      <c r="F21" s="32">
        <v>0.54043955504228935</v>
      </c>
      <c r="G21" s="42">
        <v>0.66243638221824941</v>
      </c>
      <c r="I21" s="45" t="s">
        <v>141</v>
      </c>
      <c r="J21" s="32">
        <v>1.5944039268314885</v>
      </c>
      <c r="K21" s="42">
        <v>1.6162468126163236</v>
      </c>
      <c r="L21" s="32">
        <v>1.6229690429764296</v>
      </c>
      <c r="M21" s="42">
        <v>1.633167301293085</v>
      </c>
      <c r="N21" s="32">
        <v>1.6414871981148256</v>
      </c>
    </row>
    <row r="22" spans="2:25" x14ac:dyDescent="0.2">
      <c r="B22" s="45" t="s">
        <v>179</v>
      </c>
      <c r="C22" s="32"/>
      <c r="D22" s="42">
        <v>0.45801015663760947</v>
      </c>
      <c r="E22" s="32">
        <v>0.51654036543498949</v>
      </c>
      <c r="F22" s="32">
        <v>0.56051718785655069</v>
      </c>
      <c r="G22" s="42">
        <v>0.72025611606285256</v>
      </c>
      <c r="I22" s="45" t="s">
        <v>179</v>
      </c>
      <c r="J22" s="32">
        <v>1.8164651339086049</v>
      </c>
      <c r="K22" s="42">
        <v>1.821191288416339</v>
      </c>
      <c r="L22" s="32">
        <v>1.8217240085850173</v>
      </c>
      <c r="M22" s="42">
        <v>1.839042816062598</v>
      </c>
      <c r="N22" s="32">
        <v>1.854505171310932</v>
      </c>
    </row>
    <row r="23" spans="2:25" x14ac:dyDescent="0.2">
      <c r="B23" s="41" t="s">
        <v>142</v>
      </c>
      <c r="C23" s="32"/>
      <c r="D23" s="42">
        <v>0.34954032574035304</v>
      </c>
      <c r="E23" s="32">
        <v>0.41052044705238649</v>
      </c>
      <c r="F23" s="32">
        <v>0.42078741710482098</v>
      </c>
      <c r="G23" s="42">
        <v>0.62755308502241136</v>
      </c>
      <c r="I23" s="41" t="s">
        <v>142</v>
      </c>
      <c r="J23" s="32">
        <v>1.5583332953230227</v>
      </c>
      <c r="K23" s="42">
        <v>1.5532530662965855</v>
      </c>
      <c r="L23" s="32">
        <v>1.551869770910125</v>
      </c>
      <c r="M23" s="42">
        <v>1.5676658377525972</v>
      </c>
      <c r="N23" s="32">
        <v>1.5770724526863764</v>
      </c>
      <c r="X23" s="32">
        <f>V6-R6</f>
        <v>0.2608839507823702</v>
      </c>
    </row>
    <row r="24" spans="2:25" x14ac:dyDescent="0.2">
      <c r="B24" s="41" t="s">
        <v>180</v>
      </c>
      <c r="C24" s="32"/>
      <c r="D24" s="42">
        <v>0.37273424505906971</v>
      </c>
      <c r="E24" s="32">
        <v>0.53992327752051117</v>
      </c>
      <c r="F24" s="32">
        <v>0.61908320792389937</v>
      </c>
      <c r="G24" s="42">
        <v>0.7252357512069928</v>
      </c>
      <c r="I24" s="41" t="s">
        <v>180</v>
      </c>
      <c r="J24" s="32">
        <v>1.8554436837538311</v>
      </c>
      <c r="K24" s="42">
        <v>1.8534916324637218</v>
      </c>
      <c r="L24" s="32">
        <v>1.8537055712021815</v>
      </c>
      <c r="M24" s="42">
        <v>1.8754277679241351</v>
      </c>
      <c r="N24" s="32">
        <v>1.883713719000039</v>
      </c>
    </row>
    <row r="25" spans="2:25" x14ac:dyDescent="0.2">
      <c r="B25" s="41" t="s">
        <v>143</v>
      </c>
      <c r="C25" s="32"/>
      <c r="D25" s="42">
        <v>0.34005727712181116</v>
      </c>
      <c r="E25" s="32">
        <v>0.47340373055181895</v>
      </c>
      <c r="F25" s="32">
        <v>0.55396158966096887</v>
      </c>
      <c r="G25" s="42">
        <v>0.69679869063521238</v>
      </c>
      <c r="I25" s="41" t="s">
        <v>143</v>
      </c>
      <c r="J25" s="32">
        <v>1.6110949477642926</v>
      </c>
      <c r="K25" s="42">
        <v>1.6110840255766583</v>
      </c>
      <c r="L25" s="32">
        <v>1.6166045715023087</v>
      </c>
      <c r="M25" s="42">
        <v>1.6378354198643019</v>
      </c>
      <c r="N25" s="32">
        <v>1.6422828812404018</v>
      </c>
      <c r="X25">
        <f>X23/(600^2)</f>
        <v>7.2467764106213942E-7</v>
      </c>
    </row>
    <row r="26" spans="2:25" x14ac:dyDescent="0.2">
      <c r="B26" s="41" t="s">
        <v>181</v>
      </c>
      <c r="C26" s="32"/>
      <c r="D26" s="42">
        <v>0.55726137889538596</v>
      </c>
      <c r="E26" s="32">
        <v>0.60865712058281507</v>
      </c>
      <c r="F26" s="32">
        <v>0.64620656323221015</v>
      </c>
      <c r="G26" s="42">
        <v>0.87732693689562891</v>
      </c>
      <c r="I26" s="41" t="s">
        <v>181</v>
      </c>
      <c r="J26" s="32">
        <v>1.9962330463031317</v>
      </c>
      <c r="K26" s="32">
        <v>1.9488070381671576</v>
      </c>
      <c r="L26" s="32">
        <v>1.9372977166344842</v>
      </c>
      <c r="M26" s="42">
        <v>1.96082706787297</v>
      </c>
      <c r="N26" s="32">
        <v>2.0006909934980874</v>
      </c>
      <c r="X26">
        <f>600*0.0005</f>
        <v>0.3</v>
      </c>
      <c r="Y26">
        <f>X23/600</f>
        <v>4.3480658463728366E-4</v>
      </c>
    </row>
    <row r="27" spans="2:25" x14ac:dyDescent="0.2">
      <c r="B27" s="41" t="s">
        <v>182</v>
      </c>
      <c r="C27" s="32"/>
      <c r="D27" s="42">
        <v>0.45693548394487671</v>
      </c>
      <c r="E27" s="32">
        <v>0.54051821569315961</v>
      </c>
      <c r="F27" s="32">
        <v>0.56448475911871865</v>
      </c>
      <c r="G27" s="42">
        <v>0.79655671034304909</v>
      </c>
      <c r="I27" s="41" t="s">
        <v>182</v>
      </c>
      <c r="J27" s="32">
        <v>1.7679337757048004</v>
      </c>
      <c r="K27" s="42">
        <v>1.7709530555514637</v>
      </c>
      <c r="L27" s="32">
        <v>1.7683695370223009</v>
      </c>
      <c r="M27" s="42">
        <v>1.7877419479493941</v>
      </c>
      <c r="N27" s="32">
        <v>1.7893793269788809</v>
      </c>
    </row>
    <row r="28" spans="2:25" x14ac:dyDescent="0.2">
      <c r="B28" s="41" t="s">
        <v>183</v>
      </c>
      <c r="C28" s="32"/>
      <c r="D28" s="42">
        <v>0.46834195329599648</v>
      </c>
      <c r="E28" s="32">
        <v>0.51944731562533586</v>
      </c>
      <c r="F28" s="32">
        <v>0.575014059988183</v>
      </c>
      <c r="G28" s="42">
        <v>0.73003258223170586</v>
      </c>
      <c r="I28" s="41" t="s">
        <v>183</v>
      </c>
      <c r="J28" s="32">
        <v>1.7503703602390011</v>
      </c>
      <c r="K28" s="42">
        <v>1.7395736649469691</v>
      </c>
      <c r="L28" s="32">
        <v>1.7065861303660999</v>
      </c>
      <c r="M28" s="42">
        <v>1.7175541897910267</v>
      </c>
      <c r="N28" s="32">
        <v>1.6954001980512092</v>
      </c>
    </row>
    <row r="29" spans="2:25" x14ac:dyDescent="0.2">
      <c r="B29" s="41" t="s">
        <v>147</v>
      </c>
      <c r="C29" s="32" t="e">
        <f t="shared" ref="C29" si="2">AVERAGE(C19:C28)</f>
        <v>#DIV/0!</v>
      </c>
      <c r="D29" s="32">
        <f t="shared" ref="D29" si="3">AVERAGE(D19:D28)</f>
        <v>0.42952592386641097</v>
      </c>
      <c r="E29" s="32">
        <f>AVERAGE(E19:E28)</f>
        <v>0.50558222941958064</v>
      </c>
      <c r="F29" s="32">
        <f>AVERAGE(F19:F28)</f>
        <v>0.5435351166346748</v>
      </c>
      <c r="G29" s="32">
        <f>AVERAGE(G19:G28)</f>
        <v>0.71088395078237021</v>
      </c>
      <c r="I29" s="41" t="s">
        <v>147</v>
      </c>
      <c r="J29" s="32">
        <f t="shared" ref="J29" si="4">AVERAGE(J19:J28)</f>
        <v>1.7066136021170384</v>
      </c>
      <c r="K29" s="32">
        <f t="shared" ref="K29" si="5">AVERAGE(K19:K28)</f>
        <v>1.7021346879498602</v>
      </c>
      <c r="L29" s="32">
        <f>AVERAGE(L19:L28)</f>
        <v>1.6981798238716821</v>
      </c>
      <c r="M29" s="32">
        <f>AVERAGE(M19:M28)</f>
        <v>1.7171432790362573</v>
      </c>
      <c r="N29" s="32">
        <f>AVERAGE(N19:N28)</f>
        <v>1.7278191276262889</v>
      </c>
    </row>
    <row r="31" spans="2:25" x14ac:dyDescent="0.2">
      <c r="B31" t="s">
        <v>72</v>
      </c>
      <c r="I31" t="s">
        <v>32</v>
      </c>
    </row>
    <row r="32" spans="2:25" x14ac:dyDescent="0.2">
      <c r="B32" s="12"/>
      <c r="C32" s="16">
        <v>300</v>
      </c>
      <c r="D32" s="32">
        <v>600</v>
      </c>
      <c r="E32" s="32">
        <v>800</v>
      </c>
      <c r="F32" s="32">
        <v>1000</v>
      </c>
      <c r="G32" s="32">
        <v>1200</v>
      </c>
      <c r="H32" s="50"/>
      <c r="J32" s="41">
        <v>300</v>
      </c>
      <c r="K32" s="50">
        <v>600</v>
      </c>
      <c r="L32" s="50">
        <v>800</v>
      </c>
      <c r="M32" s="50">
        <v>1000</v>
      </c>
      <c r="N32" s="50">
        <v>1200</v>
      </c>
    </row>
    <row r="33" spans="2:23" x14ac:dyDescent="0.2">
      <c r="B33" s="45" t="s">
        <v>140</v>
      </c>
      <c r="C33" s="42"/>
      <c r="D33" s="42">
        <v>0.41757721597053088</v>
      </c>
      <c r="E33" s="42">
        <v>0.44217721979257896</v>
      </c>
      <c r="F33" s="42">
        <v>0.49647213784709382</v>
      </c>
      <c r="G33" s="42">
        <v>0.53984791829694267</v>
      </c>
      <c r="I33" s="43" t="s">
        <v>138</v>
      </c>
      <c r="J33" s="42">
        <v>0.3644708665787374</v>
      </c>
      <c r="K33" s="42">
        <v>0.49776542102409732</v>
      </c>
      <c r="L33" s="42">
        <v>0.54696438794276481</v>
      </c>
      <c r="M33" s="42">
        <v>0.56255936704926879</v>
      </c>
      <c r="N33" s="42">
        <v>0.54403492315713664</v>
      </c>
    </row>
    <row r="34" spans="2:23" x14ac:dyDescent="0.2">
      <c r="B34" s="45" t="s">
        <v>178</v>
      </c>
      <c r="C34" s="42"/>
      <c r="D34" s="42">
        <v>0.41252706842831166</v>
      </c>
      <c r="E34" s="42">
        <v>0.47889206470000156</v>
      </c>
      <c r="F34" s="42">
        <v>0.52276385637058786</v>
      </c>
      <c r="G34" s="42">
        <v>0.58088976378997814</v>
      </c>
      <c r="I34" s="43" t="s">
        <v>121</v>
      </c>
      <c r="J34" s="42">
        <v>0.40763534149384756</v>
      </c>
      <c r="K34" s="42">
        <v>0.52198250286918912</v>
      </c>
      <c r="L34" s="42">
        <v>0.53496829902506327</v>
      </c>
      <c r="M34" s="42">
        <v>0.54744865757010763</v>
      </c>
      <c r="N34" s="42">
        <v>0.57807014797568024</v>
      </c>
      <c r="R34">
        <v>300</v>
      </c>
      <c r="S34" s="32">
        <v>600</v>
      </c>
      <c r="T34" s="32">
        <v>800</v>
      </c>
      <c r="U34" s="32">
        <v>1000</v>
      </c>
      <c r="V34" s="32">
        <v>1200</v>
      </c>
      <c r="W34" s="32"/>
    </row>
    <row r="35" spans="2:23" x14ac:dyDescent="0.2">
      <c r="B35" s="45" t="s">
        <v>141</v>
      </c>
      <c r="C35" s="42"/>
      <c r="D35" s="42">
        <v>0.44679845600478929</v>
      </c>
      <c r="E35" s="42">
        <v>0.50353216159751357</v>
      </c>
      <c r="F35" s="42">
        <v>0.52689102171577618</v>
      </c>
      <c r="G35" s="42">
        <v>0.63222793456718152</v>
      </c>
      <c r="I35" s="43" t="s">
        <v>122</v>
      </c>
      <c r="J35" s="42">
        <v>0.46228720965840903</v>
      </c>
      <c r="K35" s="42">
        <v>0.57934165281869343</v>
      </c>
      <c r="L35" s="42">
        <v>0.62778922542236193</v>
      </c>
      <c r="M35" s="42">
        <v>0.71298139768847357</v>
      </c>
      <c r="N35" s="42">
        <v>0.70177945419000487</v>
      </c>
      <c r="Q35">
        <v>0</v>
      </c>
      <c r="R35">
        <f>(0.9255*$Q35^2)+0.3333*$Q35+0.4307 + (R$34-600)^2*(0.0000007)*EXP(-4*$Q35)</f>
        <v>0.49370000000000003</v>
      </c>
      <c r="S35">
        <f t="shared" ref="S35:V40" si="6">(0.9255*$Q35^2)+0.3333*$Q35+0.4307 + (S$34-600)^2*(0.0000007)*EXP(-4*$Q35)</f>
        <v>0.43070000000000003</v>
      </c>
      <c r="T35">
        <f t="shared" si="6"/>
        <v>0.4587</v>
      </c>
      <c r="U35">
        <f t="shared" si="6"/>
        <v>0.54269999999999996</v>
      </c>
      <c r="V35">
        <f t="shared" si="6"/>
        <v>0.68270000000000008</v>
      </c>
    </row>
    <row r="36" spans="2:23" x14ac:dyDescent="0.2">
      <c r="B36" s="45" t="s">
        <v>179</v>
      </c>
      <c r="C36" s="42"/>
      <c r="D36" s="42">
        <v>0.47870864165250693</v>
      </c>
      <c r="E36" s="42">
        <v>0.55689304572103215</v>
      </c>
      <c r="F36" s="42">
        <v>0.60660898545499475</v>
      </c>
      <c r="G36" s="42">
        <v>0.6636064023461985</v>
      </c>
      <c r="I36" s="41" t="s">
        <v>123</v>
      </c>
      <c r="J36" s="42">
        <v>0.53529108798720171</v>
      </c>
      <c r="K36" s="42">
        <v>0.60136049353123</v>
      </c>
      <c r="L36" s="42">
        <v>0.62646613603266244</v>
      </c>
      <c r="M36" s="42">
        <v>0.648801516503134</v>
      </c>
      <c r="N36" s="42">
        <v>0.77225209880327639</v>
      </c>
      <c r="Q36">
        <v>0.12</v>
      </c>
      <c r="R36">
        <f t="shared" ref="R36:R40" si="7">(0.9255*$Q36^2)+0.3333*$Q36+0.4307 + (R$34-600)^2*(0.0000007)*EXP(-4*$Q36)</f>
        <v>0.5230065536837869</v>
      </c>
      <c r="S36">
        <f t="shared" si="6"/>
        <v>0.48402320000000004</v>
      </c>
      <c r="T36">
        <f t="shared" si="6"/>
        <v>0.50134913497057199</v>
      </c>
      <c r="U36">
        <f t="shared" si="6"/>
        <v>0.55332693988228776</v>
      </c>
      <c r="V36">
        <f t="shared" si="6"/>
        <v>0.63995661473514753</v>
      </c>
    </row>
    <row r="37" spans="2:23" x14ac:dyDescent="0.2">
      <c r="B37" s="41" t="s">
        <v>142</v>
      </c>
      <c r="C37" s="42"/>
      <c r="D37" s="42">
        <v>0.40709714188681073</v>
      </c>
      <c r="E37" s="42">
        <v>0.48026505917896667</v>
      </c>
      <c r="F37" s="42">
        <v>0.53620589916500738</v>
      </c>
      <c r="G37" s="42">
        <v>0.63282250818263464</v>
      </c>
      <c r="I37" s="41" t="s">
        <v>124</v>
      </c>
      <c r="J37" s="42">
        <v>0.38291457712317589</v>
      </c>
      <c r="K37" s="42">
        <v>0.55271627711187998</v>
      </c>
      <c r="L37" s="42">
        <v>0.56793755941912116</v>
      </c>
      <c r="M37" s="42">
        <v>0.6407724683742293</v>
      </c>
      <c r="N37" s="42">
        <v>0.68405492569493731</v>
      </c>
      <c r="Q37">
        <v>0.22</v>
      </c>
      <c r="R37">
        <f t="shared" si="7"/>
        <v>0.57495152343593958</v>
      </c>
      <c r="S37">
        <f t="shared" si="6"/>
        <v>0.54882019999999998</v>
      </c>
      <c r="T37">
        <f t="shared" si="6"/>
        <v>0.56043412152708427</v>
      </c>
      <c r="U37">
        <f t="shared" si="6"/>
        <v>0.59527588610833715</v>
      </c>
      <c r="V37">
        <f t="shared" si="6"/>
        <v>0.6533454937437585</v>
      </c>
    </row>
    <row r="38" spans="2:23" x14ac:dyDescent="0.2">
      <c r="B38" s="41" t="s">
        <v>180</v>
      </c>
      <c r="C38" s="42"/>
      <c r="D38" s="42">
        <v>0.53091052496982605</v>
      </c>
      <c r="E38" s="42">
        <v>0.56107498574950898</v>
      </c>
      <c r="F38" s="42">
        <v>0.63649062215315966</v>
      </c>
      <c r="G38" s="42">
        <v>0.68395102978132649</v>
      </c>
      <c r="I38" s="41" t="s">
        <v>126</v>
      </c>
      <c r="J38" s="42">
        <v>0.51882652819594832</v>
      </c>
      <c r="K38" s="42">
        <v>0.62738309285712346</v>
      </c>
      <c r="L38" s="42">
        <v>0.69961924966265077</v>
      </c>
      <c r="M38" s="42">
        <v>0.70808430668357525</v>
      </c>
      <c r="N38" s="42">
        <v>0.74891219651212704</v>
      </c>
      <c r="Q38">
        <v>0.3</v>
      </c>
      <c r="R38">
        <f t="shared" si="7"/>
        <v>0.63296023535046875</v>
      </c>
      <c r="S38">
        <f t="shared" si="6"/>
        <v>0.613985</v>
      </c>
      <c r="T38">
        <f t="shared" si="6"/>
        <v>0.62241843793354168</v>
      </c>
      <c r="U38">
        <f t="shared" si="6"/>
        <v>0.6477187517341666</v>
      </c>
      <c r="V38">
        <f t="shared" si="6"/>
        <v>0.68988594140187498</v>
      </c>
    </row>
    <row r="39" spans="2:23" x14ac:dyDescent="0.2">
      <c r="B39" s="41" t="s">
        <v>143</v>
      </c>
      <c r="C39" s="42"/>
      <c r="D39" s="42">
        <v>0.42028864761672791</v>
      </c>
      <c r="E39" s="42">
        <v>0.49852866337781815</v>
      </c>
      <c r="F39" s="42">
        <v>0.57445493857159113</v>
      </c>
      <c r="G39" s="42">
        <v>0.69308110900649167</v>
      </c>
      <c r="I39" s="41" t="s">
        <v>127</v>
      </c>
      <c r="J39" s="42">
        <v>0.49366074271242955</v>
      </c>
      <c r="K39" s="42">
        <v>0.54290054393928588</v>
      </c>
      <c r="L39" s="42">
        <v>0.58278863997256292</v>
      </c>
      <c r="M39" s="42">
        <v>0.60039486801484576</v>
      </c>
      <c r="N39" s="42">
        <v>0.72804389975119865</v>
      </c>
      <c r="Q39">
        <v>0.71</v>
      </c>
      <c r="R39">
        <f t="shared" si="7"/>
        <v>1.1375683669557637</v>
      </c>
      <c r="S39">
        <f t="shared" si="6"/>
        <v>1.1338875500000001</v>
      </c>
      <c r="T39">
        <f t="shared" si="6"/>
        <v>1.1355234686470062</v>
      </c>
      <c r="U39">
        <f t="shared" si="6"/>
        <v>1.1404312245880242</v>
      </c>
      <c r="V39">
        <f t="shared" si="6"/>
        <v>1.1486108178230543</v>
      </c>
    </row>
    <row r="40" spans="2:23" x14ac:dyDescent="0.2">
      <c r="B40" s="41" t="s">
        <v>181</v>
      </c>
      <c r="C40" s="42"/>
      <c r="D40" s="42">
        <v>0.55660433971734258</v>
      </c>
      <c r="E40" s="42">
        <v>0.59231518828714502</v>
      </c>
      <c r="F40" s="42">
        <v>0.64970251430203241</v>
      </c>
      <c r="G40" s="42">
        <v>0.73373704898045811</v>
      </c>
      <c r="I40" s="41" t="s">
        <v>128</v>
      </c>
      <c r="J40" s="42">
        <v>0.54707048353557997</v>
      </c>
      <c r="K40" s="42">
        <v>0.61910240532566563</v>
      </c>
      <c r="L40" s="42">
        <v>0.68089831509595666</v>
      </c>
      <c r="M40" s="42">
        <v>0.72185193233976908</v>
      </c>
      <c r="N40" s="42">
        <v>0.83571827648168395</v>
      </c>
      <c r="Q40" s="42">
        <v>1</v>
      </c>
      <c r="R40">
        <f t="shared" si="7"/>
        <v>1.6906538852499902</v>
      </c>
      <c r="S40">
        <f t="shared" si="6"/>
        <v>1.6895</v>
      </c>
      <c r="T40">
        <f t="shared" si="6"/>
        <v>1.6900128378888846</v>
      </c>
      <c r="U40">
        <f t="shared" si="6"/>
        <v>1.6915513515555383</v>
      </c>
      <c r="V40">
        <f t="shared" si="6"/>
        <v>1.6941155409999611</v>
      </c>
    </row>
    <row r="41" spans="2:23" x14ac:dyDescent="0.2">
      <c r="B41" s="41" t="s">
        <v>182</v>
      </c>
      <c r="C41" s="42"/>
      <c r="D41" s="42">
        <v>0.45241671372102588</v>
      </c>
      <c r="E41" s="42">
        <v>0.51955794156314306</v>
      </c>
      <c r="F41" s="42">
        <v>0.57243176149399089</v>
      </c>
      <c r="G41" s="42">
        <v>0.65489296619594961</v>
      </c>
      <c r="I41" s="41" t="s">
        <v>129</v>
      </c>
      <c r="J41" s="42">
        <v>0.39924289351289011</v>
      </c>
      <c r="K41" s="42">
        <v>0.56602993455437467</v>
      </c>
      <c r="L41" s="42">
        <v>0.6419560195712678</v>
      </c>
      <c r="M41" s="42">
        <v>0.70126751664195308</v>
      </c>
      <c r="N41" s="42">
        <v>0.72060590646380651</v>
      </c>
    </row>
    <row r="42" spans="2:23" x14ac:dyDescent="0.2">
      <c r="B42" s="41" t="s">
        <v>183</v>
      </c>
      <c r="C42" s="42"/>
      <c r="D42" s="42">
        <v>0.45675368213991324</v>
      </c>
      <c r="E42" s="42">
        <v>0.52162970870728365</v>
      </c>
      <c r="F42" s="42">
        <v>0.58096733552296231</v>
      </c>
      <c r="G42" s="42">
        <v>0.59237335532969071</v>
      </c>
      <c r="I42" s="41" t="s">
        <v>130</v>
      </c>
      <c r="J42" s="42">
        <v>0.43161856030890922</v>
      </c>
      <c r="K42" s="42">
        <v>0.50037857127353857</v>
      </c>
      <c r="L42" s="42">
        <v>0.56225004692575986</v>
      </c>
      <c r="M42" s="42">
        <v>0.59123794250462369</v>
      </c>
      <c r="N42" s="42">
        <v>0.74025110146012341</v>
      </c>
    </row>
    <row r="43" spans="2:23" x14ac:dyDescent="0.2">
      <c r="B43" s="41" t="s">
        <v>147</v>
      </c>
      <c r="C43" s="32" t="e">
        <f t="shared" ref="C43" si="8">AVERAGE(C33:C42)</f>
        <v>#DIV/0!</v>
      </c>
      <c r="D43" s="32">
        <f>AVERAGE(D33:D42)</f>
        <v>0.4579682432107785</v>
      </c>
      <c r="E43" s="32">
        <f>AVERAGE(E33:E42)</f>
        <v>0.51548660386749912</v>
      </c>
      <c r="F43" s="32">
        <f>AVERAGE(F33:F42)</f>
        <v>0.57029890725971977</v>
      </c>
      <c r="G43" s="32">
        <f>AVERAGE(G33:G42)</f>
        <v>0.64074300364768511</v>
      </c>
      <c r="I43" s="41" t="s">
        <v>184</v>
      </c>
      <c r="J43" s="48">
        <f>AVERAGE(J33:J42)</f>
        <v>0.45430182911071287</v>
      </c>
      <c r="K43" s="48">
        <f t="shared" ref="K43:N43" si="9">AVERAGE(K33:K42)</f>
        <v>0.56089608953050774</v>
      </c>
      <c r="L43" s="48">
        <f t="shared" si="9"/>
        <v>0.60716378790701708</v>
      </c>
      <c r="M43" s="48">
        <f t="shared" si="9"/>
        <v>0.64353999733699807</v>
      </c>
      <c r="N43" s="48">
        <f t="shared" si="9"/>
        <v>0.7053722930489974</v>
      </c>
      <c r="R43" t="s">
        <v>190</v>
      </c>
    </row>
    <row r="44" spans="2:23" x14ac:dyDescent="0.2">
      <c r="R44">
        <f>ABS(R35-R6)</f>
        <v>4.3700000000000017E-2</v>
      </c>
      <c r="S44">
        <f t="shared" ref="S44:V44" si="10">ABS(S35-S6)</f>
        <v>1.1740761335890526E-3</v>
      </c>
      <c r="T44">
        <f t="shared" si="10"/>
        <v>4.6882229419580645E-2</v>
      </c>
      <c r="U44">
        <f t="shared" si="10"/>
        <v>8.3511663467483732E-4</v>
      </c>
      <c r="V44">
        <f t="shared" si="10"/>
        <v>2.8183950782370126E-2</v>
      </c>
    </row>
    <row r="45" spans="2:23" x14ac:dyDescent="0.2">
      <c r="R45">
        <f t="shared" ref="R45:V45" si="11">ABS(R36-R7)</f>
        <v>3.300655368378691E-2</v>
      </c>
      <c r="S45">
        <f t="shared" si="11"/>
        <v>2.6054956789221539E-2</v>
      </c>
      <c r="T45">
        <f t="shared" si="11"/>
        <v>1.413746889692713E-2</v>
      </c>
      <c r="U45">
        <f t="shared" si="11"/>
        <v>1.6971967377432007E-2</v>
      </c>
      <c r="V45">
        <f t="shared" si="11"/>
        <v>7.8638891253757226E-4</v>
      </c>
    </row>
    <row r="46" spans="2:23" x14ac:dyDescent="0.2">
      <c r="R46">
        <f t="shared" ref="R46:V46" si="12">ABS(R37-R8)</f>
        <v>0.12064969432522671</v>
      </c>
      <c r="S46">
        <f t="shared" si="12"/>
        <v>1.2075889530507755E-2</v>
      </c>
      <c r="T46">
        <f t="shared" si="12"/>
        <v>4.672966637993281E-2</v>
      </c>
      <c r="U46">
        <f t="shared" si="12"/>
        <v>4.8264111228660922E-2</v>
      </c>
      <c r="V46">
        <f t="shared" si="12"/>
        <v>5.2026799305238902E-2</v>
      </c>
    </row>
    <row r="47" spans="2:23" x14ac:dyDescent="0.2">
      <c r="R47">
        <f t="shared" ref="R47:V47" si="13">ABS(R38-R9)</f>
        <v>6.1873569006355211E-2</v>
      </c>
      <c r="S47">
        <f t="shared" si="13"/>
        <v>4.5434139256027906E-2</v>
      </c>
      <c r="T47">
        <f t="shared" si="13"/>
        <v>5.1792879156252414E-2</v>
      </c>
      <c r="U47">
        <f t="shared" si="13"/>
        <v>5.1406482702980649E-2</v>
      </c>
      <c r="V47">
        <f t="shared" si="13"/>
        <v>4.7821160375431715E-2</v>
      </c>
    </row>
    <row r="48" spans="2:23" x14ac:dyDescent="0.2">
      <c r="R48">
        <f t="shared" ref="R48:V48" si="14">ABS(R39-R10)</f>
        <v>3.1486745634518254E-2</v>
      </c>
      <c r="S48">
        <f t="shared" si="14"/>
        <v>3.216529256332179E-2</v>
      </c>
      <c r="T48">
        <f t="shared" si="14"/>
        <v>1.2013604913406084E-2</v>
      </c>
      <c r="U48">
        <f t="shared" si="14"/>
        <v>4.3534305949988195E-4</v>
      </c>
      <c r="V48">
        <f t="shared" si="14"/>
        <v>1.3224015163373126E-2</v>
      </c>
    </row>
    <row r="51" spans="13:13" x14ac:dyDescent="0.2">
      <c r="M51" t="s">
        <v>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P375"/>
  <sheetViews>
    <sheetView workbookViewId="0">
      <selection activeCell="I8" sqref="I8:I17"/>
    </sheetView>
  </sheetViews>
  <sheetFormatPr baseColWidth="10" defaultRowHeight="16" x14ac:dyDescent="0.2"/>
  <sheetData>
    <row r="1" spans="1:10" x14ac:dyDescent="0.2">
      <c r="A1" t="s">
        <v>0</v>
      </c>
      <c r="C1" t="s">
        <v>1</v>
      </c>
      <c r="D1" t="s">
        <v>2</v>
      </c>
    </row>
    <row r="3" spans="1:10" x14ac:dyDescent="0.2">
      <c r="F3" t="s">
        <v>29</v>
      </c>
      <c r="G3" t="s">
        <v>30</v>
      </c>
    </row>
    <row r="4" spans="1:10" x14ac:dyDescent="0.2">
      <c r="E4">
        <v>600</v>
      </c>
      <c r="F4">
        <f>E31</f>
        <v>-4.1201358984000001</v>
      </c>
      <c r="G4">
        <f>E45</f>
        <v>-6.8129961863403325</v>
      </c>
    </row>
    <row r="6" spans="1:10" x14ac:dyDescent="0.2">
      <c r="C6" t="s">
        <v>11</v>
      </c>
    </row>
    <row r="7" spans="1:10" x14ac:dyDescent="0.2">
      <c r="C7" t="s">
        <v>5</v>
      </c>
      <c r="D7" t="s">
        <v>7</v>
      </c>
      <c r="E7" t="s">
        <v>6</v>
      </c>
      <c r="F7" t="s">
        <v>8</v>
      </c>
      <c r="G7" t="s">
        <v>12</v>
      </c>
      <c r="H7" t="s">
        <v>14</v>
      </c>
      <c r="I7" t="s">
        <v>13</v>
      </c>
    </row>
    <row r="8" spans="1:10" x14ac:dyDescent="0.2">
      <c r="B8">
        <v>600</v>
      </c>
      <c r="C8">
        <v>-9348.1864650000007</v>
      </c>
      <c r="D8">
        <v>39610.960368</v>
      </c>
      <c r="E8">
        <f t="shared" ref="E8:E17" si="0">C8/2000</f>
        <v>-4.6740932325000006</v>
      </c>
      <c r="F8">
        <f t="shared" ref="F8:F17" si="1">D8/2000</f>
        <v>19.805480184</v>
      </c>
      <c r="G8">
        <f>C8-2000*(I8*$G$4+(1-I8)*F$4)</f>
        <v>71.558137917865679</v>
      </c>
      <c r="H8">
        <f>G8/2000</f>
        <v>3.577906895893284E-2</v>
      </c>
      <c r="I8">
        <f>438/2000</f>
        <v>0.219</v>
      </c>
      <c r="J8">
        <f>(F8*2)^(1/3)</f>
        <v>3.4088282787537043</v>
      </c>
    </row>
    <row r="9" spans="1:10" x14ac:dyDescent="0.2">
      <c r="C9">
        <v>-9346.1905659999993</v>
      </c>
      <c r="D9">
        <v>39612.487768999999</v>
      </c>
      <c r="E9">
        <f t="shared" si="0"/>
        <v>-4.6730952829999994</v>
      </c>
      <c r="F9">
        <f t="shared" si="1"/>
        <v>19.806243884499999</v>
      </c>
      <c r="G9">
        <f t="shared" ref="G9:G17" si="2">C9-2000*(I9*$G$4+(1-I9)*F$4)</f>
        <v>70.861176629925467</v>
      </c>
      <c r="H9">
        <f t="shared" ref="H9:H17" si="3">G9/2000</f>
        <v>3.5430588314962735E-2</v>
      </c>
      <c r="I9">
        <f>437/2000</f>
        <v>0.2185</v>
      </c>
      <c r="J9">
        <f t="shared" ref="J9:J17" si="4">(F9*2)^(1/3)</f>
        <v>3.4088720930646255</v>
      </c>
    </row>
    <row r="10" spans="1:10" x14ac:dyDescent="0.2">
      <c r="C10">
        <v>-9354.9392459999999</v>
      </c>
      <c r="D10">
        <v>39602.849089000003</v>
      </c>
      <c r="E10">
        <f t="shared" si="0"/>
        <v>-4.6774696230000004</v>
      </c>
      <c r="F10">
        <f t="shared" si="1"/>
        <v>19.801424544500001</v>
      </c>
      <c r="G10">
        <f t="shared" si="2"/>
        <v>70.191077493745979</v>
      </c>
      <c r="H10">
        <f t="shared" si="3"/>
        <v>3.509553874687299E-2</v>
      </c>
      <c r="I10">
        <f>440/2000</f>
        <v>0.22</v>
      </c>
      <c r="J10">
        <f t="shared" si="4"/>
        <v>3.4085955835222408</v>
      </c>
    </row>
    <row r="11" spans="1:10" x14ac:dyDescent="0.2">
      <c r="C11">
        <v>-9421.7953809999999</v>
      </c>
      <c r="D11">
        <v>39424.864901000001</v>
      </c>
      <c r="E11">
        <f t="shared" si="0"/>
        <v>-4.7108976904999995</v>
      </c>
      <c r="F11">
        <f t="shared" si="1"/>
        <v>19.7124324505</v>
      </c>
      <c r="G11">
        <f t="shared" si="2"/>
        <v>78.735030556075799</v>
      </c>
      <c r="H11">
        <f t="shared" si="3"/>
        <v>3.9367515278037897E-2</v>
      </c>
      <c r="I11">
        <f>468/2000</f>
        <v>0.23400000000000001</v>
      </c>
      <c r="J11">
        <f t="shared" si="4"/>
        <v>3.4034815807517913</v>
      </c>
    </row>
    <row r="12" spans="1:10" x14ac:dyDescent="0.2">
      <c r="C12">
        <v>-9356.4033220000001</v>
      </c>
      <c r="D12">
        <v>39602.594922999997</v>
      </c>
      <c r="E12">
        <f t="shared" si="0"/>
        <v>-4.6782016610000001</v>
      </c>
      <c r="F12">
        <f t="shared" si="1"/>
        <v>19.801297461499999</v>
      </c>
      <c r="G12">
        <f t="shared" si="2"/>
        <v>74.112722069627125</v>
      </c>
      <c r="H12">
        <f t="shared" si="3"/>
        <v>3.7056361034813565E-2</v>
      </c>
      <c r="I12">
        <f>442/2000</f>
        <v>0.221</v>
      </c>
      <c r="J12">
        <f t="shared" si="4"/>
        <v>3.4085882915303904</v>
      </c>
    </row>
    <row r="13" spans="1:10" x14ac:dyDescent="0.2">
      <c r="C13">
        <v>-9363.0155799999993</v>
      </c>
      <c r="D13">
        <v>39582.974419999999</v>
      </c>
      <c r="E13">
        <f t="shared" si="0"/>
        <v>-4.6815077899999995</v>
      </c>
      <c r="F13">
        <f t="shared" si="1"/>
        <v>19.79148721</v>
      </c>
      <c r="G13">
        <f t="shared" si="2"/>
        <v>75.579044933447221</v>
      </c>
      <c r="H13">
        <f t="shared" si="3"/>
        <v>3.778952246672361E-2</v>
      </c>
      <c r="I13">
        <f>445/2000</f>
        <v>0.2225</v>
      </c>
      <c r="J13">
        <f t="shared" si="4"/>
        <v>3.4080252874766659</v>
      </c>
    </row>
    <row r="14" spans="1:10" x14ac:dyDescent="0.2">
      <c r="C14">
        <v>-9471.4195159999999</v>
      </c>
      <c r="D14">
        <v>39287.046720999999</v>
      </c>
      <c r="E14">
        <f t="shared" si="0"/>
        <v>-4.7357097579999996</v>
      </c>
      <c r="F14">
        <f t="shared" si="1"/>
        <v>19.643523360499998</v>
      </c>
      <c r="G14">
        <f t="shared" si="2"/>
        <v>77.582380739002474</v>
      </c>
      <c r="H14">
        <f t="shared" si="3"/>
        <v>3.8791190369501238E-2</v>
      </c>
      <c r="I14">
        <f>486/2000</f>
        <v>0.24299999999999999</v>
      </c>
      <c r="J14">
        <f t="shared" si="4"/>
        <v>3.399511080821477</v>
      </c>
    </row>
    <row r="15" spans="1:10" x14ac:dyDescent="0.2">
      <c r="C15">
        <v>-9339.6791319999993</v>
      </c>
      <c r="D15">
        <v>39635.011098000003</v>
      </c>
      <c r="E15">
        <f t="shared" si="0"/>
        <v>-4.6698395659999994</v>
      </c>
      <c r="F15">
        <f t="shared" si="1"/>
        <v>19.817505549</v>
      </c>
      <c r="G15">
        <f t="shared" si="2"/>
        <v>74.679750341985709</v>
      </c>
      <c r="H15">
        <f t="shared" si="3"/>
        <v>3.7339875170992853E-2</v>
      </c>
      <c r="I15">
        <f>436/2000</f>
        <v>0.218</v>
      </c>
      <c r="J15">
        <f t="shared" si="4"/>
        <v>3.4095180560306484</v>
      </c>
    </row>
    <row r="16" spans="1:10" x14ac:dyDescent="0.2">
      <c r="C16">
        <v>-9409.2537179999999</v>
      </c>
      <c r="D16">
        <v>39471.128800999999</v>
      </c>
      <c r="E16">
        <f t="shared" si="0"/>
        <v>-4.7046268590000002</v>
      </c>
      <c r="F16">
        <f t="shared" si="1"/>
        <v>19.735564400499999</v>
      </c>
      <c r="G16">
        <f t="shared" si="2"/>
        <v>77.812392116373303</v>
      </c>
      <c r="H16">
        <f t="shared" si="3"/>
        <v>3.8906196058186654E-2</v>
      </c>
      <c r="I16">
        <f>463/2000</f>
        <v>0.23150000000000001</v>
      </c>
      <c r="J16">
        <f t="shared" si="4"/>
        <v>3.4048123549653009</v>
      </c>
    </row>
    <row r="17" spans="2:28" x14ac:dyDescent="0.2">
      <c r="C17">
        <v>-9344.4830509999993</v>
      </c>
      <c r="D17">
        <v>39612.318264000001</v>
      </c>
      <c r="E17">
        <f t="shared" si="0"/>
        <v>-4.6722415254999996</v>
      </c>
      <c r="F17">
        <f t="shared" si="1"/>
        <v>19.806159132000001</v>
      </c>
      <c r="G17">
        <f t="shared" si="2"/>
        <v>72.568691629925524</v>
      </c>
      <c r="H17">
        <f t="shared" si="3"/>
        <v>3.628434581496276E-2</v>
      </c>
      <c r="I17">
        <f>437/2000</f>
        <v>0.2185</v>
      </c>
      <c r="J17">
        <f t="shared" si="4"/>
        <v>3.4088672307790104</v>
      </c>
    </row>
    <row r="19" spans="2:28" x14ac:dyDescent="0.2">
      <c r="C19" t="s">
        <v>29</v>
      </c>
    </row>
    <row r="20" spans="2:28" x14ac:dyDescent="0.2">
      <c r="C20" t="s">
        <v>5</v>
      </c>
      <c r="D20" t="s">
        <v>7</v>
      </c>
      <c r="E20" t="s">
        <v>6</v>
      </c>
      <c r="F20" t="s">
        <v>8</v>
      </c>
    </row>
    <row r="21" spans="2:28" x14ac:dyDescent="0.2">
      <c r="B21">
        <v>600</v>
      </c>
      <c r="C21">
        <v>-8240.0075379999998</v>
      </c>
      <c r="D21">
        <v>43535.888924999999</v>
      </c>
      <c r="E21">
        <f t="shared" ref="E21:F27" si="5">C21/2000</f>
        <v>-4.1200037690000002</v>
      </c>
      <c r="F21">
        <f t="shared" si="5"/>
        <v>21.767944462500001</v>
      </c>
    </row>
    <row r="22" spans="2:28" x14ac:dyDescent="0.2">
      <c r="C22">
        <v>-8240.1274909999993</v>
      </c>
      <c r="D22">
        <v>43535.978663000002</v>
      </c>
      <c r="E22">
        <f t="shared" si="5"/>
        <v>-4.1200637454999995</v>
      </c>
      <c r="F22">
        <f t="shared" si="5"/>
        <v>21.767989331500001</v>
      </c>
    </row>
    <row r="23" spans="2:28" x14ac:dyDescent="0.2">
      <c r="C23">
        <v>-8239.9238650000007</v>
      </c>
      <c r="D23">
        <v>43528.139659</v>
      </c>
      <c r="E23">
        <f t="shared" si="5"/>
        <v>-4.1199619325000008</v>
      </c>
      <c r="F23">
        <f t="shared" si="5"/>
        <v>21.764069829499999</v>
      </c>
    </row>
    <row r="24" spans="2:28" x14ac:dyDescent="0.2">
      <c r="C24">
        <v>-8240.7214600000007</v>
      </c>
      <c r="D24">
        <v>43531.939246000002</v>
      </c>
      <c r="E24">
        <f t="shared" si="5"/>
        <v>-4.1203607300000007</v>
      </c>
      <c r="F24">
        <f t="shared" si="5"/>
        <v>21.765969623</v>
      </c>
    </row>
    <row r="25" spans="2:28" x14ac:dyDescent="0.2">
      <c r="C25">
        <v>-8241.0163300000004</v>
      </c>
      <c r="D25">
        <v>43540.080040000001</v>
      </c>
      <c r="E25">
        <f t="shared" si="5"/>
        <v>-4.1205081650000004</v>
      </c>
      <c r="F25">
        <f t="shared" si="5"/>
        <v>21.77004002</v>
      </c>
      <c r="L25" t="s">
        <v>16</v>
      </c>
      <c r="X25" t="s">
        <v>25</v>
      </c>
      <c r="Y25" t="s">
        <v>24</v>
      </c>
    </row>
    <row r="26" spans="2:28" x14ac:dyDescent="0.2">
      <c r="C26">
        <v>-8241.2039229999991</v>
      </c>
      <c r="D26">
        <v>43538.190944000002</v>
      </c>
      <c r="E26">
        <f t="shared" si="5"/>
        <v>-4.1206019614999994</v>
      </c>
      <c r="F26">
        <f t="shared" si="5"/>
        <v>21.769095472</v>
      </c>
      <c r="L26" t="s">
        <v>18</v>
      </c>
      <c r="M26" t="s">
        <v>5</v>
      </c>
      <c r="N26" t="s">
        <v>7</v>
      </c>
      <c r="O26" t="s">
        <v>19</v>
      </c>
      <c r="P26" t="s">
        <v>20</v>
      </c>
      <c r="Q26" t="s">
        <v>21</v>
      </c>
      <c r="R26" t="s">
        <v>22</v>
      </c>
      <c r="S26" t="s">
        <v>108</v>
      </c>
      <c r="T26" t="s">
        <v>4</v>
      </c>
      <c r="U26" t="s">
        <v>10</v>
      </c>
      <c r="V26" t="s">
        <v>13</v>
      </c>
      <c r="W26" t="s">
        <v>26</v>
      </c>
      <c r="X26" t="s">
        <v>12</v>
      </c>
      <c r="Y26" t="s">
        <v>23</v>
      </c>
      <c r="Z26" t="s">
        <v>23</v>
      </c>
    </row>
    <row r="27" spans="2:28" x14ac:dyDescent="0.2">
      <c r="C27">
        <v>-8239.9798389999996</v>
      </c>
      <c r="D27">
        <v>43535.941423999997</v>
      </c>
      <c r="E27">
        <f t="shared" si="5"/>
        <v>-4.1199899195</v>
      </c>
      <c r="F27">
        <f t="shared" si="5"/>
        <v>21.767970711999997</v>
      </c>
      <c r="K27" t="s">
        <v>17</v>
      </c>
      <c r="L27">
        <v>520.537057</v>
      </c>
      <c r="M27">
        <v>-17642.766398</v>
      </c>
      <c r="N27">
        <v>74888.616513999994</v>
      </c>
      <c r="O27">
        <v>-0.485122</v>
      </c>
      <c r="P27">
        <v>30.505989</v>
      </c>
      <c r="Q27">
        <v>90.442599000000001</v>
      </c>
      <c r="R27">
        <v>27.143025999999999</v>
      </c>
      <c r="S27">
        <f>2*R27*P27</f>
        <v>1656.0497051654279</v>
      </c>
      <c r="T27">
        <v>2932</v>
      </c>
      <c r="U27">
        <v>844</v>
      </c>
      <c r="V27">
        <f t="shared" ref="V27:V61" si="6">U27/(U27+T27)</f>
        <v>0.22351694915254236</v>
      </c>
      <c r="W27">
        <f t="shared" ref="W27:W61" si="7">-4.1148-2.5513*V27</f>
        <v>-4.6850587923728808</v>
      </c>
      <c r="X27">
        <f t="shared" ref="X27:X61" si="8">M27-(SUM(T27:U27)*W27)</f>
        <v>48.01560199999949</v>
      </c>
      <c r="Y27">
        <f t="shared" ref="Y27:Y61" si="9">X27/(2*P27*R27)</f>
        <v>2.8994058481597969E-2</v>
      </c>
      <c r="Z27">
        <f t="shared" ref="Z27:Z42" si="10">Y27*16.02</f>
        <v>0.46448481687519944</v>
      </c>
    </row>
    <row r="28" spans="2:28" x14ac:dyDescent="0.2">
      <c r="C28">
        <v>-8240.2889109999996</v>
      </c>
      <c r="D28">
        <v>43526.343825999997</v>
      </c>
      <c r="E28">
        <f t="shared" ref="E28:F30" si="11">C28/2000</f>
        <v>-4.1201444555000002</v>
      </c>
      <c r="F28">
        <f t="shared" si="11"/>
        <v>21.763171912999997</v>
      </c>
      <c r="L28">
        <v>520.53656699999999</v>
      </c>
      <c r="M28">
        <v>-17569.264652000002</v>
      </c>
      <c r="N28">
        <v>75083.319650999998</v>
      </c>
      <c r="O28">
        <v>-0.53683099999999995</v>
      </c>
      <c r="P28">
        <v>30.570526999999998</v>
      </c>
      <c r="Q28">
        <v>90.440066999999999</v>
      </c>
      <c r="R28">
        <v>27.156915000000001</v>
      </c>
      <c r="S28">
        <f t="shared" ref="S28:S72" si="12">2*R28*P28</f>
        <v>1660.40240648841</v>
      </c>
      <c r="T28">
        <v>2959</v>
      </c>
      <c r="U28">
        <v>817</v>
      </c>
      <c r="V28">
        <f t="shared" si="6"/>
        <v>0.21636652542372881</v>
      </c>
      <c r="W28">
        <f t="shared" si="7"/>
        <v>-4.666815916313559</v>
      </c>
      <c r="X28">
        <f t="shared" si="8"/>
        <v>52.632247999998071</v>
      </c>
      <c r="Y28">
        <f t="shared" si="9"/>
        <v>3.1698489350729241E-2</v>
      </c>
      <c r="Z28">
        <f t="shared" si="10"/>
        <v>0.50780979939868243</v>
      </c>
    </row>
    <row r="29" spans="2:28" x14ac:dyDescent="0.2">
      <c r="C29">
        <v>-8239.5645229999991</v>
      </c>
      <c r="D29">
        <v>43513.431199999999</v>
      </c>
      <c r="E29">
        <f t="shared" si="11"/>
        <v>-4.1197822614999993</v>
      </c>
      <c r="F29">
        <f t="shared" si="11"/>
        <v>21.7567156</v>
      </c>
      <c r="L29">
        <v>520.63651800000002</v>
      </c>
      <c r="M29">
        <v>-17650.209042999999</v>
      </c>
      <c r="N29">
        <v>74899.153936999995</v>
      </c>
      <c r="O29">
        <v>-0.52457600000000004</v>
      </c>
      <c r="P29">
        <v>30.506536000000001</v>
      </c>
      <c r="Q29">
        <v>90.417993999999993</v>
      </c>
      <c r="R29">
        <v>27.153751</v>
      </c>
      <c r="S29">
        <f t="shared" si="12"/>
        <v>1656.733764833072</v>
      </c>
      <c r="T29">
        <v>2923</v>
      </c>
      <c r="U29">
        <v>853</v>
      </c>
      <c r="V29">
        <f t="shared" si="6"/>
        <v>0.22590042372881355</v>
      </c>
      <c r="W29">
        <f t="shared" si="7"/>
        <v>-4.691139751059322</v>
      </c>
      <c r="X29">
        <f t="shared" si="8"/>
        <v>63.534657000000152</v>
      </c>
      <c r="Y29">
        <f t="shared" si="9"/>
        <v>3.834934637575986E-2</v>
      </c>
      <c r="Z29">
        <f t="shared" si="10"/>
        <v>0.61435652893967296</v>
      </c>
    </row>
    <row r="30" spans="2:28" x14ac:dyDescent="0.2">
      <c r="C30">
        <v>-8239.8840880000007</v>
      </c>
      <c r="D30">
        <v>43525.584354999999</v>
      </c>
      <c r="E30">
        <f t="shared" si="11"/>
        <v>-4.1199420440000001</v>
      </c>
      <c r="F30">
        <f t="shared" si="11"/>
        <v>21.7627921775</v>
      </c>
      <c r="L30">
        <v>520.48907899999995</v>
      </c>
      <c r="M30">
        <v>-17547.356394999999</v>
      </c>
      <c r="N30">
        <v>75149.978774000003</v>
      </c>
      <c r="O30">
        <v>-0.62622999999999995</v>
      </c>
      <c r="P30">
        <v>30.569734</v>
      </c>
      <c r="Q30">
        <v>90.341860999999994</v>
      </c>
      <c r="R30">
        <v>27.211275000000001</v>
      </c>
      <c r="S30">
        <f t="shared" si="12"/>
        <v>1663.6828771017001</v>
      </c>
      <c r="T30">
        <v>2967</v>
      </c>
      <c r="U30">
        <v>809</v>
      </c>
      <c r="V30">
        <f t="shared" si="6"/>
        <v>0.2142478813559322</v>
      </c>
      <c r="W30">
        <f t="shared" si="7"/>
        <v>-4.6614106197033891</v>
      </c>
      <c r="X30">
        <f t="shared" si="8"/>
        <v>54.130105000000185</v>
      </c>
      <c r="Y30">
        <f t="shared" si="9"/>
        <v>3.2536311904766475E-2</v>
      </c>
      <c r="Z30">
        <f t="shared" si="10"/>
        <v>0.52123171671435897</v>
      </c>
    </row>
    <row r="31" spans="2:28" x14ac:dyDescent="0.2">
      <c r="E31">
        <f>AVERAGE(E21:E30)</f>
        <v>-4.1201358984000001</v>
      </c>
      <c r="L31">
        <v>520.65290600000003</v>
      </c>
      <c r="M31">
        <v>-17568.760321000002</v>
      </c>
      <c r="N31">
        <v>75088.289489999996</v>
      </c>
      <c r="O31">
        <v>-0.54341899999999999</v>
      </c>
      <c r="P31">
        <v>30.549527999999999</v>
      </c>
      <c r="Q31">
        <v>90.520568999999995</v>
      </c>
      <c r="R31">
        <v>27.153206000000001</v>
      </c>
      <c r="S31">
        <f t="shared" si="12"/>
        <v>1659.0352539735359</v>
      </c>
      <c r="T31">
        <v>2959</v>
      </c>
      <c r="U31">
        <v>817</v>
      </c>
      <c r="V31">
        <f t="shared" si="6"/>
        <v>0.21636652542372881</v>
      </c>
      <c r="W31">
        <f t="shared" si="7"/>
        <v>-4.666815916313559</v>
      </c>
      <c r="X31">
        <f t="shared" si="8"/>
        <v>53.136578999998164</v>
      </c>
      <c r="Y31">
        <f t="shared" si="9"/>
        <v>3.2028601485550937E-2</v>
      </c>
      <c r="Z31">
        <f t="shared" si="10"/>
        <v>0.513098195798526</v>
      </c>
      <c r="AA31" s="16">
        <f>AVERAGE(Z27:Z31)</f>
        <v>0.52419621154528806</v>
      </c>
      <c r="AB31">
        <f>STDEV(Z27:Z31)</f>
        <v>5.4988185486201768E-2</v>
      </c>
    </row>
    <row r="32" spans="2:28" x14ac:dyDescent="0.2">
      <c r="K32" t="s">
        <v>35</v>
      </c>
      <c r="L32">
        <v>520.61956899999996</v>
      </c>
      <c r="M32">
        <v>-8905.5040069999995</v>
      </c>
      <c r="N32">
        <v>37721.855860000003</v>
      </c>
      <c r="O32">
        <v>-1.199322</v>
      </c>
      <c r="P32">
        <v>30.640238</v>
      </c>
      <c r="Q32">
        <v>182.96765500000001</v>
      </c>
      <c r="R32">
        <v>6.7286450000000002</v>
      </c>
      <c r="S32">
        <f t="shared" si="12"/>
        <v>412.33456843502</v>
      </c>
      <c r="T32">
        <v>1478</v>
      </c>
      <c r="U32">
        <v>426</v>
      </c>
      <c r="V32">
        <f t="shared" si="6"/>
        <v>0.22373949579831934</v>
      </c>
      <c r="W32">
        <f t="shared" si="7"/>
        <v>-4.685626575630252</v>
      </c>
      <c r="X32">
        <f t="shared" si="8"/>
        <v>15.928992999999537</v>
      </c>
      <c r="Y32">
        <f t="shared" si="9"/>
        <v>3.8631233516162967E-2</v>
      </c>
      <c r="Z32">
        <f t="shared" si="10"/>
        <v>0.61887236092893072</v>
      </c>
    </row>
    <row r="33" spans="2:42" x14ac:dyDescent="0.2">
      <c r="C33" t="s">
        <v>30</v>
      </c>
      <c r="K33" t="s">
        <v>81</v>
      </c>
      <c r="L33">
        <v>520.43634599999996</v>
      </c>
      <c r="M33">
        <v>-8881.1114020000005</v>
      </c>
      <c r="N33">
        <v>37789.979455000001</v>
      </c>
      <c r="O33">
        <v>-0.87817900000000004</v>
      </c>
      <c r="P33">
        <v>30.688431999999999</v>
      </c>
      <c r="Q33">
        <v>182.809282</v>
      </c>
      <c r="R33">
        <v>6.736046</v>
      </c>
      <c r="S33">
        <f t="shared" si="12"/>
        <v>413.43737923974396</v>
      </c>
      <c r="T33">
        <v>1488</v>
      </c>
      <c r="U33">
        <v>416</v>
      </c>
      <c r="V33">
        <f t="shared" si="6"/>
        <v>0.21848739495798319</v>
      </c>
      <c r="W33">
        <f t="shared" si="7"/>
        <v>-4.6722268907563027</v>
      </c>
      <c r="X33">
        <f t="shared" si="8"/>
        <v>14.80859799999962</v>
      </c>
      <c r="Y33">
        <f t="shared" si="9"/>
        <v>3.5818236917113423E-2</v>
      </c>
      <c r="Z33">
        <f t="shared" si="10"/>
        <v>0.57380815541215702</v>
      </c>
    </row>
    <row r="34" spans="2:42" x14ac:dyDescent="0.2">
      <c r="C34" t="s">
        <v>5</v>
      </c>
      <c r="D34" t="s">
        <v>7</v>
      </c>
      <c r="E34" t="s">
        <v>6</v>
      </c>
      <c r="F34" t="s">
        <v>8</v>
      </c>
      <c r="K34" t="s">
        <v>82</v>
      </c>
      <c r="L34">
        <v>520.65202899999997</v>
      </c>
      <c r="M34">
        <v>-8885.993058</v>
      </c>
      <c r="N34">
        <v>37791.502103999999</v>
      </c>
      <c r="O34">
        <v>-1.0784819999999999</v>
      </c>
      <c r="P34">
        <v>30.696871999999999</v>
      </c>
      <c r="Q34">
        <v>182.745508</v>
      </c>
      <c r="R34">
        <v>6.7368189999999997</v>
      </c>
      <c r="S34">
        <f t="shared" si="12"/>
        <v>413.59854106033595</v>
      </c>
      <c r="T34">
        <v>1485</v>
      </c>
      <c r="U34">
        <v>419</v>
      </c>
      <c r="V34">
        <f t="shared" si="6"/>
        <v>0.22006302521008403</v>
      </c>
      <c r="W34">
        <f t="shared" si="7"/>
        <v>-4.6762467962184875</v>
      </c>
      <c r="X34">
        <f t="shared" si="8"/>
        <v>17.580841999999393</v>
      </c>
      <c r="Y34">
        <f t="shared" si="9"/>
        <v>4.2507021313294945E-2</v>
      </c>
      <c r="Z34">
        <f t="shared" si="10"/>
        <v>0.68096248143898497</v>
      </c>
    </row>
    <row r="35" spans="2:42" x14ac:dyDescent="0.2">
      <c r="B35">
        <v>600</v>
      </c>
      <c r="C35">
        <v>-55811.950879999997</v>
      </c>
      <c r="D35">
        <v>129429.26321999999</v>
      </c>
      <c r="E35">
        <f>C35/8192</f>
        <v>-6.8129822851562496</v>
      </c>
      <c r="F35">
        <f>D35/8192</f>
        <v>15.799470607910155</v>
      </c>
      <c r="K35" t="s">
        <v>83</v>
      </c>
      <c r="L35">
        <v>520.57476499999996</v>
      </c>
      <c r="M35">
        <v>-8839.1005929999992</v>
      </c>
      <c r="N35">
        <v>37913.580977999998</v>
      </c>
      <c r="O35">
        <v>-1.019531</v>
      </c>
      <c r="P35">
        <v>30.714883</v>
      </c>
      <c r="Q35">
        <v>183.025127</v>
      </c>
      <c r="R35">
        <v>6.7443030000000004</v>
      </c>
      <c r="S35">
        <f t="shared" si="12"/>
        <v>414.30095512309805</v>
      </c>
      <c r="T35">
        <v>1505</v>
      </c>
      <c r="U35">
        <v>399</v>
      </c>
      <c r="V35">
        <f t="shared" si="6"/>
        <v>0.20955882352941177</v>
      </c>
      <c r="W35">
        <f t="shared" si="7"/>
        <v>-4.6494474264705881</v>
      </c>
      <c r="X35">
        <f t="shared" si="8"/>
        <v>13.447307000000364</v>
      </c>
      <c r="Y35">
        <f t="shared" si="9"/>
        <v>3.2457822830760479E-2</v>
      </c>
      <c r="Z35">
        <f t="shared" si="10"/>
        <v>0.51997432174878289</v>
      </c>
    </row>
    <row r="36" spans="2:42" x14ac:dyDescent="0.2">
      <c r="C36">
        <v>-55811.763112000001</v>
      </c>
      <c r="D36">
        <v>129429.87841999999</v>
      </c>
      <c r="E36">
        <f t="shared" ref="E36:F44" si="13">C36/8192</f>
        <v>-6.8129593642578126</v>
      </c>
      <c r="F36">
        <f t="shared" si="13"/>
        <v>15.799545705566405</v>
      </c>
      <c r="K36" t="s">
        <v>84</v>
      </c>
      <c r="L36">
        <v>520.59808999999996</v>
      </c>
      <c r="M36">
        <v>-8872.2703600000004</v>
      </c>
      <c r="N36">
        <v>37822.903120000003</v>
      </c>
      <c r="O36">
        <v>-1.065734</v>
      </c>
      <c r="P36">
        <v>30.69079</v>
      </c>
      <c r="Q36">
        <v>183.018787</v>
      </c>
      <c r="R36">
        <v>6.7336780000000003</v>
      </c>
      <c r="S36">
        <f t="shared" si="12"/>
        <v>413.32379485124</v>
      </c>
      <c r="T36">
        <v>1492</v>
      </c>
      <c r="U36">
        <v>412</v>
      </c>
      <c r="V36">
        <f t="shared" si="6"/>
        <v>0.21638655462184875</v>
      </c>
      <c r="W36">
        <f t="shared" si="7"/>
        <v>-4.6668670168067221</v>
      </c>
      <c r="X36">
        <f t="shared" si="8"/>
        <v>13.444439999999304</v>
      </c>
      <c r="Y36">
        <f t="shared" si="9"/>
        <v>3.2527621606779529E-2</v>
      </c>
      <c r="Z36">
        <f t="shared" si="10"/>
        <v>0.5210924981406081</v>
      </c>
    </row>
    <row r="37" spans="2:42" x14ac:dyDescent="0.2">
      <c r="C37">
        <v>-55811.880144000002</v>
      </c>
      <c r="D37">
        <v>129429.64041000001</v>
      </c>
      <c r="E37">
        <f t="shared" si="13"/>
        <v>-6.8129736503906253</v>
      </c>
      <c r="F37">
        <f t="shared" si="13"/>
        <v>15.799516651611329</v>
      </c>
      <c r="K37" t="s">
        <v>89</v>
      </c>
      <c r="L37">
        <v>520.58665900000005</v>
      </c>
      <c r="M37">
        <v>-8813.1035460000003</v>
      </c>
      <c r="N37">
        <v>37953.144554999999</v>
      </c>
      <c r="O37">
        <v>-1.0301210000000001</v>
      </c>
      <c r="P37">
        <v>30.735298</v>
      </c>
      <c r="Q37">
        <v>183.47278900000001</v>
      </c>
      <c r="R37">
        <v>6.7303860000000002</v>
      </c>
      <c r="S37">
        <f t="shared" si="12"/>
        <v>413.72083873005602</v>
      </c>
      <c r="T37">
        <v>1515</v>
      </c>
      <c r="U37">
        <v>389</v>
      </c>
      <c r="V37">
        <f t="shared" si="6"/>
        <v>0.20430672268907563</v>
      </c>
      <c r="W37">
        <f t="shared" si="7"/>
        <v>-4.6360477415966388</v>
      </c>
      <c r="X37">
        <f t="shared" si="8"/>
        <v>13.931354000000283</v>
      </c>
      <c r="Y37">
        <f t="shared" si="9"/>
        <v>3.3673319532957324E-2</v>
      </c>
      <c r="Z37">
        <f t="shared" si="10"/>
        <v>0.53944657891797632</v>
      </c>
    </row>
    <row r="38" spans="2:42" x14ac:dyDescent="0.2">
      <c r="C38">
        <v>-55812.431225</v>
      </c>
      <c r="D38">
        <v>129427.63652099999</v>
      </c>
      <c r="E38">
        <f t="shared" si="13"/>
        <v>-6.8130409210205078</v>
      </c>
      <c r="F38">
        <f t="shared" si="13"/>
        <v>15.799272036254882</v>
      </c>
      <c r="K38" t="s">
        <v>90</v>
      </c>
      <c r="L38">
        <v>520.32996300000002</v>
      </c>
      <c r="M38">
        <v>-8862.4552700000004</v>
      </c>
      <c r="N38">
        <v>37829.507148999997</v>
      </c>
      <c r="O38">
        <v>-1.0235320000000001</v>
      </c>
      <c r="P38">
        <v>30.689450999999998</v>
      </c>
      <c r="Q38">
        <v>182.958618</v>
      </c>
      <c r="R38">
        <v>6.7373630000000002</v>
      </c>
      <c r="S38">
        <f t="shared" si="12"/>
        <v>413.53194331542596</v>
      </c>
      <c r="T38">
        <v>1494</v>
      </c>
      <c r="U38">
        <v>410</v>
      </c>
      <c r="V38">
        <f t="shared" si="6"/>
        <v>0.21533613445378152</v>
      </c>
      <c r="W38">
        <f t="shared" si="7"/>
        <v>-4.6641870798319323</v>
      </c>
      <c r="X38">
        <f t="shared" si="8"/>
        <v>18.156929999999193</v>
      </c>
      <c r="Y38">
        <f t="shared" si="9"/>
        <v>4.3906958805718661E-2</v>
      </c>
      <c r="Z38">
        <f t="shared" si="10"/>
        <v>0.70338948006761293</v>
      </c>
    </row>
    <row r="39" spans="2:42" x14ac:dyDescent="0.2">
      <c r="C39">
        <v>-55812.070253999998</v>
      </c>
      <c r="D39">
        <v>129429.227684</v>
      </c>
      <c r="E39">
        <f t="shared" si="13"/>
        <v>-6.8129968571777342</v>
      </c>
      <c r="F39">
        <f t="shared" si="13"/>
        <v>15.799466270019531</v>
      </c>
      <c r="K39" t="s">
        <v>91</v>
      </c>
      <c r="L39">
        <v>520.43586500000004</v>
      </c>
      <c r="M39">
        <v>-8889.9777090000007</v>
      </c>
      <c r="N39">
        <v>37768.576187999999</v>
      </c>
      <c r="O39">
        <v>-0.77164299999999997</v>
      </c>
      <c r="P39">
        <v>30.627248000000002</v>
      </c>
      <c r="Q39">
        <v>182.623403</v>
      </c>
      <c r="R39">
        <v>6.752548</v>
      </c>
      <c r="S39">
        <f t="shared" si="12"/>
        <v>413.62392445580804</v>
      </c>
      <c r="T39">
        <v>1485</v>
      </c>
      <c r="U39">
        <v>419</v>
      </c>
      <c r="V39">
        <f t="shared" si="6"/>
        <v>0.22006302521008403</v>
      </c>
      <c r="W39">
        <f t="shared" si="7"/>
        <v>-4.6762467962184875</v>
      </c>
      <c r="X39">
        <f t="shared" si="8"/>
        <v>13.596190999998726</v>
      </c>
      <c r="Y39">
        <f t="shared" si="9"/>
        <v>3.2870900825881399E-2</v>
      </c>
      <c r="Z39">
        <f t="shared" si="10"/>
        <v>0.52659183123062003</v>
      </c>
    </row>
    <row r="40" spans="2:42" x14ac:dyDescent="0.2">
      <c r="C40">
        <v>-55812.157223000002</v>
      </c>
      <c r="D40">
        <v>129428.4253</v>
      </c>
      <c r="E40">
        <f t="shared" si="13"/>
        <v>-6.8130074735107424</v>
      </c>
      <c r="F40">
        <f t="shared" si="13"/>
        <v>15.799368322753907</v>
      </c>
      <c r="K40" t="s">
        <v>92</v>
      </c>
      <c r="L40">
        <v>520.74207699999999</v>
      </c>
      <c r="M40">
        <v>-8902.1573339999995</v>
      </c>
      <c r="N40">
        <v>37729.940495000003</v>
      </c>
      <c r="O40">
        <v>-1.2487159999999999</v>
      </c>
      <c r="P40">
        <v>30.638069999999999</v>
      </c>
      <c r="Q40">
        <v>182.60282000000001</v>
      </c>
      <c r="R40">
        <v>6.7440150000000001</v>
      </c>
      <c r="S40">
        <f t="shared" si="12"/>
        <v>413.24720730209998</v>
      </c>
      <c r="T40">
        <v>1479</v>
      </c>
      <c r="U40">
        <v>425</v>
      </c>
      <c r="V40">
        <f t="shared" si="6"/>
        <v>0.22321428571428573</v>
      </c>
      <c r="W40">
        <f t="shared" si="7"/>
        <v>-4.6842866071428571</v>
      </c>
      <c r="X40">
        <f t="shared" si="8"/>
        <v>16.724366000000373</v>
      </c>
      <c r="Y40">
        <f t="shared" si="9"/>
        <v>4.0470608644123766E-2</v>
      </c>
      <c r="Z40">
        <f t="shared" si="10"/>
        <v>0.6483391504788627</v>
      </c>
    </row>
    <row r="41" spans="2:42" x14ac:dyDescent="0.2">
      <c r="C41">
        <v>-55811.737579000001</v>
      </c>
      <c r="D41">
        <v>129428.956918</v>
      </c>
      <c r="E41">
        <f t="shared" si="13"/>
        <v>-6.8129562474365235</v>
      </c>
      <c r="F41">
        <f t="shared" si="13"/>
        <v>15.799433217529296</v>
      </c>
      <c r="K41" t="s">
        <v>93</v>
      </c>
      <c r="L41">
        <v>520.58856300000002</v>
      </c>
      <c r="M41">
        <v>-8834.3543890000001</v>
      </c>
      <c r="N41">
        <v>37908.989846999997</v>
      </c>
      <c r="O41">
        <v>-1.1360809999999999</v>
      </c>
      <c r="P41">
        <v>30.685784999999999</v>
      </c>
      <c r="Q41">
        <v>183.31474499999999</v>
      </c>
      <c r="R41">
        <v>6.7392099999999999</v>
      </c>
      <c r="S41">
        <f t="shared" si="12"/>
        <v>413.59589825969999</v>
      </c>
      <c r="T41">
        <v>1506</v>
      </c>
      <c r="U41">
        <v>398</v>
      </c>
      <c r="V41">
        <f t="shared" si="6"/>
        <v>0.20903361344537816</v>
      </c>
      <c r="W41">
        <f t="shared" si="7"/>
        <v>-4.6481074579831931</v>
      </c>
      <c r="X41">
        <f t="shared" si="8"/>
        <v>15.642211000000316</v>
      </c>
      <c r="Y41">
        <f t="shared" si="9"/>
        <v>3.7820034158507182E-2</v>
      </c>
      <c r="Z41">
        <f t="shared" si="10"/>
        <v>0.60587694721928509</v>
      </c>
      <c r="AA41" s="16">
        <f>AVERAGE(Z32:Z41)</f>
        <v>0.59383538055838214</v>
      </c>
      <c r="AB41" s="16">
        <f>STDEV(Z32:Z41)</f>
        <v>6.8283439056511866E-2</v>
      </c>
    </row>
    <row r="42" spans="2:42" x14ac:dyDescent="0.2">
      <c r="C42">
        <v>-55812.202874000002</v>
      </c>
      <c r="D42">
        <v>129428.369316</v>
      </c>
      <c r="E42">
        <f t="shared" si="13"/>
        <v>-6.8130130461425784</v>
      </c>
      <c r="F42">
        <f t="shared" si="13"/>
        <v>15.799361488769531</v>
      </c>
      <c r="K42" t="s">
        <v>37</v>
      </c>
      <c r="L42">
        <v>520.67042800000002</v>
      </c>
      <c r="M42">
        <v>-13381.925858000001</v>
      </c>
      <c r="N42">
        <v>56538.979492999999</v>
      </c>
      <c r="O42">
        <v>-0.80028299999999997</v>
      </c>
      <c r="P42">
        <v>45.992643000000001</v>
      </c>
      <c r="Q42">
        <v>182.76579799999999</v>
      </c>
      <c r="R42">
        <v>6.7261329999999999</v>
      </c>
      <c r="S42">
        <f t="shared" si="12"/>
        <v>618.705267679038</v>
      </c>
      <c r="T42">
        <v>2208</v>
      </c>
      <c r="U42">
        <v>648</v>
      </c>
      <c r="V42">
        <f t="shared" si="6"/>
        <v>0.22689075630252101</v>
      </c>
      <c r="W42">
        <f t="shared" si="7"/>
        <v>-4.6936663865546215</v>
      </c>
      <c r="X42">
        <f t="shared" si="8"/>
        <v>23.185341999998855</v>
      </c>
      <c r="Y42">
        <f t="shared" si="9"/>
        <v>3.7473968965828448E-2</v>
      </c>
      <c r="Z42">
        <f t="shared" si="10"/>
        <v>0.60033298283257175</v>
      </c>
    </row>
    <row r="43" spans="2:42" x14ac:dyDescent="0.2">
      <c r="C43">
        <v>-55812.425244999999</v>
      </c>
      <c r="D43">
        <v>129427.959615</v>
      </c>
      <c r="E43">
        <f t="shared" si="13"/>
        <v>-6.8130401910400389</v>
      </c>
      <c r="F43">
        <f t="shared" si="13"/>
        <v>15.79931147644043</v>
      </c>
      <c r="K43" t="s">
        <v>85</v>
      </c>
      <c r="L43">
        <v>520.57556899999997</v>
      </c>
      <c r="M43">
        <v>-13296.388523</v>
      </c>
      <c r="N43">
        <v>56754.254077999998</v>
      </c>
      <c r="O43">
        <v>-0.65453399999999995</v>
      </c>
      <c r="P43">
        <v>46.027498999999999</v>
      </c>
      <c r="Q43">
        <v>183.089168</v>
      </c>
      <c r="R43">
        <v>6.7347149999999996</v>
      </c>
      <c r="S43">
        <f t="shared" si="12"/>
        <v>619.96417585556992</v>
      </c>
      <c r="T43">
        <v>2242</v>
      </c>
      <c r="U43">
        <v>614</v>
      </c>
      <c r="V43">
        <f t="shared" si="6"/>
        <v>0.21498599439775912</v>
      </c>
      <c r="W43">
        <f t="shared" si="7"/>
        <v>-4.6632937675070023</v>
      </c>
      <c r="X43">
        <f t="shared" si="8"/>
        <v>21.978476999998747</v>
      </c>
      <c r="Y43">
        <f t="shared" si="9"/>
        <v>3.5451204853357475E-2</v>
      </c>
      <c r="Z43">
        <f t="shared" ref="Z43:Z56" si="14">Y43*16.02</f>
        <v>0.56792830175078668</v>
      </c>
    </row>
    <row r="44" spans="2:42" x14ac:dyDescent="0.2">
      <c r="C44">
        <v>-55812.029048999997</v>
      </c>
      <c r="D44">
        <v>129428.572742</v>
      </c>
      <c r="E44">
        <f t="shared" si="13"/>
        <v>-6.8129918272705075</v>
      </c>
      <c r="F44">
        <f t="shared" si="13"/>
        <v>15.799386321044922</v>
      </c>
      <c r="K44" t="s">
        <v>86</v>
      </c>
      <c r="L44">
        <v>520.539311</v>
      </c>
      <c r="M44">
        <v>-13344.694624</v>
      </c>
      <c r="N44">
        <v>56631.400801000003</v>
      </c>
      <c r="O44">
        <v>-0.65898199999999996</v>
      </c>
      <c r="P44">
        <v>45.980950999999997</v>
      </c>
      <c r="Q44">
        <v>182.84761900000001</v>
      </c>
      <c r="R44">
        <v>6.7358260000000003</v>
      </c>
      <c r="S44">
        <f t="shared" si="12"/>
        <v>619.43937050105194</v>
      </c>
      <c r="T44">
        <v>2221</v>
      </c>
      <c r="U44">
        <v>635</v>
      </c>
      <c r="V44">
        <f t="shared" si="6"/>
        <v>0.22233893557422968</v>
      </c>
      <c r="W44">
        <f t="shared" si="7"/>
        <v>-4.6820533263305322</v>
      </c>
      <c r="X44">
        <f t="shared" si="8"/>
        <v>27.249675999999454</v>
      </c>
      <c r="Y44">
        <f t="shared" si="9"/>
        <v>4.3990868675263153E-2</v>
      </c>
      <c r="Z44">
        <f t="shared" si="14"/>
        <v>0.70473371617771574</v>
      </c>
      <c r="AE44" t="s">
        <v>32</v>
      </c>
      <c r="AF44" t="s">
        <v>29</v>
      </c>
      <c r="AG44" t="s">
        <v>30</v>
      </c>
      <c r="AH44" t="s">
        <v>61</v>
      </c>
      <c r="AL44" t="s">
        <v>32</v>
      </c>
      <c r="AM44" t="s">
        <v>29</v>
      </c>
      <c r="AN44" t="s">
        <v>30</v>
      </c>
    </row>
    <row r="45" spans="2:42" x14ac:dyDescent="0.2">
      <c r="E45">
        <f>AVERAGE(E35:E44)</f>
        <v>-6.8129961863403325</v>
      </c>
      <c r="K45" t="s">
        <v>87</v>
      </c>
      <c r="L45">
        <v>520.66627400000004</v>
      </c>
      <c r="M45">
        <v>-13283.380835</v>
      </c>
      <c r="N45">
        <v>56809.860237000001</v>
      </c>
      <c r="O45">
        <v>-0.73285</v>
      </c>
      <c r="P45">
        <v>46.041891999999997</v>
      </c>
      <c r="Q45">
        <v>183.115893</v>
      </c>
      <c r="R45">
        <v>6.7382220000000004</v>
      </c>
      <c r="S45">
        <f t="shared" si="12"/>
        <v>620.48097919204804</v>
      </c>
      <c r="T45">
        <v>2247</v>
      </c>
      <c r="U45">
        <v>609</v>
      </c>
      <c r="V45">
        <f t="shared" si="6"/>
        <v>0.21323529411764705</v>
      </c>
      <c r="W45">
        <f t="shared" si="7"/>
        <v>-4.6588272058823526</v>
      </c>
      <c r="X45">
        <f t="shared" si="8"/>
        <v>22.229664999998931</v>
      </c>
      <c r="Y45">
        <f t="shared" si="9"/>
        <v>3.5826505155637532E-2</v>
      </c>
      <c r="Z45">
        <f t="shared" si="14"/>
        <v>0.5739406125933133</v>
      </c>
      <c r="AD45" t="s">
        <v>17</v>
      </c>
      <c r="AE45" s="1">
        <v>0.56538596982123235</v>
      </c>
      <c r="AF45" s="1">
        <v>0.34005727712181116</v>
      </c>
      <c r="AG45" s="1">
        <v>1.6110840255766583</v>
      </c>
      <c r="AH45">
        <f>AF45-AG45</f>
        <v>-1.2710267484548472</v>
      </c>
      <c r="AK45" t="s">
        <v>17</v>
      </c>
      <c r="AL45" s="1">
        <v>1.4993004371111849</v>
      </c>
      <c r="AM45" s="1">
        <v>1.1417847241190653</v>
      </c>
      <c r="AN45" s="1">
        <v>4.7582232490558258</v>
      </c>
      <c r="AP45" s="1"/>
    </row>
    <row r="46" spans="2:42" x14ac:dyDescent="0.2">
      <c r="K46" t="s">
        <v>88</v>
      </c>
      <c r="L46">
        <v>520.48024799999996</v>
      </c>
      <c r="M46">
        <v>-13280.458205999999</v>
      </c>
      <c r="N46">
        <v>56808.033810000001</v>
      </c>
      <c r="O46">
        <v>-0.55523800000000001</v>
      </c>
      <c r="P46">
        <v>46.054122999999997</v>
      </c>
      <c r="Q46">
        <v>183.087074</v>
      </c>
      <c r="R46">
        <v>6.7372769999999997</v>
      </c>
      <c r="S46">
        <f t="shared" si="12"/>
        <v>620.55876728614192</v>
      </c>
      <c r="T46">
        <v>2248</v>
      </c>
      <c r="U46">
        <v>608</v>
      </c>
      <c r="V46">
        <f t="shared" si="6"/>
        <v>0.21288515406162464</v>
      </c>
      <c r="W46">
        <f t="shared" si="7"/>
        <v>-4.6579338935574226</v>
      </c>
      <c r="X46">
        <f t="shared" si="8"/>
        <v>22.600994000000355</v>
      </c>
      <c r="Y46">
        <f t="shared" si="9"/>
        <v>3.6420392703240878E-2</v>
      </c>
      <c r="Z46">
        <f t="shared" si="14"/>
        <v>0.58345469110591885</v>
      </c>
      <c r="AA46">
        <f>AVERAGE(Z42:Z46)</f>
        <v>0.60607806089206129</v>
      </c>
      <c r="AB46">
        <f>STDEV(Z42:Z46)</f>
        <v>5.6493319976622047E-2</v>
      </c>
      <c r="AD46" t="s">
        <v>27</v>
      </c>
      <c r="AE46" s="1">
        <v>0.54988961835965766</v>
      </c>
      <c r="AF46" s="1">
        <v>0.34954032574035304</v>
      </c>
      <c r="AG46" s="1">
        <v>1.5532530662965855</v>
      </c>
      <c r="AH46">
        <f>AF46-AG46</f>
        <v>-1.2037127405562325</v>
      </c>
      <c r="AK46" t="s">
        <v>27</v>
      </c>
      <c r="AL46" s="1">
        <v>1.5471450600185022</v>
      </c>
      <c r="AM46" s="1">
        <v>1.1807320121333085</v>
      </c>
      <c r="AN46" s="1">
        <v>4.8118605830360286</v>
      </c>
      <c r="AP46" s="1"/>
    </row>
    <row r="47" spans="2:42" x14ac:dyDescent="0.2">
      <c r="K47" t="s">
        <v>38</v>
      </c>
      <c r="L47">
        <v>520.69146499999999</v>
      </c>
      <c r="M47">
        <v>-11124.090840000001</v>
      </c>
      <c r="N47">
        <v>47061.126680000001</v>
      </c>
      <c r="O47">
        <v>-0.77775899999999998</v>
      </c>
      <c r="P47">
        <v>45.994</v>
      </c>
      <c r="Q47">
        <v>151.887327</v>
      </c>
      <c r="R47">
        <v>6.736599</v>
      </c>
      <c r="S47">
        <f t="shared" si="12"/>
        <v>619.68626881199998</v>
      </c>
      <c r="T47">
        <v>1839</v>
      </c>
      <c r="U47">
        <v>537</v>
      </c>
      <c r="V47">
        <f t="shared" si="6"/>
        <v>0.22601010101010102</v>
      </c>
      <c r="W47">
        <f t="shared" si="7"/>
        <v>-4.6914195707070707</v>
      </c>
      <c r="X47">
        <f t="shared" si="8"/>
        <v>22.722060000000056</v>
      </c>
      <c r="Y47">
        <f t="shared" si="9"/>
        <v>3.6667038053885714E-2</v>
      </c>
      <c r="Z47">
        <f t="shared" si="14"/>
        <v>0.5874059496232491</v>
      </c>
      <c r="AD47" t="s">
        <v>28</v>
      </c>
      <c r="AE47" s="1">
        <v>0.56851294882102754</v>
      </c>
      <c r="AF47" s="1">
        <v>0.43292370677381642</v>
      </c>
      <c r="AG47" s="1">
        <v>1.6162468126163236</v>
      </c>
      <c r="AH47">
        <f>AF47-AG47</f>
        <v>-1.1833231058425073</v>
      </c>
      <c r="AK47" t="s">
        <v>28</v>
      </c>
      <c r="AL47" s="1">
        <v>1.5729436463655997</v>
      </c>
      <c r="AM47" s="1">
        <v>1.1877466988904259</v>
      </c>
      <c r="AN47" s="1">
        <v>4.8390791770074149</v>
      </c>
      <c r="AP47" s="1"/>
    </row>
    <row r="48" spans="2:42" x14ac:dyDescent="0.2">
      <c r="K48" t="s">
        <v>94</v>
      </c>
      <c r="L48">
        <v>520.790031</v>
      </c>
      <c r="M48">
        <v>-11085.217547</v>
      </c>
      <c r="N48">
        <v>47163.706238999999</v>
      </c>
      <c r="O48">
        <v>-0.83487100000000003</v>
      </c>
      <c r="P48">
        <v>46.062342000000001</v>
      </c>
      <c r="Q48">
        <v>152.069512</v>
      </c>
      <c r="R48">
        <v>6.7331890000000003</v>
      </c>
      <c r="S48">
        <f t="shared" si="12"/>
        <v>620.29290893727602</v>
      </c>
      <c r="T48">
        <v>1853</v>
      </c>
      <c r="U48">
        <v>523</v>
      </c>
      <c r="V48">
        <f t="shared" si="6"/>
        <v>0.22011784511784513</v>
      </c>
      <c r="W48">
        <f t="shared" si="7"/>
        <v>-4.6763866582491582</v>
      </c>
      <c r="X48">
        <f t="shared" si="8"/>
        <v>25.877152999999453</v>
      </c>
      <c r="Y48">
        <f t="shared" si="9"/>
        <v>4.1717634728944075E-2</v>
      </c>
      <c r="Z48">
        <f t="shared" si="14"/>
        <v>0.66831650835768408</v>
      </c>
      <c r="AD48" t="s">
        <v>55</v>
      </c>
      <c r="AE48" s="1">
        <v>0.52623986580595583</v>
      </c>
      <c r="AF48" s="1">
        <v>0.42997002822320596</v>
      </c>
      <c r="AG48" s="1">
        <v>1.5210681670184989</v>
      </c>
      <c r="AH48">
        <f>AF48-AG48</f>
        <v>-1.0910981387952929</v>
      </c>
      <c r="AK48" t="s">
        <v>55</v>
      </c>
      <c r="AL48" s="1">
        <v>1.5240993960617104</v>
      </c>
      <c r="AM48" s="1"/>
      <c r="AN48" s="1"/>
      <c r="AP48" s="1"/>
    </row>
    <row r="49" spans="8:42" x14ac:dyDescent="0.2">
      <c r="H49" s="32"/>
      <c r="I49" s="32"/>
      <c r="K49" t="s">
        <v>95</v>
      </c>
      <c r="L49">
        <v>520.61134100000004</v>
      </c>
      <c r="M49">
        <v>-11088.121772</v>
      </c>
      <c r="N49">
        <v>47161.624756999998</v>
      </c>
      <c r="O49">
        <v>-0.76123099999999999</v>
      </c>
      <c r="P49">
        <v>45.996886000000003</v>
      </c>
      <c r="Q49">
        <v>152.210981</v>
      </c>
      <c r="R49">
        <v>6.7362039999999999</v>
      </c>
      <c r="S49">
        <f t="shared" si="12"/>
        <v>619.68881492148807</v>
      </c>
      <c r="T49">
        <v>1851</v>
      </c>
      <c r="U49">
        <v>525</v>
      </c>
      <c r="V49">
        <f t="shared" si="6"/>
        <v>0.22095959595959597</v>
      </c>
      <c r="W49">
        <f t="shared" si="7"/>
        <v>-4.678534217171717</v>
      </c>
      <c r="X49">
        <f t="shared" si="8"/>
        <v>28.075527999999395</v>
      </c>
      <c r="Y49">
        <f t="shared" si="9"/>
        <v>4.5305849200386883E-2</v>
      </c>
      <c r="Z49">
        <f t="shared" si="14"/>
        <v>0.72579970419019779</v>
      </c>
      <c r="AD49" t="s">
        <v>109</v>
      </c>
      <c r="AE49" s="1">
        <v>0.58080565878804646</v>
      </c>
      <c r="AF49">
        <v>0.47790012944782062</v>
      </c>
      <c r="AG49" s="1">
        <v>1.8696392477949075</v>
      </c>
      <c r="AK49">
        <v>100</v>
      </c>
      <c r="AL49" s="1">
        <v>1.4824809264786118</v>
      </c>
      <c r="AM49" s="1">
        <v>1.1490538956680909</v>
      </c>
      <c r="AN49" s="1">
        <v>4.8396626624633896</v>
      </c>
      <c r="AP49" s="1"/>
    </row>
    <row r="50" spans="8:42" x14ac:dyDescent="0.2">
      <c r="H50" s="32"/>
      <c r="I50" s="32"/>
      <c r="K50" t="s">
        <v>96</v>
      </c>
      <c r="L50">
        <v>520.52649199999996</v>
      </c>
      <c r="M50">
        <v>-11044.841242</v>
      </c>
      <c r="N50">
        <v>47261.809447</v>
      </c>
      <c r="O50">
        <v>-0.96593700000000005</v>
      </c>
      <c r="P50">
        <v>46.141753999999999</v>
      </c>
      <c r="Q50">
        <v>152.13644400000001</v>
      </c>
      <c r="R50">
        <v>6.7326199999999998</v>
      </c>
      <c r="S50">
        <f t="shared" si="12"/>
        <v>621.30979163095992</v>
      </c>
      <c r="T50">
        <v>1871</v>
      </c>
      <c r="U50">
        <v>505</v>
      </c>
      <c r="V50">
        <f t="shared" si="6"/>
        <v>0.21254208754208753</v>
      </c>
      <c r="W50">
        <f t="shared" si="7"/>
        <v>-4.6570586279461281</v>
      </c>
      <c r="X50">
        <f t="shared" si="8"/>
        <v>20.330057999999553</v>
      </c>
      <c r="Y50">
        <f t="shared" si="9"/>
        <v>3.2721290206343664E-2</v>
      </c>
      <c r="Z50">
        <f t="shared" si="14"/>
        <v>0.52419506910562552</v>
      </c>
      <c r="AK50">
        <v>110</v>
      </c>
      <c r="AL50" s="1">
        <v>1.3262243291014431</v>
      </c>
      <c r="AM50" s="1">
        <v>1.0323195233449924</v>
      </c>
      <c r="AN50" s="1">
        <v>4.5880188560511765</v>
      </c>
      <c r="AP50" s="1"/>
    </row>
    <row r="51" spans="8:42" x14ac:dyDescent="0.2">
      <c r="K51" t="s">
        <v>97</v>
      </c>
      <c r="L51">
        <v>520.48119599999995</v>
      </c>
      <c r="M51">
        <v>-11057.146541</v>
      </c>
      <c r="N51">
        <v>47230.130179</v>
      </c>
      <c r="O51">
        <v>-0.86694599999999999</v>
      </c>
      <c r="P51">
        <v>46.090597000000002</v>
      </c>
      <c r="Q51">
        <v>152.22090600000001</v>
      </c>
      <c r="R51">
        <v>6.7318360000000004</v>
      </c>
      <c r="S51">
        <f t="shared" si="12"/>
        <v>620.54868029218403</v>
      </c>
      <c r="T51">
        <v>1866</v>
      </c>
      <c r="U51">
        <v>510</v>
      </c>
      <c r="V51">
        <f t="shared" si="6"/>
        <v>0.21464646464646464</v>
      </c>
      <c r="W51">
        <f t="shared" si="7"/>
        <v>-4.6624275252525251</v>
      </c>
      <c r="X51">
        <f t="shared" si="8"/>
        <v>20.781258999999409</v>
      </c>
      <c r="Y51">
        <f t="shared" si="9"/>
        <v>3.3488523398703542E-2</v>
      </c>
      <c r="Z51">
        <f t="shared" si="14"/>
        <v>0.53648614484723067</v>
      </c>
      <c r="AA51">
        <f>AVERAGE(Z47:Z51)</f>
        <v>0.6084406752247975</v>
      </c>
      <c r="AB51">
        <f>STDEV(Z47:Z51)</f>
        <v>8.671143717300793E-2</v>
      </c>
      <c r="AK51">
        <v>111</v>
      </c>
      <c r="AL51" s="1">
        <v>1.5983876027380637</v>
      </c>
      <c r="AM51" s="1">
        <v>1.2081286544086183</v>
      </c>
      <c r="AN51" s="1">
        <v>4.9622075622336181</v>
      </c>
      <c r="AP51" s="1"/>
    </row>
    <row r="52" spans="8:42" x14ac:dyDescent="0.2">
      <c r="K52" t="s">
        <v>103</v>
      </c>
      <c r="L52">
        <v>520.90308900000002</v>
      </c>
      <c r="M52">
        <v>-5581.1058700000003</v>
      </c>
      <c r="N52">
        <v>23477.901943000001</v>
      </c>
      <c r="O52">
        <v>-1.5683199999999999</v>
      </c>
      <c r="P52">
        <v>46.210478000000002</v>
      </c>
      <c r="Q52">
        <v>152.66144</v>
      </c>
      <c r="R52">
        <v>3.3280569999999998</v>
      </c>
      <c r="S52">
        <f t="shared" si="12"/>
        <v>307.58220956249198</v>
      </c>
      <c r="T52">
        <v>911</v>
      </c>
      <c r="U52">
        <v>277</v>
      </c>
      <c r="V52">
        <f t="shared" si="6"/>
        <v>0.23316498316498316</v>
      </c>
      <c r="W52">
        <f t="shared" si="7"/>
        <v>-4.7096738215488214</v>
      </c>
      <c r="X52">
        <f t="shared" si="8"/>
        <v>13.986629999999423</v>
      </c>
      <c r="Y52">
        <f t="shared" si="9"/>
        <v>4.5472818534902086E-2</v>
      </c>
      <c r="Z52">
        <f t="shared" si="14"/>
        <v>0.72847455292913144</v>
      </c>
    </row>
    <row r="53" spans="8:42" x14ac:dyDescent="0.2">
      <c r="K53" t="s">
        <v>104</v>
      </c>
      <c r="L53">
        <v>520.73377900000003</v>
      </c>
      <c r="M53">
        <v>-5537.7313819999999</v>
      </c>
      <c r="N53">
        <v>23596.293081</v>
      </c>
      <c r="O53">
        <v>-1.541696</v>
      </c>
      <c r="P53">
        <v>46.263128000000002</v>
      </c>
      <c r="Q53">
        <v>153.357752</v>
      </c>
      <c r="R53">
        <v>3.32586</v>
      </c>
      <c r="S53">
        <f t="shared" si="12"/>
        <v>307.72937378016002</v>
      </c>
      <c r="T53">
        <v>928</v>
      </c>
      <c r="U53">
        <v>260</v>
      </c>
      <c r="V53">
        <f t="shared" si="6"/>
        <v>0.21885521885521886</v>
      </c>
      <c r="W53">
        <f t="shared" si="7"/>
        <v>-4.67316531986532</v>
      </c>
      <c r="X53">
        <f t="shared" si="8"/>
        <v>13.989018000000215</v>
      </c>
      <c r="Y53">
        <f t="shared" si="9"/>
        <v>4.5458832311516296E-2</v>
      </c>
      <c r="Z53">
        <f t="shared" si="14"/>
        <v>0.7282504936304911</v>
      </c>
    </row>
    <row r="54" spans="8:42" x14ac:dyDescent="0.2">
      <c r="K54" t="s">
        <v>105</v>
      </c>
      <c r="L54">
        <v>520.995721</v>
      </c>
      <c r="M54">
        <v>-5523.9254389999996</v>
      </c>
      <c r="N54">
        <v>23620.961115999999</v>
      </c>
      <c r="O54">
        <v>-1.4622839999999999</v>
      </c>
      <c r="P54">
        <v>46.306980000000003</v>
      </c>
      <c r="Q54">
        <v>153.361684</v>
      </c>
      <c r="R54">
        <v>3.3260999999999998</v>
      </c>
      <c r="S54">
        <f t="shared" si="12"/>
        <v>308.04329235599999</v>
      </c>
      <c r="T54">
        <v>935</v>
      </c>
      <c r="U54">
        <v>253</v>
      </c>
      <c r="V54">
        <f t="shared" si="6"/>
        <v>0.21296296296296297</v>
      </c>
      <c r="W54">
        <f t="shared" si="7"/>
        <v>-4.6581324074074075</v>
      </c>
      <c r="X54">
        <f t="shared" si="8"/>
        <v>9.9358610000008412</v>
      </c>
      <c r="Y54">
        <f t="shared" si="9"/>
        <v>3.2254755245630047E-2</v>
      </c>
      <c r="Z54">
        <f t="shared" si="14"/>
        <v>0.51672117903499337</v>
      </c>
    </row>
    <row r="55" spans="8:42" x14ac:dyDescent="0.2">
      <c r="K55" t="s">
        <v>106</v>
      </c>
      <c r="L55">
        <v>520.67271300000004</v>
      </c>
      <c r="M55">
        <v>-5518.2688710000002</v>
      </c>
      <c r="N55">
        <v>23625.473720999998</v>
      </c>
      <c r="O55">
        <v>-1.7090689999999999</v>
      </c>
      <c r="P55">
        <v>46.395398999999998</v>
      </c>
      <c r="Q55">
        <v>152.93549100000001</v>
      </c>
      <c r="R55">
        <v>3.32965</v>
      </c>
      <c r="S55">
        <f t="shared" si="12"/>
        <v>308.96088056069999</v>
      </c>
      <c r="T55">
        <v>938</v>
      </c>
      <c r="U55">
        <v>250</v>
      </c>
      <c r="V55">
        <f t="shared" si="6"/>
        <v>0.21043771043771045</v>
      </c>
      <c r="W55">
        <f t="shared" si="7"/>
        <v>-4.6516897306397302</v>
      </c>
      <c r="X55">
        <f t="shared" si="8"/>
        <v>7.9385289999991073</v>
      </c>
      <c r="Y55">
        <f t="shared" si="9"/>
        <v>2.5694285262238773E-2</v>
      </c>
      <c r="Z55">
        <f t="shared" si="14"/>
        <v>0.41162244990106511</v>
      </c>
    </row>
    <row r="56" spans="8:42" x14ac:dyDescent="0.2">
      <c r="K56" t="s">
        <v>107</v>
      </c>
      <c r="L56">
        <v>520.73209399999996</v>
      </c>
      <c r="M56">
        <v>-5575.0607149999996</v>
      </c>
      <c r="N56">
        <v>23494.927766000001</v>
      </c>
      <c r="O56">
        <v>-1.385831</v>
      </c>
      <c r="P56">
        <v>46.159477000000003</v>
      </c>
      <c r="Q56">
        <v>153.065123</v>
      </c>
      <c r="R56">
        <v>3.3253550000000001</v>
      </c>
      <c r="S56">
        <f t="shared" si="12"/>
        <v>306.99329527867002</v>
      </c>
      <c r="T56">
        <v>915</v>
      </c>
      <c r="U56">
        <v>273</v>
      </c>
      <c r="V56">
        <f t="shared" si="6"/>
        <v>0.22979797979797981</v>
      </c>
      <c r="W56">
        <f t="shared" si="7"/>
        <v>-4.7010835858585853</v>
      </c>
      <c r="X56">
        <f t="shared" si="8"/>
        <v>9.8265849999997954</v>
      </c>
      <c r="Y56">
        <f t="shared" si="9"/>
        <v>3.2009119258060062E-2</v>
      </c>
      <c r="Z56">
        <f t="shared" si="14"/>
        <v>0.51278609051412216</v>
      </c>
      <c r="AA56">
        <f>AVERAGE(Z52:Z56)</f>
        <v>0.57957095320196061</v>
      </c>
      <c r="AB56">
        <f>STDEV(Z52:Z56)</f>
        <v>0.14221014337225693</v>
      </c>
    </row>
    <row r="57" spans="8:42" x14ac:dyDescent="0.2">
      <c r="K57" t="s">
        <v>98</v>
      </c>
      <c r="L57">
        <v>520.53658700000005</v>
      </c>
      <c r="M57">
        <v>-22220.779192999998</v>
      </c>
      <c r="N57">
        <v>94173.319764</v>
      </c>
      <c r="O57">
        <v>-0.39462999999999998</v>
      </c>
      <c r="P57">
        <v>45.805376000000003</v>
      </c>
      <c r="Q57">
        <v>151.10546400000001</v>
      </c>
      <c r="R57">
        <v>13.606044000000001</v>
      </c>
      <c r="S57">
        <f t="shared" si="12"/>
        <v>1246.4599225850882</v>
      </c>
      <c r="T57">
        <v>3690</v>
      </c>
      <c r="U57">
        <v>1062</v>
      </c>
      <c r="V57">
        <f t="shared" si="6"/>
        <v>0.22348484848484848</v>
      </c>
      <c r="W57">
        <f t="shared" si="7"/>
        <v>-4.6849768939393934</v>
      </c>
      <c r="X57">
        <f t="shared" si="8"/>
        <v>42.231006999998499</v>
      </c>
      <c r="Y57">
        <f t="shared" si="9"/>
        <v>3.3880758004969591E-2</v>
      </c>
      <c r="Z57">
        <f>Y57*16.02</f>
        <v>0.5427697432396128</v>
      </c>
    </row>
    <row r="58" spans="8:42" x14ac:dyDescent="0.2">
      <c r="K58" t="s">
        <v>99</v>
      </c>
      <c r="L58">
        <v>520.556288</v>
      </c>
      <c r="M58">
        <v>-22131.030091000001</v>
      </c>
      <c r="N58">
        <v>94423.454884999999</v>
      </c>
      <c r="O58">
        <v>-0.35527399999999998</v>
      </c>
      <c r="P58">
        <v>45.786093000000001</v>
      </c>
      <c r="Q58">
        <v>151.23615000000001</v>
      </c>
      <c r="R58">
        <v>13.636132</v>
      </c>
      <c r="S58">
        <f t="shared" si="12"/>
        <v>1248.690415824552</v>
      </c>
      <c r="T58">
        <v>3723</v>
      </c>
      <c r="U58">
        <v>1029</v>
      </c>
      <c r="V58">
        <f t="shared" si="6"/>
        <v>0.21654040404040403</v>
      </c>
      <c r="W58">
        <f t="shared" si="7"/>
        <v>-4.6672595328282824</v>
      </c>
      <c r="X58">
        <f t="shared" si="8"/>
        <v>47.787208999998256</v>
      </c>
      <c r="Y58">
        <f t="shared" si="9"/>
        <v>3.8269861283785671E-2</v>
      </c>
      <c r="Z58">
        <f>Y58*16.02</f>
        <v>0.61308317776624643</v>
      </c>
    </row>
    <row r="59" spans="8:42" x14ac:dyDescent="0.2">
      <c r="K59" t="s">
        <v>100</v>
      </c>
      <c r="L59">
        <v>520.42244800000003</v>
      </c>
      <c r="M59">
        <v>-22243.117151999999</v>
      </c>
      <c r="N59">
        <v>94116.881114000003</v>
      </c>
      <c r="O59">
        <v>-0.46154400000000001</v>
      </c>
      <c r="P59">
        <v>45.732700000000001</v>
      </c>
      <c r="Q59">
        <v>151.19458</v>
      </c>
      <c r="R59">
        <v>13.611470000000001</v>
      </c>
      <c r="S59">
        <f t="shared" si="12"/>
        <v>1244.9785481380002</v>
      </c>
      <c r="T59">
        <v>3680</v>
      </c>
      <c r="U59">
        <v>1072</v>
      </c>
      <c r="V59">
        <f t="shared" si="6"/>
        <v>0.22558922558922559</v>
      </c>
      <c r="W59">
        <f t="shared" si="7"/>
        <v>-4.6903457912457913</v>
      </c>
      <c r="X59">
        <f t="shared" si="8"/>
        <v>45.406048000000737</v>
      </c>
      <c r="Y59">
        <f t="shared" si="9"/>
        <v>3.6471349701495168E-2</v>
      </c>
      <c r="Z59">
        <f>Y59*16.02</f>
        <v>0.58427102221795257</v>
      </c>
    </row>
    <row r="60" spans="8:42" x14ac:dyDescent="0.2">
      <c r="K60" t="s">
        <v>101</v>
      </c>
      <c r="L60">
        <v>520.57311300000003</v>
      </c>
      <c r="M60">
        <v>-22066.60656</v>
      </c>
      <c r="N60">
        <v>94560.107457000006</v>
      </c>
      <c r="O60">
        <v>-0.438886</v>
      </c>
      <c r="P60">
        <v>45.876908999999998</v>
      </c>
      <c r="Q60">
        <v>151.35267999999999</v>
      </c>
      <c r="R60">
        <v>13.618342999999999</v>
      </c>
      <c r="S60">
        <f t="shared" si="12"/>
        <v>1249.534965083574</v>
      </c>
      <c r="T60">
        <v>3749</v>
      </c>
      <c r="U60">
        <v>1003</v>
      </c>
      <c r="V60">
        <f t="shared" si="6"/>
        <v>0.21106902356902357</v>
      </c>
      <c r="W60">
        <f t="shared" si="7"/>
        <v>-4.6533003998316493</v>
      </c>
      <c r="X60">
        <f t="shared" si="8"/>
        <v>45.876939999998285</v>
      </c>
      <c r="Y60">
        <f t="shared" si="9"/>
        <v>3.671521108409307E-2</v>
      </c>
      <c r="Z60">
        <f>Y60*16.02</f>
        <v>0.58817768156717098</v>
      </c>
    </row>
    <row r="61" spans="8:42" x14ac:dyDescent="0.2">
      <c r="K61" t="s">
        <v>102</v>
      </c>
      <c r="L61">
        <v>520.557278</v>
      </c>
      <c r="M61">
        <v>-22134.853244000002</v>
      </c>
      <c r="N61">
        <v>94376.634902999998</v>
      </c>
      <c r="O61">
        <v>-0.42003499999999999</v>
      </c>
      <c r="P61">
        <v>45.811304</v>
      </c>
      <c r="Q61">
        <v>151.17858799999999</v>
      </c>
      <c r="R61">
        <v>13.627057000000001</v>
      </c>
      <c r="S61">
        <f t="shared" si="12"/>
        <v>1248.5465017046561</v>
      </c>
      <c r="T61">
        <v>3725</v>
      </c>
      <c r="U61">
        <v>1027</v>
      </c>
      <c r="V61">
        <f t="shared" si="6"/>
        <v>0.21611952861952863</v>
      </c>
      <c r="W61">
        <f t="shared" si="7"/>
        <v>-4.666185753367003</v>
      </c>
      <c r="X61">
        <f t="shared" si="8"/>
        <v>38.861455999995087</v>
      </c>
      <c r="Y61">
        <f t="shared" si="9"/>
        <v>3.1125357323044882E-2</v>
      </c>
      <c r="Z61">
        <f>Y61*16.02</f>
        <v>0.498628224315179</v>
      </c>
      <c r="AA61" s="1">
        <f>AVERAGE(Z57:Z61)</f>
        <v>0.56538596982123235</v>
      </c>
      <c r="AB61" s="1">
        <f>STDEV(Z57:Z61)</f>
        <v>4.5053360762347359E-2</v>
      </c>
    </row>
    <row r="63" spans="8:42" x14ac:dyDescent="0.2">
      <c r="K63" t="s">
        <v>27</v>
      </c>
      <c r="L63">
        <v>557.78036199999997</v>
      </c>
      <c r="M63">
        <v>-13474.989673</v>
      </c>
      <c r="N63">
        <v>57073.126212000003</v>
      </c>
      <c r="O63">
        <v>-0.80919399999999997</v>
      </c>
      <c r="P63">
        <v>32.305211999999997</v>
      </c>
      <c r="Q63">
        <v>129.95400900000001</v>
      </c>
      <c r="R63">
        <v>13.594737</v>
      </c>
      <c r="S63">
        <f t="shared" si="12"/>
        <v>878.36172173848797</v>
      </c>
      <c r="T63">
        <v>2232</v>
      </c>
      <c r="U63">
        <v>648</v>
      </c>
      <c r="V63">
        <f t="shared" ref="V63:V72" si="15">U63/(U63+T63)</f>
        <v>0.22500000000000001</v>
      </c>
      <c r="W63">
        <f t="shared" ref="W63:W72" si="16">-4.1148-2.5513*V63</f>
        <v>-4.6888424999999998</v>
      </c>
      <c r="X63">
        <f t="shared" ref="X63:X72" si="17">M63-(SUM(T63:U63)*W63)</f>
        <v>28.876726999998937</v>
      </c>
      <c r="Y63">
        <f t="shared" ref="Y63:Y72" si="18">X63/(2*P63*R63)</f>
        <v>3.2875666465570684E-2</v>
      </c>
      <c r="Z63">
        <f t="shared" ref="Z63:Z72" si="19">Y63*16.02</f>
        <v>0.52666817677844235</v>
      </c>
    </row>
    <row r="64" spans="8:42" x14ac:dyDescent="0.2">
      <c r="L64">
        <v>557.87751400000002</v>
      </c>
      <c r="M64">
        <v>-13369.331996000001</v>
      </c>
      <c r="N64">
        <v>57374.876536999996</v>
      </c>
      <c r="O64">
        <v>-0.88846199999999997</v>
      </c>
      <c r="P64">
        <v>32.431699999999999</v>
      </c>
      <c r="Q64">
        <v>130.26559800000001</v>
      </c>
      <c r="R64">
        <v>13.580735000000001</v>
      </c>
      <c r="S64">
        <f t="shared" si="12"/>
        <v>880.89264659900005</v>
      </c>
      <c r="T64">
        <v>2272</v>
      </c>
      <c r="U64">
        <v>608</v>
      </c>
      <c r="V64">
        <f t="shared" si="15"/>
        <v>0.21111111111111111</v>
      </c>
      <c r="W64">
        <f t="shared" si="16"/>
        <v>-4.6534077777777778</v>
      </c>
      <c r="X64">
        <f t="shared" si="17"/>
        <v>32.482403999998496</v>
      </c>
      <c r="Y64">
        <f t="shared" si="18"/>
        <v>3.6874418381636388E-2</v>
      </c>
      <c r="Z64">
        <f t="shared" si="19"/>
        <v>0.59072818247381498</v>
      </c>
    </row>
    <row r="65" spans="11:32" x14ac:dyDescent="0.2">
      <c r="L65">
        <v>557.84092399999997</v>
      </c>
      <c r="M65">
        <v>-13436.535733999999</v>
      </c>
      <c r="N65">
        <v>57181.222643000001</v>
      </c>
      <c r="O65">
        <v>-0.98089099999999996</v>
      </c>
      <c r="P65">
        <v>32.354045999999997</v>
      </c>
      <c r="Q65">
        <v>130.20041599999999</v>
      </c>
      <c r="R65">
        <v>13.574170000000001</v>
      </c>
      <c r="S65">
        <f t="shared" si="12"/>
        <v>878.35864118363997</v>
      </c>
      <c r="T65">
        <v>2246</v>
      </c>
      <c r="U65">
        <v>634</v>
      </c>
      <c r="V65">
        <f t="shared" si="15"/>
        <v>0.22013888888888888</v>
      </c>
      <c r="W65">
        <f t="shared" si="16"/>
        <v>-4.676440347222222</v>
      </c>
      <c r="X65">
        <f t="shared" si="17"/>
        <v>31.612466000000495</v>
      </c>
      <c r="Y65">
        <f t="shared" si="18"/>
        <v>3.5990385382217945E-2</v>
      </c>
      <c r="Z65">
        <f t="shared" si="19"/>
        <v>0.57656597382313146</v>
      </c>
    </row>
    <row r="66" spans="11:32" x14ac:dyDescent="0.2">
      <c r="L66">
        <v>557.64510700000005</v>
      </c>
      <c r="M66">
        <v>-13356.232316</v>
      </c>
      <c r="N66">
        <v>57386.663608000003</v>
      </c>
      <c r="O66">
        <v>-1.063423</v>
      </c>
      <c r="P66">
        <v>32.402945000000003</v>
      </c>
      <c r="Q66">
        <v>130.09063900000001</v>
      </c>
      <c r="R66">
        <v>13.61387</v>
      </c>
      <c r="S66">
        <f t="shared" si="12"/>
        <v>882.25896169430007</v>
      </c>
      <c r="T66">
        <v>2278</v>
      </c>
      <c r="U66">
        <v>602</v>
      </c>
      <c r="V66">
        <f t="shared" si="15"/>
        <v>0.20902777777777778</v>
      </c>
      <c r="W66">
        <f t="shared" si="16"/>
        <v>-4.6480925694444446</v>
      </c>
      <c r="X66">
        <f t="shared" si="17"/>
        <v>30.274284000000989</v>
      </c>
      <c r="Y66">
        <f t="shared" si="18"/>
        <v>3.4314510041203679E-2</v>
      </c>
      <c r="Z66">
        <f t="shared" si="19"/>
        <v>0.54971845086008297</v>
      </c>
    </row>
    <row r="67" spans="11:32" x14ac:dyDescent="0.2">
      <c r="L67">
        <v>557.62304600000004</v>
      </c>
      <c r="M67">
        <v>-13371.475963000001</v>
      </c>
      <c r="N67">
        <v>57323.917291999998</v>
      </c>
      <c r="O67">
        <v>-0.71025000000000005</v>
      </c>
      <c r="P67">
        <v>32.419155000000003</v>
      </c>
      <c r="Q67">
        <v>130.26005599999999</v>
      </c>
      <c r="R67">
        <v>13.574501</v>
      </c>
      <c r="S67">
        <f t="shared" si="12"/>
        <v>880.14770393331003</v>
      </c>
      <c r="T67">
        <v>2273</v>
      </c>
      <c r="U67">
        <v>607</v>
      </c>
      <c r="V67">
        <f t="shared" si="15"/>
        <v>0.21076388888888889</v>
      </c>
      <c r="W67">
        <f t="shared" si="16"/>
        <v>-4.6525219097222221</v>
      </c>
      <c r="X67">
        <f t="shared" si="17"/>
        <v>27.787136999999348</v>
      </c>
      <c r="Y67">
        <f t="shared" si="18"/>
        <v>3.1570993000175816E-2</v>
      </c>
      <c r="Z67">
        <f t="shared" si="19"/>
        <v>0.50576730786281654</v>
      </c>
      <c r="AA67" s="1">
        <f>AVERAGE(Z63:Z67)</f>
        <v>0.54988961835965766</v>
      </c>
      <c r="AB67" s="1">
        <f>STDEV(Z63:Z67)</f>
        <v>3.4876421801562835E-2</v>
      </c>
      <c r="AF67" s="1"/>
    </row>
    <row r="68" spans="11:32" x14ac:dyDescent="0.2">
      <c r="K68" t="s">
        <v>35</v>
      </c>
      <c r="L68">
        <v>557.93372099999999</v>
      </c>
      <c r="M68">
        <v>-11224.885555999999</v>
      </c>
      <c r="N68">
        <v>47568.687130999999</v>
      </c>
      <c r="O68">
        <v>-1.109118</v>
      </c>
      <c r="P68">
        <v>54.201061000000003</v>
      </c>
      <c r="Q68">
        <v>130.542452</v>
      </c>
      <c r="R68">
        <v>6.7229939999999999</v>
      </c>
      <c r="S68">
        <f t="shared" si="12"/>
        <v>728.78681579326803</v>
      </c>
      <c r="T68">
        <v>1862</v>
      </c>
      <c r="U68">
        <v>538</v>
      </c>
      <c r="V68">
        <f t="shared" si="15"/>
        <v>0.22416666666666665</v>
      </c>
      <c r="W68">
        <f t="shared" si="16"/>
        <v>-4.6867164166666662</v>
      </c>
      <c r="X68">
        <f t="shared" si="17"/>
        <v>23.233844000000317</v>
      </c>
      <c r="Y68">
        <f t="shared" si="18"/>
        <v>3.1880165086014628E-2</v>
      </c>
      <c r="Z68">
        <f t="shared" si="19"/>
        <v>0.51072024467795429</v>
      </c>
      <c r="AA68" s="1"/>
      <c r="AF68" s="1"/>
    </row>
    <row r="69" spans="11:32" x14ac:dyDescent="0.2">
      <c r="K69" t="s">
        <v>81</v>
      </c>
      <c r="L69">
        <v>557.91901700000005</v>
      </c>
      <c r="M69">
        <v>-11172.204953</v>
      </c>
      <c r="N69">
        <v>47745.260517000002</v>
      </c>
      <c r="O69">
        <v>-1.084435</v>
      </c>
      <c r="P69">
        <v>54.231394000000002</v>
      </c>
      <c r="Q69">
        <v>130.945482</v>
      </c>
      <c r="R69">
        <v>6.72342</v>
      </c>
      <c r="S69">
        <f t="shared" si="12"/>
        <v>729.24087809496007</v>
      </c>
      <c r="T69">
        <v>1881</v>
      </c>
      <c r="U69">
        <v>519</v>
      </c>
      <c r="V69">
        <f t="shared" si="15"/>
        <v>0.21625</v>
      </c>
      <c r="W69">
        <f t="shared" si="16"/>
        <v>-4.6665186250000001</v>
      </c>
      <c r="X69">
        <f t="shared" si="17"/>
        <v>27.439747000000352</v>
      </c>
      <c r="Y69">
        <f t="shared" si="18"/>
        <v>3.7627823431515328E-2</v>
      </c>
      <c r="Z69">
        <f t="shared" si="19"/>
        <v>0.60279773137287551</v>
      </c>
      <c r="AF69" s="1"/>
    </row>
    <row r="70" spans="11:32" x14ac:dyDescent="0.2">
      <c r="K70" t="s">
        <v>82</v>
      </c>
      <c r="L70">
        <v>558.08811000000003</v>
      </c>
      <c r="M70">
        <v>-11204.163262</v>
      </c>
      <c r="N70">
        <v>47621.492726999997</v>
      </c>
      <c r="O70">
        <v>-1.0907979999999999</v>
      </c>
      <c r="P70">
        <v>54.190744000000002</v>
      </c>
      <c r="Q70">
        <v>130.71597199999999</v>
      </c>
      <c r="R70">
        <v>6.7228019999999997</v>
      </c>
      <c r="S70">
        <f t="shared" si="12"/>
        <v>728.62728428937601</v>
      </c>
      <c r="T70">
        <v>1870</v>
      </c>
      <c r="U70">
        <v>530</v>
      </c>
      <c r="V70">
        <f t="shared" si="15"/>
        <v>0.22083333333333333</v>
      </c>
      <c r="W70">
        <f t="shared" si="16"/>
        <v>-4.6782120833333334</v>
      </c>
      <c r="X70">
        <f t="shared" si="17"/>
        <v>23.545738000000711</v>
      </c>
      <c r="Y70">
        <f t="shared" si="18"/>
        <v>3.2315202172211635E-2</v>
      </c>
      <c r="Z70">
        <f t="shared" si="19"/>
        <v>0.5176895387988304</v>
      </c>
      <c r="AF70" s="1"/>
    </row>
    <row r="71" spans="11:32" x14ac:dyDescent="0.2">
      <c r="K71" t="s">
        <v>83</v>
      </c>
      <c r="L71">
        <v>557.81534099999999</v>
      </c>
      <c r="M71">
        <v>-11144.408541999999</v>
      </c>
      <c r="N71">
        <v>47785.353313</v>
      </c>
      <c r="O71">
        <v>-1.094457</v>
      </c>
      <c r="P71">
        <v>54.312443999999999</v>
      </c>
      <c r="Q71">
        <v>130.91081800000001</v>
      </c>
      <c r="R71">
        <v>6.720796</v>
      </c>
      <c r="S71">
        <f t="shared" si="12"/>
        <v>730.04571277084801</v>
      </c>
      <c r="T71">
        <v>1892</v>
      </c>
      <c r="U71">
        <v>508</v>
      </c>
      <c r="V71">
        <f t="shared" si="15"/>
        <v>0.21166666666666667</v>
      </c>
      <c r="W71">
        <f t="shared" si="16"/>
        <v>-4.6548251666666669</v>
      </c>
      <c r="X71">
        <f t="shared" si="17"/>
        <v>27.171858000001521</v>
      </c>
      <c r="Y71">
        <f t="shared" si="18"/>
        <v>3.7219392600597902E-2</v>
      </c>
      <c r="Z71">
        <f t="shared" si="19"/>
        <v>0.59625466946157835</v>
      </c>
    </row>
    <row r="72" spans="11:32" x14ac:dyDescent="0.2">
      <c r="K72" t="s">
        <v>84</v>
      </c>
      <c r="L72">
        <v>558.03889200000003</v>
      </c>
      <c r="M72">
        <v>-11134.680689999999</v>
      </c>
      <c r="N72">
        <v>47790.694272000001</v>
      </c>
      <c r="O72">
        <v>-0.99272099999999996</v>
      </c>
      <c r="P72">
        <v>54.386266999999997</v>
      </c>
      <c r="Q72">
        <v>130.85632000000001</v>
      </c>
      <c r="R72">
        <v>6.7152240000000001</v>
      </c>
      <c r="S72">
        <f t="shared" si="12"/>
        <v>730.43193085761595</v>
      </c>
      <c r="T72">
        <v>1898</v>
      </c>
      <c r="U72">
        <v>502</v>
      </c>
      <c r="V72">
        <f t="shared" si="15"/>
        <v>0.20916666666666667</v>
      </c>
      <c r="W72">
        <f t="shared" si="16"/>
        <v>-4.648446916666666</v>
      </c>
      <c r="X72">
        <f t="shared" si="17"/>
        <v>21.591909999999189</v>
      </c>
      <c r="Y72">
        <f t="shared" si="18"/>
        <v>2.9560468385668271E-2</v>
      </c>
      <c r="Z72">
        <f t="shared" si="19"/>
        <v>0.47355870353840568</v>
      </c>
      <c r="AA72" s="16">
        <f>AVERAGE(Z68:Z72)</f>
        <v>0.54020417756992889</v>
      </c>
      <c r="AB72">
        <f>STDEV(Z68:Z72)</f>
        <v>5.6739406688905779E-2</v>
      </c>
    </row>
    <row r="74" spans="11:32" x14ac:dyDescent="0.2">
      <c r="Z74" s="1"/>
      <c r="AA74" s="1"/>
    </row>
    <row r="75" spans="11:32" x14ac:dyDescent="0.2">
      <c r="K75" t="s">
        <v>28</v>
      </c>
      <c r="L75">
        <v>557.72791099999995</v>
      </c>
      <c r="M75">
        <v>-11569.741048</v>
      </c>
      <c r="N75">
        <v>48964.816425999998</v>
      </c>
      <c r="O75">
        <v>-1.01294</v>
      </c>
      <c r="P75">
        <v>34.778601999999999</v>
      </c>
      <c r="Q75">
        <v>138.297101</v>
      </c>
      <c r="R75">
        <v>10.180291</v>
      </c>
      <c r="S75">
        <f t="shared" ref="S75:S95" si="20">2*R75*P75</f>
        <v>708.11257786636406</v>
      </c>
      <c r="T75">
        <v>1914</v>
      </c>
      <c r="U75">
        <v>558</v>
      </c>
      <c r="V75">
        <f t="shared" ref="V75:V84" si="21">U75/(U75+T75)</f>
        <v>0.22572815533980584</v>
      </c>
      <c r="W75">
        <f t="shared" ref="W75:W84" si="22">-4.1148-2.5513*V75</f>
        <v>-4.6907002427184468</v>
      </c>
      <c r="X75">
        <f t="shared" ref="X75:X84" si="23">M75-(SUM(T75:U75)*W75)</f>
        <v>25.669952000000194</v>
      </c>
      <c r="Y75">
        <f t="shared" ref="Y75:Y84" si="24">X75/(2*P75*R75)</f>
        <v>3.6251230104324822E-2</v>
      </c>
      <c r="Z75">
        <f t="shared" ref="Z75:Z84" si="25">Y75*16.02</f>
        <v>0.58074470627128361</v>
      </c>
    </row>
    <row r="76" spans="11:32" x14ac:dyDescent="0.2">
      <c r="L76">
        <v>557.88068999999996</v>
      </c>
      <c r="M76">
        <v>-11518.991195000001</v>
      </c>
      <c r="N76">
        <v>49116.770567</v>
      </c>
      <c r="O76">
        <v>-0.97036800000000001</v>
      </c>
      <c r="P76">
        <v>34.861032999999999</v>
      </c>
      <c r="Q76">
        <v>138.221813</v>
      </c>
      <c r="R76">
        <v>10.193291</v>
      </c>
      <c r="S76">
        <f t="shared" si="20"/>
        <v>710.69730785920603</v>
      </c>
      <c r="T76">
        <v>1934</v>
      </c>
      <c r="U76">
        <v>538</v>
      </c>
      <c r="V76">
        <f t="shared" si="21"/>
        <v>0.21763754045307443</v>
      </c>
      <c r="W76">
        <f t="shared" si="22"/>
        <v>-4.670058656957929</v>
      </c>
      <c r="X76">
        <f t="shared" si="23"/>
        <v>25.393804999999702</v>
      </c>
      <c r="Y76">
        <f t="shared" si="24"/>
        <v>3.573083043819604E-2</v>
      </c>
      <c r="Z76">
        <f t="shared" si="25"/>
        <v>0.57240790361990057</v>
      </c>
    </row>
    <row r="77" spans="11:32" x14ac:dyDescent="0.2">
      <c r="L77">
        <v>557.64105400000005</v>
      </c>
      <c r="M77">
        <v>-11566.457444</v>
      </c>
      <c r="N77">
        <v>48968.953894999999</v>
      </c>
      <c r="O77">
        <v>-0.93662000000000001</v>
      </c>
      <c r="P77">
        <v>34.768842999999997</v>
      </c>
      <c r="Q77">
        <v>138.222802</v>
      </c>
      <c r="R77">
        <v>10.189499</v>
      </c>
      <c r="S77">
        <f t="shared" si="20"/>
        <v>708.55418195931395</v>
      </c>
      <c r="T77">
        <v>1916</v>
      </c>
      <c r="U77">
        <v>556</v>
      </c>
      <c r="V77">
        <f t="shared" si="21"/>
        <v>0.22491909385113268</v>
      </c>
      <c r="W77">
        <f t="shared" si="22"/>
        <v>-4.6886360841423942</v>
      </c>
      <c r="X77">
        <f t="shared" si="23"/>
        <v>23.850955999998405</v>
      </c>
      <c r="Y77">
        <f t="shared" si="24"/>
        <v>3.3661442705828187E-2</v>
      </c>
      <c r="Z77">
        <f t="shared" si="25"/>
        <v>0.53925631214736758</v>
      </c>
    </row>
    <row r="78" spans="11:32" x14ac:dyDescent="0.2">
      <c r="L78">
        <v>557.96449500000006</v>
      </c>
      <c r="M78">
        <v>-11500.224432999999</v>
      </c>
      <c r="N78">
        <v>49143.874406000003</v>
      </c>
      <c r="O78">
        <v>-1.0496970000000001</v>
      </c>
      <c r="P78">
        <v>34.803418000000001</v>
      </c>
      <c r="Q78">
        <v>138.460904</v>
      </c>
      <c r="R78">
        <v>10.198166000000001</v>
      </c>
      <c r="S78">
        <f t="shared" si="20"/>
        <v>709.86206826277601</v>
      </c>
      <c r="T78">
        <v>1941</v>
      </c>
      <c r="U78">
        <v>531</v>
      </c>
      <c r="V78">
        <f t="shared" si="21"/>
        <v>0.21480582524271843</v>
      </c>
      <c r="W78">
        <f t="shared" si="22"/>
        <v>-4.6628341019417476</v>
      </c>
      <c r="X78">
        <f t="shared" si="23"/>
        <v>26.301467000001139</v>
      </c>
      <c r="Y78">
        <f t="shared" si="24"/>
        <v>3.7051517718601198E-2</v>
      </c>
      <c r="Z78">
        <f t="shared" si="25"/>
        <v>0.59356531385199118</v>
      </c>
    </row>
    <row r="79" spans="11:32" x14ac:dyDescent="0.2">
      <c r="L79">
        <v>557.82642399999997</v>
      </c>
      <c r="M79">
        <v>-11497.363461999999</v>
      </c>
      <c r="N79">
        <v>49156.060633000001</v>
      </c>
      <c r="O79">
        <v>-1.110312</v>
      </c>
      <c r="P79">
        <v>34.800460000000001</v>
      </c>
      <c r="Q79">
        <v>138.706613</v>
      </c>
      <c r="R79">
        <v>10.183479999999999</v>
      </c>
      <c r="S79">
        <f t="shared" si="20"/>
        <v>708.7795768016</v>
      </c>
      <c r="T79">
        <v>1942</v>
      </c>
      <c r="U79">
        <v>530</v>
      </c>
      <c r="V79">
        <f t="shared" si="21"/>
        <v>0.21440129449838188</v>
      </c>
      <c r="W79">
        <f t="shared" si="22"/>
        <v>-4.6618020226537213</v>
      </c>
      <c r="X79">
        <f t="shared" si="23"/>
        <v>26.61113800000021</v>
      </c>
      <c r="Y79">
        <f t="shared" si="24"/>
        <v>3.7545012400165619E-2</v>
      </c>
      <c r="Z79">
        <f t="shared" si="25"/>
        <v>0.60147109865065318</v>
      </c>
      <c r="AA79" s="16">
        <f>AVERAGE(Z75:Z79)</f>
        <v>0.5774890669082392</v>
      </c>
      <c r="AB79">
        <f>STDEV(Z75:Z79)</f>
        <v>2.414407021879577E-2</v>
      </c>
    </row>
    <row r="80" spans="11:32" x14ac:dyDescent="0.2">
      <c r="K80" t="s">
        <v>35</v>
      </c>
      <c r="L80">
        <v>557.94946300000004</v>
      </c>
      <c r="M80">
        <v>-15418.128273</v>
      </c>
      <c r="N80">
        <v>65311.678099999997</v>
      </c>
      <c r="O80">
        <v>-0.78433299999999995</v>
      </c>
      <c r="P80">
        <v>34.737791999999999</v>
      </c>
      <c r="Q80">
        <v>138.264679</v>
      </c>
      <c r="R80">
        <v>13.598103</v>
      </c>
      <c r="S80">
        <f t="shared" si="20"/>
        <v>944.73614721715194</v>
      </c>
      <c r="T80">
        <v>2555</v>
      </c>
      <c r="U80">
        <v>741</v>
      </c>
      <c r="V80">
        <f t="shared" si="21"/>
        <v>0.22481796116504854</v>
      </c>
      <c r="W80">
        <f t="shared" si="22"/>
        <v>-4.6883780643203883</v>
      </c>
      <c r="X80">
        <f t="shared" si="23"/>
        <v>34.765826999999263</v>
      </c>
      <c r="Y80">
        <f t="shared" si="24"/>
        <v>3.6799509685753747E-2</v>
      </c>
      <c r="Z80">
        <f t="shared" si="25"/>
        <v>0.58952814516577501</v>
      </c>
    </row>
    <row r="81" spans="11:28" x14ac:dyDescent="0.2">
      <c r="K81" t="s">
        <v>81</v>
      </c>
      <c r="L81">
        <v>557.74415399999998</v>
      </c>
      <c r="M81">
        <v>-15333.009980000001</v>
      </c>
      <c r="N81">
        <v>65542.377238000001</v>
      </c>
      <c r="O81">
        <v>-0.74868699999999999</v>
      </c>
      <c r="P81">
        <v>34.808585999999998</v>
      </c>
      <c r="Q81">
        <v>138.113066</v>
      </c>
      <c r="R81">
        <v>13.633334</v>
      </c>
      <c r="S81">
        <f t="shared" si="20"/>
        <v>949.1141580114479</v>
      </c>
      <c r="T81">
        <v>2588</v>
      </c>
      <c r="U81">
        <v>708</v>
      </c>
      <c r="V81">
        <f t="shared" si="21"/>
        <v>0.21480582524271843</v>
      </c>
      <c r="W81">
        <f t="shared" si="22"/>
        <v>-4.6628341019417476</v>
      </c>
      <c r="X81">
        <f t="shared" si="23"/>
        <v>35.691219999998793</v>
      </c>
      <c r="Y81">
        <f t="shared" si="24"/>
        <v>3.7604770404835008E-2</v>
      </c>
      <c r="Z81">
        <f t="shared" si="25"/>
        <v>0.60242842188545687</v>
      </c>
    </row>
    <row r="82" spans="11:28" x14ac:dyDescent="0.2">
      <c r="K82" t="s">
        <v>82</v>
      </c>
      <c r="L82">
        <v>557.67600800000002</v>
      </c>
      <c r="M82">
        <v>-15423.914321</v>
      </c>
      <c r="N82">
        <v>65314.976396999999</v>
      </c>
      <c r="O82">
        <v>-0.69869999999999999</v>
      </c>
      <c r="P82">
        <v>34.762250999999999</v>
      </c>
      <c r="Q82">
        <v>138.12357700000001</v>
      </c>
      <c r="R82">
        <v>13.603106</v>
      </c>
      <c r="S82">
        <f t="shared" si="20"/>
        <v>945.74917030321205</v>
      </c>
      <c r="T82">
        <v>2554</v>
      </c>
      <c r="U82">
        <v>742</v>
      </c>
      <c r="V82">
        <f t="shared" si="21"/>
        <v>0.22512135922330098</v>
      </c>
      <c r="W82">
        <f t="shared" si="22"/>
        <v>-4.6891521237864078</v>
      </c>
      <c r="X82">
        <f t="shared" si="23"/>
        <v>31.531079000000318</v>
      </c>
      <c r="Y82">
        <f t="shared" si="24"/>
        <v>3.3339790284871509E-2</v>
      </c>
      <c r="Z82">
        <f t="shared" si="25"/>
        <v>0.53410344036364155</v>
      </c>
    </row>
    <row r="83" spans="11:28" x14ac:dyDescent="0.2">
      <c r="K83" t="s">
        <v>83</v>
      </c>
      <c r="L83">
        <v>558.047057</v>
      </c>
      <c r="M83">
        <v>-15322.713970999999</v>
      </c>
      <c r="N83">
        <v>65576.494244000001</v>
      </c>
      <c r="O83">
        <v>-0.68722099999999997</v>
      </c>
      <c r="P83">
        <v>34.804732000000001</v>
      </c>
      <c r="Q83">
        <v>138.32333299999999</v>
      </c>
      <c r="R83">
        <v>13.621200999999999</v>
      </c>
      <c r="S83">
        <f t="shared" si="20"/>
        <v>948.16450064626395</v>
      </c>
      <c r="T83">
        <v>2592</v>
      </c>
      <c r="U83">
        <v>704</v>
      </c>
      <c r="V83">
        <f t="shared" si="21"/>
        <v>0.21359223300970873</v>
      </c>
      <c r="W83">
        <f t="shared" si="22"/>
        <v>-4.6597378640776697</v>
      </c>
      <c r="X83">
        <f t="shared" si="23"/>
        <v>35.782028999999966</v>
      </c>
      <c r="Y83">
        <f t="shared" si="24"/>
        <v>3.7738207848544342E-2</v>
      </c>
      <c r="Z83">
        <f t="shared" si="25"/>
        <v>0.60456608973368031</v>
      </c>
    </row>
    <row r="84" spans="11:28" x14ac:dyDescent="0.2">
      <c r="K84" t="s">
        <v>84</v>
      </c>
      <c r="L84">
        <v>557.80107399999997</v>
      </c>
      <c r="M84">
        <v>-15338.441065999999</v>
      </c>
      <c r="N84">
        <v>65513.399688999998</v>
      </c>
      <c r="O84">
        <v>-0.79599500000000001</v>
      </c>
      <c r="P84">
        <v>34.770902999999997</v>
      </c>
      <c r="Q84">
        <v>138.371205</v>
      </c>
      <c r="R84">
        <v>13.616625000000001</v>
      </c>
      <c r="S84">
        <f t="shared" si="20"/>
        <v>946.92469412474998</v>
      </c>
      <c r="T84">
        <v>2588</v>
      </c>
      <c r="U84">
        <v>708</v>
      </c>
      <c r="V84">
        <f t="shared" si="21"/>
        <v>0.21480582524271843</v>
      </c>
      <c r="W84">
        <f t="shared" si="22"/>
        <v>-4.6628341019417476</v>
      </c>
      <c r="X84">
        <f t="shared" si="23"/>
        <v>30.260134000000107</v>
      </c>
      <c r="Y84">
        <f t="shared" si="24"/>
        <v>3.1956220159587018E-2</v>
      </c>
      <c r="Z84">
        <f t="shared" si="25"/>
        <v>0.51193864695658398</v>
      </c>
      <c r="AA84" s="1">
        <f>AVERAGE(Z80:Z84)</f>
        <v>0.56851294882102754</v>
      </c>
      <c r="AB84">
        <f>STDEV(Z80:Z84)</f>
        <v>4.2650887048184635E-2</v>
      </c>
    </row>
    <row r="85" spans="11:28" x14ac:dyDescent="0.2">
      <c r="Z85" s="1"/>
      <c r="AA85" s="1"/>
    </row>
    <row r="86" spans="11:28" x14ac:dyDescent="0.2">
      <c r="K86" t="s">
        <v>55</v>
      </c>
      <c r="L86">
        <v>520.64154699999995</v>
      </c>
      <c r="M86">
        <v>-31983.583605</v>
      </c>
      <c r="N86">
        <v>135226.43134899999</v>
      </c>
      <c r="O86">
        <v>-0.33849699999999999</v>
      </c>
      <c r="P86">
        <v>30.836110999999999</v>
      </c>
      <c r="Q86">
        <v>183.80875900000001</v>
      </c>
      <c r="R86">
        <v>23.858122000000002</v>
      </c>
      <c r="S86">
        <f t="shared" si="20"/>
        <v>1471.3833964870842</v>
      </c>
      <c r="T86">
        <v>5301</v>
      </c>
      <c r="U86">
        <v>1531</v>
      </c>
      <c r="V86">
        <f t="shared" ref="V86:V95" si="26">U86/(U86+T86)</f>
        <v>0.22409250585480095</v>
      </c>
      <c r="W86">
        <f t="shared" ref="W86:W95" si="27">-4.1148-2.5513*V86</f>
        <v>-4.6865272101873536</v>
      </c>
      <c r="X86">
        <f t="shared" ref="X86:X95" si="28">M86-(SUM(T86:U86)*W86)</f>
        <v>34.770294999998441</v>
      </c>
      <c r="Y86">
        <f t="shared" ref="Y86:Y95" si="29">X86/(2*P86*R86)</f>
        <v>2.3631023078697393E-2</v>
      </c>
      <c r="Z86">
        <f t="shared" ref="Z86:Z95" si="30">Y86*16.02</f>
        <v>0.37856898972073222</v>
      </c>
    </row>
    <row r="87" spans="11:28" x14ac:dyDescent="0.2">
      <c r="L87">
        <v>520.53548599999999</v>
      </c>
      <c r="M87">
        <v>-31828.476793999998</v>
      </c>
      <c r="N87">
        <v>135640.40711</v>
      </c>
      <c r="O87">
        <v>-0.29907699999999998</v>
      </c>
      <c r="P87">
        <v>30.880102000000001</v>
      </c>
      <c r="Q87">
        <v>184.166269</v>
      </c>
      <c r="R87">
        <v>23.850679</v>
      </c>
      <c r="S87">
        <f t="shared" si="20"/>
        <v>1473.0228005785159</v>
      </c>
      <c r="T87">
        <v>5357</v>
      </c>
      <c r="U87">
        <v>1475</v>
      </c>
      <c r="V87">
        <f t="shared" si="26"/>
        <v>0.21589578454332553</v>
      </c>
      <c r="W87">
        <f t="shared" si="27"/>
        <v>-4.6656149151053858</v>
      </c>
      <c r="X87">
        <f t="shared" si="28"/>
        <v>47.004305999998905</v>
      </c>
      <c r="Y87">
        <f t="shared" si="29"/>
        <v>3.1910100767984312E-2</v>
      </c>
      <c r="Z87">
        <f t="shared" si="30"/>
        <v>0.51119981430310868</v>
      </c>
    </row>
    <row r="88" spans="11:28" x14ac:dyDescent="0.2">
      <c r="L88">
        <v>520.47115299999996</v>
      </c>
      <c r="M88">
        <v>-31967.616891999998</v>
      </c>
      <c r="N88">
        <v>135272.04831899999</v>
      </c>
      <c r="O88">
        <v>-0.28756399999999999</v>
      </c>
      <c r="P88">
        <v>30.854541000000001</v>
      </c>
      <c r="Q88">
        <v>183.97892999999999</v>
      </c>
      <c r="R88">
        <v>23.829851000000001</v>
      </c>
      <c r="S88">
        <f t="shared" si="20"/>
        <v>1470.5182294067822</v>
      </c>
      <c r="T88">
        <v>5303</v>
      </c>
      <c r="U88">
        <v>1529</v>
      </c>
      <c r="V88">
        <f t="shared" si="26"/>
        <v>0.22379976580796254</v>
      </c>
      <c r="W88">
        <f t="shared" si="27"/>
        <v>-4.6857803425058542</v>
      </c>
      <c r="X88">
        <f t="shared" si="28"/>
        <v>45.634407999998075</v>
      </c>
      <c r="Y88">
        <f t="shared" si="29"/>
        <v>3.1032874729072436E-2</v>
      </c>
      <c r="Z88">
        <f t="shared" si="30"/>
        <v>0.49714665315974044</v>
      </c>
    </row>
    <row r="89" spans="11:28" x14ac:dyDescent="0.2">
      <c r="L89">
        <v>520.55426199999999</v>
      </c>
      <c r="M89">
        <v>-31758.452562999999</v>
      </c>
      <c r="N89">
        <v>135863.177173</v>
      </c>
      <c r="O89">
        <v>-0.295904</v>
      </c>
      <c r="P89">
        <v>30.907713000000001</v>
      </c>
      <c r="Q89">
        <v>184.08547899999999</v>
      </c>
      <c r="R89">
        <v>23.878986000000001</v>
      </c>
      <c r="S89">
        <f t="shared" si="20"/>
        <v>1476.0896920380362</v>
      </c>
      <c r="T89">
        <v>5387</v>
      </c>
      <c r="U89">
        <v>1445</v>
      </c>
      <c r="V89">
        <f t="shared" si="26"/>
        <v>0.21150468384074941</v>
      </c>
      <c r="W89">
        <f t="shared" si="27"/>
        <v>-4.6544118998829038</v>
      </c>
      <c r="X89">
        <f t="shared" si="28"/>
        <v>40.489537000001292</v>
      </c>
      <c r="Y89">
        <f t="shared" si="29"/>
        <v>2.7430268782716996E-2</v>
      </c>
      <c r="Z89">
        <f t="shared" si="30"/>
        <v>0.43943290589912626</v>
      </c>
    </row>
    <row r="90" spans="11:28" x14ac:dyDescent="0.2">
      <c r="L90">
        <v>520.50856799999997</v>
      </c>
      <c r="M90">
        <v>-31888.889221000001</v>
      </c>
      <c r="N90">
        <v>135452.67559500001</v>
      </c>
      <c r="O90">
        <v>-0.35965599999999998</v>
      </c>
      <c r="P90">
        <v>30.859223</v>
      </c>
      <c r="Q90">
        <v>183.929193</v>
      </c>
      <c r="R90">
        <v>23.8645</v>
      </c>
      <c r="S90">
        <f t="shared" si="20"/>
        <v>1472.8798545669999</v>
      </c>
      <c r="T90">
        <v>5335</v>
      </c>
      <c r="U90">
        <v>1497</v>
      </c>
      <c r="V90">
        <f t="shared" si="26"/>
        <v>0.21911592505854802</v>
      </c>
      <c r="W90">
        <f t="shared" si="27"/>
        <v>-4.6738304596018736</v>
      </c>
      <c r="X90">
        <f t="shared" si="28"/>
        <v>42.720478999999614</v>
      </c>
      <c r="Y90">
        <f t="shared" si="29"/>
        <v>2.9004727620881653E-2</v>
      </c>
      <c r="Z90">
        <f t="shared" si="30"/>
        <v>0.46465573648652408</v>
      </c>
      <c r="AA90" s="16">
        <f>AVERAGE(Z86:Z90)</f>
        <v>0.45820081991384631</v>
      </c>
      <c r="AB90">
        <f>STDEV(Z86:Z90)</f>
        <v>5.2585169624665598E-2</v>
      </c>
    </row>
    <row r="91" spans="11:28" x14ac:dyDescent="0.2">
      <c r="K91" t="s">
        <v>35</v>
      </c>
      <c r="L91">
        <v>520.58798000000002</v>
      </c>
      <c r="M91">
        <v>-18254.625898999999</v>
      </c>
      <c r="N91">
        <v>77341.258128000001</v>
      </c>
      <c r="O91">
        <v>-0.51584700000000006</v>
      </c>
      <c r="P91">
        <v>30.835809000000001</v>
      </c>
      <c r="Q91">
        <v>183.88631599999999</v>
      </c>
      <c r="R91">
        <v>13.639780999999999</v>
      </c>
      <c r="S91">
        <f t="shared" si="20"/>
        <v>841.18736343565797</v>
      </c>
      <c r="T91">
        <v>3036</v>
      </c>
      <c r="U91">
        <v>868</v>
      </c>
      <c r="V91">
        <f t="shared" si="26"/>
        <v>0.2223360655737705</v>
      </c>
      <c r="W91">
        <f t="shared" si="27"/>
        <v>-4.6820460040983605</v>
      </c>
      <c r="X91">
        <f t="shared" si="28"/>
        <v>24.081700999999157</v>
      </c>
      <c r="Y91">
        <f t="shared" si="29"/>
        <v>2.8628224872093141E-2</v>
      </c>
      <c r="Z91">
        <f t="shared" si="30"/>
        <v>0.45862416245093213</v>
      </c>
    </row>
    <row r="92" spans="11:28" x14ac:dyDescent="0.2">
      <c r="K92" t="s">
        <v>81</v>
      </c>
      <c r="L92">
        <v>520.55291899999997</v>
      </c>
      <c r="M92">
        <v>-18177.476272</v>
      </c>
      <c r="N92">
        <v>77553.823506000001</v>
      </c>
      <c r="O92">
        <v>-0.43015300000000001</v>
      </c>
      <c r="P92">
        <v>30.882190999999999</v>
      </c>
      <c r="Q92">
        <v>184.06712899999999</v>
      </c>
      <c r="R92">
        <v>13.643312</v>
      </c>
      <c r="S92">
        <f t="shared" si="20"/>
        <v>842.67073411318393</v>
      </c>
      <c r="T92">
        <v>3063</v>
      </c>
      <c r="U92">
        <v>841</v>
      </c>
      <c r="V92">
        <f t="shared" si="26"/>
        <v>0.21542008196721313</v>
      </c>
      <c r="W92">
        <f t="shared" si="27"/>
        <v>-4.664401255122951</v>
      </c>
      <c r="X92">
        <f t="shared" si="28"/>
        <v>32.346228000002156</v>
      </c>
      <c r="Y92">
        <f t="shared" si="29"/>
        <v>3.8385370098372909E-2</v>
      </c>
      <c r="Z92">
        <f t="shared" si="30"/>
        <v>0.61493362897593395</v>
      </c>
    </row>
    <row r="93" spans="11:28" x14ac:dyDescent="0.2">
      <c r="K93" t="s">
        <v>82</v>
      </c>
      <c r="L93">
        <v>520.54134899999997</v>
      </c>
      <c r="M93">
        <v>-18267.593235</v>
      </c>
      <c r="N93">
        <v>77298.634734000007</v>
      </c>
      <c r="O93">
        <v>-0.43132900000000002</v>
      </c>
      <c r="P93">
        <v>30.827325999999999</v>
      </c>
      <c r="Q93">
        <v>184.046549</v>
      </c>
      <c r="R93">
        <v>13.624148</v>
      </c>
      <c r="S93">
        <f t="shared" si="20"/>
        <v>839.99210373649601</v>
      </c>
      <c r="T93">
        <v>3029</v>
      </c>
      <c r="U93">
        <v>875</v>
      </c>
      <c r="V93">
        <f t="shared" si="26"/>
        <v>0.22412909836065573</v>
      </c>
      <c r="W93">
        <f t="shared" si="27"/>
        <v>-4.6866205686475411</v>
      </c>
      <c r="X93">
        <f t="shared" si="28"/>
        <v>28.973464999999123</v>
      </c>
      <c r="Y93">
        <f t="shared" si="29"/>
        <v>3.4492544478832439E-2</v>
      </c>
      <c r="Z93">
        <f t="shared" si="30"/>
        <v>0.55257056255089565</v>
      </c>
    </row>
    <row r="94" spans="11:28" x14ac:dyDescent="0.2">
      <c r="K94" t="s">
        <v>83</v>
      </c>
      <c r="L94">
        <v>520.48442599999998</v>
      </c>
      <c r="M94">
        <v>-18152.721579000001</v>
      </c>
      <c r="N94">
        <v>77617.853740000006</v>
      </c>
      <c r="O94">
        <v>-0.55623699999999998</v>
      </c>
      <c r="P94">
        <v>30.883972</v>
      </c>
      <c r="Q94">
        <v>184.21868000000001</v>
      </c>
      <c r="R94">
        <v>13.64255</v>
      </c>
      <c r="S94">
        <f t="shared" si="20"/>
        <v>842.67226441720004</v>
      </c>
      <c r="T94">
        <v>3075</v>
      </c>
      <c r="U94">
        <v>829</v>
      </c>
      <c r="V94">
        <f t="shared" si="26"/>
        <v>0.21234631147540983</v>
      </c>
      <c r="W94">
        <f t="shared" si="27"/>
        <v>-4.656559144467213</v>
      </c>
      <c r="X94">
        <f t="shared" si="28"/>
        <v>26.485321000000113</v>
      </c>
      <c r="Y94">
        <f t="shared" si="29"/>
        <v>3.1430156323369214E-2</v>
      </c>
      <c r="Z94">
        <f t="shared" si="30"/>
        <v>0.50351110430037482</v>
      </c>
    </row>
    <row r="95" spans="11:28" x14ac:dyDescent="0.2">
      <c r="K95" t="s">
        <v>84</v>
      </c>
      <c r="L95">
        <v>520.62010899999996</v>
      </c>
      <c r="M95">
        <v>-18175.782480999998</v>
      </c>
      <c r="N95">
        <v>77532.405851999996</v>
      </c>
      <c r="O95">
        <v>-0.48509400000000003</v>
      </c>
      <c r="P95">
        <v>30.877597999999999</v>
      </c>
      <c r="Q95">
        <v>183.991985</v>
      </c>
      <c r="R95">
        <v>13.647143</v>
      </c>
      <c r="S95">
        <f t="shared" si="20"/>
        <v>842.78199080502793</v>
      </c>
      <c r="T95">
        <v>3066</v>
      </c>
      <c r="U95">
        <v>838</v>
      </c>
      <c r="V95">
        <f t="shared" si="26"/>
        <v>0.21465163934426229</v>
      </c>
      <c r="W95">
        <f t="shared" si="27"/>
        <v>-4.6624407274590158</v>
      </c>
      <c r="X95">
        <f t="shared" si="28"/>
        <v>26.386118999998871</v>
      </c>
      <c r="Y95">
        <f t="shared" si="29"/>
        <v>3.1308356476382186E-2</v>
      </c>
      <c r="Z95">
        <f t="shared" si="30"/>
        <v>0.50155987075164266</v>
      </c>
      <c r="AA95" s="1">
        <f>AVERAGE(Z91:Z95)</f>
        <v>0.52623986580595583</v>
      </c>
      <c r="AB95">
        <f>STDEV(Z91:Z95)</f>
        <v>5.9702326822284338E-2</v>
      </c>
    </row>
    <row r="96" spans="11:28" x14ac:dyDescent="0.2">
      <c r="AA96" s="1"/>
    </row>
    <row r="97" spans="11:28" x14ac:dyDescent="0.2">
      <c r="K97" t="s">
        <v>111</v>
      </c>
      <c r="L97">
        <v>520.47311200000001</v>
      </c>
      <c r="M97">
        <v>-17895.894398</v>
      </c>
      <c r="N97">
        <v>75688.348121000003</v>
      </c>
      <c r="O97">
        <v>-0.47770899999999999</v>
      </c>
      <c r="P97">
        <v>30.550243999999999</v>
      </c>
      <c r="Q97">
        <v>182.11723499999999</v>
      </c>
      <c r="R97">
        <v>13.60392</v>
      </c>
      <c r="T97">
        <v>2966</v>
      </c>
      <c r="U97">
        <v>858</v>
      </c>
      <c r="V97">
        <f>U97/(U97+T97)</f>
        <v>0.22437238493723849</v>
      </c>
      <c r="W97">
        <f>-4.1148-2.5513*V97</f>
        <v>-4.6872412656903766</v>
      </c>
      <c r="X97">
        <f>M97-(SUM(T97:U97)*W97)</f>
        <v>28.116202000001067</v>
      </c>
      <c r="Y97">
        <f>X97/(2*P97*R97)</f>
        <v>3.3825786750837479E-2</v>
      </c>
      <c r="Z97">
        <f>Y97*16.02</f>
        <v>0.54188910374841637</v>
      </c>
    </row>
    <row r="98" spans="11:28" x14ac:dyDescent="0.2">
      <c r="L98">
        <v>520.52147400000001</v>
      </c>
      <c r="M98">
        <v>-17805.581332999998</v>
      </c>
      <c r="N98">
        <v>75900.956183999995</v>
      </c>
      <c r="O98">
        <v>-0.52539199999999997</v>
      </c>
      <c r="P98">
        <v>30.594753999999998</v>
      </c>
      <c r="Q98">
        <v>182.11866900000001</v>
      </c>
      <c r="R98">
        <v>13.622175</v>
      </c>
      <c r="T98">
        <v>2996</v>
      </c>
      <c r="U98">
        <v>826</v>
      </c>
      <c r="V98">
        <f>U98/(U98+T98)</f>
        <v>0.21611721611721613</v>
      </c>
      <c r="W98">
        <f>-4.1148-2.5513*V98</f>
        <v>-4.6661798534798535</v>
      </c>
      <c r="X98">
        <f>M98-(SUM(T98:U98)*W98)</f>
        <v>28.558067000001756</v>
      </c>
      <c r="Y98">
        <f>X98/(2*P98*R98)</f>
        <v>3.4261422596539533E-2</v>
      </c>
      <c r="Z98">
        <f>Y98*16.02</f>
        <v>0.54886798999656328</v>
      </c>
    </row>
    <row r="99" spans="11:28" x14ac:dyDescent="0.2">
      <c r="L99">
        <v>520.53304200000002</v>
      </c>
      <c r="M99">
        <v>-17891.235077000001</v>
      </c>
      <c r="N99">
        <v>75755.484737000006</v>
      </c>
      <c r="O99">
        <v>-0.55462</v>
      </c>
      <c r="P99">
        <v>30.569293999999999</v>
      </c>
      <c r="Q99">
        <v>182.055778</v>
      </c>
      <c r="R99">
        <v>13.612098</v>
      </c>
      <c r="T99">
        <v>2966</v>
      </c>
      <c r="U99">
        <v>858</v>
      </c>
      <c r="V99">
        <f>U99/(U99+T99)</f>
        <v>0.22437238493723849</v>
      </c>
      <c r="W99">
        <f>-4.1148-2.5513*V99</f>
        <v>-4.6872412656903766</v>
      </c>
      <c r="X99">
        <f>M99-(SUM(T99:U99)*W99)</f>
        <v>32.775523000000248</v>
      </c>
      <c r="Y99">
        <f>X99/(2*P99*R99)</f>
        <v>3.9383032958695524E-2</v>
      </c>
      <c r="Z99">
        <f>Y99*16.02</f>
        <v>0.63091618799830229</v>
      </c>
    </row>
    <row r="100" spans="11:28" x14ac:dyDescent="0.2">
      <c r="L100">
        <v>520.55271800000003</v>
      </c>
      <c r="M100">
        <v>-17779.820962000002</v>
      </c>
      <c r="N100">
        <v>76032.879249000005</v>
      </c>
      <c r="O100">
        <v>-0.491068</v>
      </c>
      <c r="P100">
        <v>30.589780000000001</v>
      </c>
      <c r="Q100">
        <v>182.31329199999999</v>
      </c>
      <c r="R100">
        <v>13.633512</v>
      </c>
      <c r="T100">
        <v>3010</v>
      </c>
      <c r="U100">
        <v>814</v>
      </c>
      <c r="V100">
        <f>U100/(U100+T100)</f>
        <v>0.21286610878661089</v>
      </c>
      <c r="W100">
        <f>-4.1148-2.5513*V100</f>
        <v>-4.65788530334728</v>
      </c>
      <c r="X100">
        <f>M100-(SUM(T100:U100)*W100)</f>
        <v>31.932437999996182</v>
      </c>
      <c r="Y100">
        <f>X100/(2*P100*R100)</f>
        <v>3.828405959875316E-2</v>
      </c>
      <c r="Z100">
        <f>Y100*16.02</f>
        <v>0.61331063477202563</v>
      </c>
    </row>
    <row r="101" spans="11:28" x14ac:dyDescent="0.2">
      <c r="L101">
        <v>520.52559799999995</v>
      </c>
      <c r="M101">
        <v>-17815.301856999999</v>
      </c>
      <c r="N101">
        <v>75965.977377000003</v>
      </c>
      <c r="O101">
        <v>-0.54332100000000005</v>
      </c>
      <c r="P101">
        <v>30.575239</v>
      </c>
      <c r="Q101">
        <v>182.20965000000001</v>
      </c>
      <c r="R101">
        <v>13.635740999999999</v>
      </c>
      <c r="T101">
        <v>2997</v>
      </c>
      <c r="U101">
        <v>827</v>
      </c>
      <c r="V101">
        <f>U101/(U101+T101)</f>
        <v>0.21626569037656904</v>
      </c>
      <c r="W101">
        <f>-4.1148-2.5513*V101</f>
        <v>-4.6665586558577399</v>
      </c>
      <c r="X101">
        <f>M101-(SUM(T101:U101)*W101)</f>
        <v>29.618442999999388</v>
      </c>
      <c r="Y101">
        <f>X101/(2*P101*R101)</f>
        <v>3.5520872498434754E-2</v>
      </c>
      <c r="Z101">
        <f>Y101*16.02</f>
        <v>0.56904437742492475</v>
      </c>
      <c r="AA101" s="1">
        <f>AVERAGE(Z97:Z101)</f>
        <v>0.58080565878804646</v>
      </c>
      <c r="AB101">
        <f>STDEV(Z97:Z101)</f>
        <v>3.9498352132527365E-2</v>
      </c>
    </row>
    <row r="102" spans="11:28" x14ac:dyDescent="0.2">
      <c r="Z102" s="1"/>
    </row>
    <row r="103" spans="11:28" x14ac:dyDescent="0.2">
      <c r="K103" t="s">
        <v>29</v>
      </c>
    </row>
    <row r="104" spans="11:28" x14ac:dyDescent="0.2">
      <c r="L104" t="s">
        <v>18</v>
      </c>
      <c r="M104" t="s">
        <v>5</v>
      </c>
      <c r="N104" t="s">
        <v>7</v>
      </c>
      <c r="O104" t="s">
        <v>19</v>
      </c>
      <c r="P104" t="s">
        <v>20</v>
      </c>
      <c r="Q104" t="s">
        <v>21</v>
      </c>
      <c r="R104" t="s">
        <v>22</v>
      </c>
      <c r="S104" t="s">
        <v>108</v>
      </c>
      <c r="T104" t="s">
        <v>26</v>
      </c>
      <c r="U104" t="s">
        <v>12</v>
      </c>
      <c r="V104" t="s">
        <v>23</v>
      </c>
      <c r="W104" t="s">
        <v>23</v>
      </c>
    </row>
    <row r="105" spans="11:28" x14ac:dyDescent="0.2">
      <c r="K105" t="s">
        <v>17</v>
      </c>
      <c r="L105">
        <v>557.91157399999997</v>
      </c>
      <c r="M105">
        <v>-31342.490977000001</v>
      </c>
      <c r="N105">
        <v>165648.67778999999</v>
      </c>
      <c r="O105">
        <v>-0.30565100000000001</v>
      </c>
      <c r="P105">
        <v>31.474012999999999</v>
      </c>
      <c r="Q105">
        <v>186.65104199999999</v>
      </c>
      <c r="R105">
        <v>28.197182000000002</v>
      </c>
      <c r="S105">
        <f t="shared" ref="S105:S127" si="31">2*R105*P105</f>
        <v>1774.9569456627321</v>
      </c>
      <c r="T105">
        <f>$F$4</f>
        <v>-4.1201358984000001</v>
      </c>
      <c r="U105">
        <f>M105-7616*T105</f>
        <v>36.464025214398134</v>
      </c>
      <c r="V105">
        <f t="shared" ref="V105:V114" si="32">U105/(2*P105*R105)</f>
        <v>2.0543611101948855E-2</v>
      </c>
      <c r="W105">
        <f t="shared" ref="W105:W114" si="33">V105*16.02</f>
        <v>0.32910864985322064</v>
      </c>
    </row>
    <row r="106" spans="11:28" x14ac:dyDescent="0.2">
      <c r="L106">
        <v>557.81333900000004</v>
      </c>
      <c r="M106">
        <v>-31339.303819000001</v>
      </c>
      <c r="N106">
        <v>165615.15061499999</v>
      </c>
      <c r="O106">
        <v>-0.34419100000000002</v>
      </c>
      <c r="P106">
        <v>31.473254000000001</v>
      </c>
      <c r="Q106">
        <v>186.60142200000001</v>
      </c>
      <c r="R106">
        <v>28.199653000000001</v>
      </c>
      <c r="S106">
        <f t="shared" si="31"/>
        <v>1775.0696831617242</v>
      </c>
      <c r="T106">
        <f t="shared" ref="T106:T132" si="34">$F$4</f>
        <v>-4.1201358984000001</v>
      </c>
      <c r="U106">
        <f>M106-7616*T106</f>
        <v>39.65118321439877</v>
      </c>
      <c r="V106">
        <f t="shared" si="32"/>
        <v>2.233781782795859E-2</v>
      </c>
      <c r="W106">
        <f t="shared" si="33"/>
        <v>0.3578518416038966</v>
      </c>
    </row>
    <row r="107" spans="11:28" x14ac:dyDescent="0.2">
      <c r="L107">
        <v>557.937501</v>
      </c>
      <c r="M107">
        <v>-31345.655045</v>
      </c>
      <c r="N107">
        <v>165649.850125</v>
      </c>
      <c r="O107">
        <v>-0.31942100000000001</v>
      </c>
      <c r="P107">
        <v>31.484133</v>
      </c>
      <c r="Q107">
        <v>186.56166099999999</v>
      </c>
      <c r="R107">
        <v>28.201826000000001</v>
      </c>
      <c r="S107">
        <f t="shared" si="31"/>
        <v>1775.8200812537161</v>
      </c>
      <c r="T107">
        <f t="shared" si="34"/>
        <v>-4.1201358984000001</v>
      </c>
      <c r="U107">
        <f>M107-7616*T107</f>
        <v>33.29995721439991</v>
      </c>
      <c r="V107">
        <f t="shared" si="32"/>
        <v>1.8751875579022838E-2</v>
      </c>
      <c r="W107">
        <f t="shared" si="33"/>
        <v>0.30040504677594587</v>
      </c>
    </row>
    <row r="108" spans="11:28" x14ac:dyDescent="0.2">
      <c r="L108">
        <v>557.79567699999996</v>
      </c>
      <c r="M108">
        <v>-31344.866440000002</v>
      </c>
      <c r="N108">
        <v>165652.12014499999</v>
      </c>
      <c r="O108">
        <v>-0.346109</v>
      </c>
      <c r="P108">
        <v>31.474762999999999</v>
      </c>
      <c r="Q108">
        <v>186.61263400000001</v>
      </c>
      <c r="R108">
        <v>28.2029</v>
      </c>
      <c r="S108">
        <f t="shared" si="31"/>
        <v>1775.3591868254</v>
      </c>
      <c r="T108">
        <f t="shared" si="34"/>
        <v>-4.1201358984000001</v>
      </c>
      <c r="U108">
        <f>M108-7616*T108</f>
        <v>34.088562214397825</v>
      </c>
      <c r="V108">
        <f t="shared" si="32"/>
        <v>1.9200938304407642E-2</v>
      </c>
      <c r="W108">
        <f t="shared" si="33"/>
        <v>0.3075990316366104</v>
      </c>
    </row>
    <row r="109" spans="11:28" x14ac:dyDescent="0.2">
      <c r="L109">
        <v>557.88667699999996</v>
      </c>
      <c r="M109">
        <v>-31342.165724999999</v>
      </c>
      <c r="N109">
        <v>165640.77957899999</v>
      </c>
      <c r="O109">
        <v>-0.25020100000000001</v>
      </c>
      <c r="P109">
        <v>31.473476000000002</v>
      </c>
      <c r="Q109">
        <v>186.58560900000001</v>
      </c>
      <c r="R109">
        <v>28.206205000000001</v>
      </c>
      <c r="S109">
        <f t="shared" ref="S109:S114" si="35">2*R109*P109</f>
        <v>1775.4946322371602</v>
      </c>
      <c r="T109">
        <f t="shared" si="34"/>
        <v>-4.1201358984000001</v>
      </c>
      <c r="U109">
        <f>M109-7616*T109</f>
        <v>36.789277214400499</v>
      </c>
      <c r="V109">
        <f t="shared" si="32"/>
        <v>2.072057923827415E-2</v>
      </c>
      <c r="W109">
        <f t="shared" si="33"/>
        <v>0.33194367939715186</v>
      </c>
      <c r="X109" s="16">
        <f>AVERAGE(W105:W109)</f>
        <v>0.32538164985336504</v>
      </c>
    </row>
    <row r="110" spans="11:28" x14ac:dyDescent="0.2">
      <c r="L110">
        <v>557.93959900000004</v>
      </c>
      <c r="M110">
        <v>-15670.531467000001</v>
      </c>
      <c r="N110">
        <v>82827.410306999998</v>
      </c>
      <c r="O110">
        <v>-0.64263700000000001</v>
      </c>
      <c r="P110">
        <v>31.464594999999999</v>
      </c>
      <c r="Q110">
        <v>186.59392099999999</v>
      </c>
      <c r="R110">
        <v>14.107663000000001</v>
      </c>
      <c r="S110">
        <f t="shared" si="35"/>
        <v>887.78380538297006</v>
      </c>
      <c r="T110">
        <f t="shared" si="34"/>
        <v>-4.1201358984000001</v>
      </c>
      <c r="U110">
        <f>M110-3808*T110</f>
        <v>18.946034107199011</v>
      </c>
      <c r="V110">
        <f t="shared" si="32"/>
        <v>2.1340819681911316E-2</v>
      </c>
      <c r="W110">
        <f t="shared" si="33"/>
        <v>0.34187993130421929</v>
      </c>
    </row>
    <row r="111" spans="11:28" x14ac:dyDescent="0.2">
      <c r="L111">
        <v>557.86999800000001</v>
      </c>
      <c r="M111">
        <v>-15671.291996</v>
      </c>
      <c r="N111">
        <v>82816.432125000007</v>
      </c>
      <c r="O111">
        <v>-0.62013499999999999</v>
      </c>
      <c r="P111">
        <v>31.459744000000001</v>
      </c>
      <c r="Q111">
        <v>186.61499599999999</v>
      </c>
      <c r="R111">
        <v>14.106374000000001</v>
      </c>
      <c r="S111">
        <f t="shared" si="35"/>
        <v>887.56582961651202</v>
      </c>
      <c r="T111">
        <f t="shared" si="34"/>
        <v>-4.1201358984000001</v>
      </c>
      <c r="U111">
        <f>M111-3808*T111</f>
        <v>18.185505107199788</v>
      </c>
      <c r="V111">
        <f t="shared" si="32"/>
        <v>2.0489190210327437E-2</v>
      </c>
      <c r="W111">
        <f t="shared" si="33"/>
        <v>0.32823682716944552</v>
      </c>
    </row>
    <row r="112" spans="11:28" x14ac:dyDescent="0.2">
      <c r="L112">
        <v>557.62313900000004</v>
      </c>
      <c r="M112">
        <v>-15671.287754000001</v>
      </c>
      <c r="N112">
        <v>82813.756800999996</v>
      </c>
      <c r="O112">
        <v>-0.63703500000000002</v>
      </c>
      <c r="P112">
        <v>31.460201000000001</v>
      </c>
      <c r="Q112">
        <v>186.58675199999999</v>
      </c>
      <c r="R112">
        <v>14.107846</v>
      </c>
      <c r="S112">
        <f t="shared" si="35"/>
        <v>887.6713416740921</v>
      </c>
      <c r="T112">
        <f t="shared" si="34"/>
        <v>-4.1201358984000001</v>
      </c>
      <c r="U112">
        <f>M112-3808*T112</f>
        <v>18.189747107198855</v>
      </c>
      <c r="V112">
        <f t="shared" si="32"/>
        <v>2.0491533581442588E-2</v>
      </c>
      <c r="W112">
        <f t="shared" si="33"/>
        <v>0.32827436797471027</v>
      </c>
    </row>
    <row r="113" spans="11:25" x14ac:dyDescent="0.2">
      <c r="L113">
        <v>557.86735699999997</v>
      </c>
      <c r="M113">
        <v>-15670.693824</v>
      </c>
      <c r="N113">
        <v>82829.496606000001</v>
      </c>
      <c r="O113">
        <v>-0.58380100000000001</v>
      </c>
      <c r="P113">
        <v>31.457559</v>
      </c>
      <c r="Q113">
        <v>186.66479699999999</v>
      </c>
      <c r="R113">
        <v>14.105810999999999</v>
      </c>
      <c r="S113">
        <f t="shared" si="35"/>
        <v>887.46876355069799</v>
      </c>
      <c r="T113">
        <f t="shared" si="34"/>
        <v>-4.1201358984000001</v>
      </c>
      <c r="U113">
        <f>M113-3808*T113</f>
        <v>18.783677107199765</v>
      </c>
      <c r="V113">
        <f t="shared" si="32"/>
        <v>2.1165451538877424E-2</v>
      </c>
      <c r="W113">
        <f t="shared" si="33"/>
        <v>0.33907053365281631</v>
      </c>
    </row>
    <row r="114" spans="11:25" x14ac:dyDescent="0.2">
      <c r="L114" s="4">
        <v>557.75890300000003</v>
      </c>
      <c r="M114">
        <v>-15669.371069000001</v>
      </c>
      <c r="N114">
        <v>82810.781583000004</v>
      </c>
      <c r="O114">
        <v>-0.68172699999999997</v>
      </c>
      <c r="P114">
        <v>31.461289000000001</v>
      </c>
      <c r="Q114">
        <v>186.55930000000001</v>
      </c>
      <c r="R114">
        <v>14.108931999999999</v>
      </c>
      <c r="S114">
        <f t="shared" si="35"/>
        <v>887.77037426669597</v>
      </c>
      <c r="T114">
        <f t="shared" si="34"/>
        <v>-4.1201358984000001</v>
      </c>
      <c r="U114">
        <f>M114-3808*T114</f>
        <v>20.106432107198998</v>
      </c>
      <c r="V114">
        <f t="shared" si="32"/>
        <v>2.2648235050428484E-2</v>
      </c>
      <c r="W114">
        <f t="shared" si="33"/>
        <v>0.36282472550786432</v>
      </c>
      <c r="X114" s="1">
        <f>AVERAGE(W110:W114)</f>
        <v>0.34005727712181116</v>
      </c>
      <c r="Y114">
        <f>STDEV(W110:W114)</f>
        <v>1.4152847964270859E-2</v>
      </c>
    </row>
    <row r="117" spans="11:25" x14ac:dyDescent="0.2">
      <c r="K117" t="s">
        <v>27</v>
      </c>
      <c r="L117">
        <v>557.63640099999998</v>
      </c>
      <c r="M117">
        <v>-19756.249233999999</v>
      </c>
      <c r="N117">
        <v>104484.20881700001</v>
      </c>
      <c r="O117">
        <v>-0.52247900000000003</v>
      </c>
      <c r="P117">
        <v>33.414085</v>
      </c>
      <c r="Q117">
        <v>222.29262600000001</v>
      </c>
      <c r="R117">
        <v>14.066841999999999</v>
      </c>
      <c r="S117">
        <f t="shared" si="31"/>
        <v>940.06130853913999</v>
      </c>
      <c r="T117">
        <f t="shared" si="34"/>
        <v>-4.1201358984000001</v>
      </c>
      <c r="U117">
        <f>M117-4800*T117</f>
        <v>20.403078319999622</v>
      </c>
      <c r="V117">
        <f>U117/(2*P117*R117)</f>
        <v>2.1703986893903876E-2</v>
      </c>
      <c r="W117">
        <f>V117*16.02</f>
        <v>0.34769787004034008</v>
      </c>
    </row>
    <row r="118" spans="11:25" x14ac:dyDescent="0.2">
      <c r="L118">
        <v>557.91457200000002</v>
      </c>
      <c r="M118">
        <v>-19756.246545999998</v>
      </c>
      <c r="N118">
        <v>104464.895848</v>
      </c>
      <c r="O118">
        <v>-0.41253099999999998</v>
      </c>
      <c r="P118">
        <v>33.388500999999998</v>
      </c>
      <c r="Q118">
        <v>222.25596100000001</v>
      </c>
      <c r="R118">
        <v>14.077341000000001</v>
      </c>
      <c r="S118">
        <f t="shared" si="31"/>
        <v>940.04262811168201</v>
      </c>
      <c r="T118">
        <f t="shared" si="34"/>
        <v>-4.1201358984000001</v>
      </c>
      <c r="U118">
        <f>M118-4800*T118</f>
        <v>20.405766320000112</v>
      </c>
      <c r="V118">
        <f>U118/(2*P118*R118)</f>
        <v>2.1707277638026219E-2</v>
      </c>
      <c r="W118">
        <f>V118*16.02</f>
        <v>0.34775058776118001</v>
      </c>
    </row>
    <row r="119" spans="11:25" x14ac:dyDescent="0.2">
      <c r="L119">
        <v>557.55850199999998</v>
      </c>
      <c r="M119">
        <v>-19754.481704999998</v>
      </c>
      <c r="N119">
        <v>104464.093389</v>
      </c>
      <c r="O119">
        <v>-0.50016899999999997</v>
      </c>
      <c r="P119">
        <v>33.413659000000003</v>
      </c>
      <c r="Q119">
        <v>222.343884</v>
      </c>
      <c r="R119">
        <v>14.061066</v>
      </c>
      <c r="S119">
        <f t="shared" si="31"/>
        <v>939.66332900098814</v>
      </c>
      <c r="T119">
        <f t="shared" si="34"/>
        <v>-4.1201358984000001</v>
      </c>
      <c r="U119">
        <f>M119-4800*T119</f>
        <v>22.170607320000272</v>
      </c>
      <c r="V119">
        <f>U119/(2*P119*R119)</f>
        <v>2.3594202982861065E-2</v>
      </c>
      <c r="W119">
        <f>V119*16.02</f>
        <v>0.37797913178543424</v>
      </c>
    </row>
    <row r="120" spans="11:25" x14ac:dyDescent="0.2">
      <c r="L120">
        <v>557.79431899999997</v>
      </c>
      <c r="M120">
        <v>-19755.126452</v>
      </c>
      <c r="N120">
        <v>104468.032771</v>
      </c>
      <c r="O120">
        <v>-0.66936099999999998</v>
      </c>
      <c r="P120">
        <v>33.398363000000003</v>
      </c>
      <c r="Q120">
        <v>222.25814399999999</v>
      </c>
      <c r="R120">
        <v>14.073461</v>
      </c>
      <c r="S120">
        <f t="shared" si="31"/>
        <v>940.06111828868609</v>
      </c>
      <c r="T120">
        <f t="shared" si="34"/>
        <v>-4.1201358984000001</v>
      </c>
      <c r="U120">
        <f>M120-4800*T120</f>
        <v>21.525860319998174</v>
      </c>
      <c r="V120">
        <f>U120/(2*P120*R120)</f>
        <v>2.2898362565174975E-2</v>
      </c>
      <c r="W120">
        <f>V120*16.02</f>
        <v>0.36683176829410308</v>
      </c>
    </row>
    <row r="121" spans="11:25" x14ac:dyDescent="0.2">
      <c r="L121">
        <v>557.81965700000001</v>
      </c>
      <c r="M121">
        <v>-19758.606139</v>
      </c>
      <c r="N121">
        <v>104476.87154199999</v>
      </c>
      <c r="O121">
        <v>-0.54576000000000002</v>
      </c>
      <c r="P121">
        <v>33.408240999999997</v>
      </c>
      <c r="Q121">
        <v>222.21158500000001</v>
      </c>
      <c r="R121">
        <v>14.073446000000001</v>
      </c>
      <c r="S121">
        <f t="shared" si="31"/>
        <v>940.33815133697192</v>
      </c>
      <c r="T121">
        <f t="shared" si="34"/>
        <v>-4.1201358984000001</v>
      </c>
      <c r="U121">
        <f>M121-4800*T121</f>
        <v>18.04617331999907</v>
      </c>
      <c r="V121">
        <f>U121/(2*P121*R121)</f>
        <v>1.9191152985062913E-2</v>
      </c>
      <c r="W121">
        <f>V121*16.02</f>
        <v>0.30744227082070785</v>
      </c>
      <c r="X121" s="1">
        <f>AVERAGE(W117:W121)</f>
        <v>0.34954032574035304</v>
      </c>
      <c r="Y121">
        <f>STDEV(W117:W121)</f>
        <v>2.6863561323461245E-2</v>
      </c>
    </row>
    <row r="123" spans="11:25" x14ac:dyDescent="0.2">
      <c r="K123" t="s">
        <v>28</v>
      </c>
      <c r="L123">
        <v>557.66774299999997</v>
      </c>
      <c r="M123">
        <v>-30610.903310999998</v>
      </c>
      <c r="N123">
        <v>161865.476819</v>
      </c>
      <c r="O123">
        <v>-0.43206899999999998</v>
      </c>
      <c r="P123">
        <v>35.865130000000001</v>
      </c>
      <c r="Q123">
        <v>213.531566</v>
      </c>
      <c r="R123">
        <v>21.135871000000002</v>
      </c>
      <c r="S123">
        <f t="shared" si="31"/>
        <v>1516.0815221564601</v>
      </c>
      <c r="T123">
        <f t="shared" si="34"/>
        <v>-4.1201358984000001</v>
      </c>
      <c r="U123">
        <f>M123-7440*T123</f>
        <v>42.90777309600162</v>
      </c>
      <c r="V123">
        <f t="shared" ref="V123:V133" si="36">U123/(2*P123*R123)</f>
        <v>2.8301758493151481E-2</v>
      </c>
      <c r="W123">
        <f t="shared" ref="W123:W154" si="37">V123*16.02</f>
        <v>0.45339417106028673</v>
      </c>
    </row>
    <row r="124" spans="11:25" x14ac:dyDescent="0.2">
      <c r="L124">
        <v>557.74801200000002</v>
      </c>
      <c r="M124">
        <v>-30613.737318</v>
      </c>
      <c r="N124">
        <v>161883.22339500001</v>
      </c>
      <c r="O124">
        <v>-0.31814900000000002</v>
      </c>
      <c r="P124">
        <v>35.876282000000003</v>
      </c>
      <c r="Q124">
        <v>213.531588</v>
      </c>
      <c r="R124">
        <v>21.131613000000002</v>
      </c>
      <c r="S124">
        <f t="shared" si="31"/>
        <v>1516.2474142057322</v>
      </c>
      <c r="T124">
        <f t="shared" si="34"/>
        <v>-4.1201358984000001</v>
      </c>
      <c r="U124">
        <f>M124-7440*T124</f>
        <v>40.073766096000327</v>
      </c>
      <c r="V124">
        <f t="shared" si="36"/>
        <v>2.6429569290967254E-2</v>
      </c>
      <c r="W124">
        <f t="shared" si="37"/>
        <v>0.4234017000412954</v>
      </c>
    </row>
    <row r="125" spans="11:25" x14ac:dyDescent="0.2">
      <c r="L125">
        <v>557.72118699999999</v>
      </c>
      <c r="M125">
        <v>-30612.938643000001</v>
      </c>
      <c r="N125">
        <v>161866.86882900001</v>
      </c>
      <c r="O125">
        <v>-0.33569900000000003</v>
      </c>
      <c r="P125">
        <v>35.876603000000003</v>
      </c>
      <c r="Q125">
        <v>213.363619</v>
      </c>
      <c r="R125">
        <v>21.145923</v>
      </c>
      <c r="S125">
        <f t="shared" si="31"/>
        <v>1517.2877690791381</v>
      </c>
      <c r="T125">
        <f t="shared" si="34"/>
        <v>-4.1201358984000001</v>
      </c>
      <c r="U125">
        <f>M125-7440*T125</f>
        <v>40.872441095998511</v>
      </c>
      <c r="V125">
        <f t="shared" si="36"/>
        <v>2.6937830732534366E-2</v>
      </c>
      <c r="W125">
        <f t="shared" si="37"/>
        <v>0.43154404833520055</v>
      </c>
    </row>
    <row r="126" spans="11:25" x14ac:dyDescent="0.2">
      <c r="L126">
        <v>557.81368599999996</v>
      </c>
      <c r="M126">
        <v>-30611.504782</v>
      </c>
      <c r="N126">
        <v>161869.747194</v>
      </c>
      <c r="O126">
        <v>-0.32483099999999998</v>
      </c>
      <c r="P126">
        <v>35.875546999999997</v>
      </c>
      <c r="Q126">
        <v>213.536338</v>
      </c>
      <c r="R126">
        <v>21.129816000000002</v>
      </c>
      <c r="S126">
        <f t="shared" si="31"/>
        <v>1516.0874140187041</v>
      </c>
      <c r="T126">
        <f t="shared" si="34"/>
        <v>-4.1201358984000001</v>
      </c>
      <c r="U126">
        <f>M126-7440*T126</f>
        <v>42.306302095999854</v>
      </c>
      <c r="V126">
        <f t="shared" si="36"/>
        <v>2.7904922700900357E-2</v>
      </c>
      <c r="W126">
        <f t="shared" si="37"/>
        <v>0.44703686166842371</v>
      </c>
    </row>
    <row r="127" spans="11:25" x14ac:dyDescent="0.2">
      <c r="L127">
        <v>557.76933599999995</v>
      </c>
      <c r="M127">
        <v>-30611.849326</v>
      </c>
      <c r="N127">
        <v>161843.55666199999</v>
      </c>
      <c r="O127">
        <v>-0.323936</v>
      </c>
      <c r="P127">
        <v>35.872632000000003</v>
      </c>
      <c r="Q127">
        <v>213.40138300000001</v>
      </c>
      <c r="R127">
        <v>21.141473999999999</v>
      </c>
      <c r="S127">
        <f t="shared" si="31"/>
        <v>1516.800633479136</v>
      </c>
      <c r="T127">
        <f t="shared" si="34"/>
        <v>-4.1201358984000001</v>
      </c>
      <c r="U127">
        <f>M127-7440*T127</f>
        <v>41.961758096000267</v>
      </c>
      <c r="V127">
        <f t="shared" si="36"/>
        <v>2.7664649638068247E-2</v>
      </c>
      <c r="W127">
        <f t="shared" si="37"/>
        <v>0.44318768720185331</v>
      </c>
      <c r="X127" s="16">
        <f>AVERAGE(W123:W127)</f>
        <v>0.43971289366141197</v>
      </c>
    </row>
    <row r="128" spans="11:25" x14ac:dyDescent="0.2">
      <c r="L128">
        <v>557.76441299999999</v>
      </c>
      <c r="M128">
        <v>-20408.442091000001</v>
      </c>
      <c r="N128">
        <v>107881.132069</v>
      </c>
      <c r="O128">
        <v>-0.46522400000000003</v>
      </c>
      <c r="P128">
        <v>35.876128000000001</v>
      </c>
      <c r="Q128">
        <v>213.391696</v>
      </c>
      <c r="R128">
        <v>14.091684000000001</v>
      </c>
      <c r="S128">
        <f t="shared" ref="S128:S133" si="38">2*R128*P128</f>
        <v>1011.1101178391041</v>
      </c>
      <c r="T128">
        <f t="shared" si="34"/>
        <v>-4.1201358984000001</v>
      </c>
      <c r="U128">
        <f>M128-4960*T128</f>
        <v>27.431965063999087</v>
      </c>
      <c r="V128">
        <f t="shared" si="36"/>
        <v>2.7130541550336142E-2</v>
      </c>
      <c r="W128">
        <f t="shared" si="37"/>
        <v>0.43463127563638498</v>
      </c>
    </row>
    <row r="129" spans="11:25" x14ac:dyDescent="0.2">
      <c r="L129">
        <v>557.652829</v>
      </c>
      <c r="M129">
        <v>-20408.979278999999</v>
      </c>
      <c r="N129">
        <v>107914.692668</v>
      </c>
      <c r="O129">
        <v>-0.54407000000000005</v>
      </c>
      <c r="P129">
        <v>35.849406000000002</v>
      </c>
      <c r="Q129">
        <v>213.444773</v>
      </c>
      <c r="R129">
        <v>14.103070000000001</v>
      </c>
      <c r="S129">
        <f t="shared" si="38"/>
        <v>1011.1733645528401</v>
      </c>
      <c r="T129">
        <f t="shared" si="34"/>
        <v>-4.1201358984000001</v>
      </c>
      <c r="U129">
        <f>M129-4960*T129</f>
        <v>26.894777064000664</v>
      </c>
      <c r="V129">
        <f t="shared" si="36"/>
        <v>2.6597592467137464E-2</v>
      </c>
      <c r="W129">
        <f t="shared" si="37"/>
        <v>0.42609343132354216</v>
      </c>
    </row>
    <row r="130" spans="11:25" x14ac:dyDescent="0.2">
      <c r="L130">
        <v>557.76441299999999</v>
      </c>
      <c r="M130">
        <v>-20408.442091000001</v>
      </c>
      <c r="N130">
        <v>107881.132069</v>
      </c>
      <c r="O130">
        <v>-0.46522400000000003</v>
      </c>
      <c r="P130">
        <v>35.876128000000001</v>
      </c>
      <c r="Q130">
        <v>213.391696</v>
      </c>
      <c r="R130">
        <v>14.091684000000001</v>
      </c>
      <c r="S130">
        <f t="shared" si="38"/>
        <v>1011.1101178391041</v>
      </c>
      <c r="T130">
        <f t="shared" si="34"/>
        <v>-4.1201358984000001</v>
      </c>
      <c r="U130">
        <f>M130-4960*T130</f>
        <v>27.431965063999087</v>
      </c>
      <c r="V130">
        <f t="shared" si="36"/>
        <v>2.7130541550336142E-2</v>
      </c>
      <c r="W130">
        <f t="shared" si="37"/>
        <v>0.43463127563638498</v>
      </c>
    </row>
    <row r="131" spans="11:25" x14ac:dyDescent="0.2">
      <c r="L131">
        <v>557.76441299999999</v>
      </c>
      <c r="M131">
        <v>-20408.442091000001</v>
      </c>
      <c r="N131">
        <v>107881.132069</v>
      </c>
      <c r="O131">
        <v>-0.46522400000000003</v>
      </c>
      <c r="P131">
        <v>35.876128000000001</v>
      </c>
      <c r="Q131">
        <v>213.391696</v>
      </c>
      <c r="R131">
        <v>14.091684000000001</v>
      </c>
      <c r="S131">
        <f t="shared" si="38"/>
        <v>1011.1101178391041</v>
      </c>
      <c r="T131">
        <f t="shared" si="34"/>
        <v>-4.1201358984000001</v>
      </c>
      <c r="U131">
        <f>M131-4960*T131</f>
        <v>27.431965063999087</v>
      </c>
      <c r="V131">
        <f t="shared" si="36"/>
        <v>2.7130541550336142E-2</v>
      </c>
      <c r="W131">
        <f t="shared" si="37"/>
        <v>0.43463127563638498</v>
      </c>
    </row>
    <row r="132" spans="11:25" x14ac:dyDescent="0.2">
      <c r="L132">
        <v>557.76441299999999</v>
      </c>
      <c r="M132">
        <v>-20408.442091000001</v>
      </c>
      <c r="N132">
        <v>107881.132069</v>
      </c>
      <c r="O132">
        <v>-0.46522400000000003</v>
      </c>
      <c r="P132">
        <v>35.876128000000001</v>
      </c>
      <c r="Q132">
        <v>213.391696</v>
      </c>
      <c r="R132">
        <v>14.091684000000001</v>
      </c>
      <c r="S132">
        <f t="shared" si="38"/>
        <v>1011.1101178391041</v>
      </c>
      <c r="T132">
        <f t="shared" si="34"/>
        <v>-4.1201358984000001</v>
      </c>
      <c r="U132">
        <f>M132-4960*T132</f>
        <v>27.431965063999087</v>
      </c>
      <c r="V132">
        <f t="shared" si="36"/>
        <v>2.7130541550336142E-2</v>
      </c>
      <c r="W132">
        <f t="shared" si="37"/>
        <v>0.43463127563638498</v>
      </c>
      <c r="X132" s="1">
        <f>AVERAGE(W128:W132)</f>
        <v>0.43292370677381642</v>
      </c>
      <c r="Y132">
        <f>STDEV(W128:W132)</f>
        <v>3.8182400529653071E-3</v>
      </c>
    </row>
    <row r="133" spans="11:25" x14ac:dyDescent="0.2">
      <c r="K133" t="s">
        <v>55</v>
      </c>
      <c r="L133">
        <v>520.64316699999995</v>
      </c>
      <c r="M133">
        <v>-16061.666757999999</v>
      </c>
      <c r="N133">
        <v>84873.588006999998</v>
      </c>
      <c r="O133">
        <v>-0.54531399999999997</v>
      </c>
      <c r="P133">
        <v>31.845929000000002</v>
      </c>
      <c r="Q133">
        <v>189.01558299999999</v>
      </c>
      <c r="R133">
        <v>14.100084000000001</v>
      </c>
      <c r="S133">
        <f t="shared" si="38"/>
        <v>898.0605479160721</v>
      </c>
      <c r="T133">
        <f t="shared" ref="T133:T172" si="39">$F$4</f>
        <v>-4.1201358984000001</v>
      </c>
      <c r="U133">
        <f>M133-3904*T133</f>
        <v>23.343789353601096</v>
      </c>
      <c r="V133">
        <f t="shared" si="36"/>
        <v>2.5993558460807344E-2</v>
      </c>
      <c r="W133">
        <f t="shared" si="37"/>
        <v>0.41641680654213364</v>
      </c>
      <c r="X133" s="1"/>
    </row>
    <row r="134" spans="11:25" x14ac:dyDescent="0.2">
      <c r="L134">
        <v>520.50180399999999</v>
      </c>
      <c r="M134">
        <v>-16060.282664</v>
      </c>
      <c r="N134">
        <v>84860.244745999997</v>
      </c>
      <c r="O134">
        <v>-0.560419</v>
      </c>
      <c r="P134">
        <v>31.847185</v>
      </c>
      <c r="Q134">
        <v>188.94914900000001</v>
      </c>
      <c r="R134">
        <v>14.102271999999999</v>
      </c>
      <c r="S134">
        <f t="shared" ref="S134:S168" si="40">2*R134*P134</f>
        <v>898.23533060863997</v>
      </c>
      <c r="T134">
        <f t="shared" si="39"/>
        <v>-4.1201358984000001</v>
      </c>
      <c r="U134">
        <f>M134-3904*T134</f>
        <v>24.727883353600191</v>
      </c>
      <c r="V134">
        <f t="shared" ref="V134:V166" si="41">U134/(2*P134*R134)</f>
        <v>2.7529404055888891E-2</v>
      </c>
      <c r="W134">
        <f t="shared" si="37"/>
        <v>0.44102105297534</v>
      </c>
      <c r="X134" s="1"/>
    </row>
    <row r="135" spans="11:25" x14ac:dyDescent="0.2">
      <c r="L135">
        <v>520.66957300000001</v>
      </c>
      <c r="M135">
        <v>-16059.421541</v>
      </c>
      <c r="N135">
        <v>84850.924769000005</v>
      </c>
      <c r="O135">
        <v>-0.45927600000000002</v>
      </c>
      <c r="P135">
        <v>31.835958999999999</v>
      </c>
      <c r="Q135">
        <v>188.99881099999999</v>
      </c>
      <c r="R135">
        <v>14.101991</v>
      </c>
      <c r="S135">
        <f t="shared" si="40"/>
        <v>897.90081458873794</v>
      </c>
      <c r="T135">
        <f t="shared" si="39"/>
        <v>-4.1201358984000001</v>
      </c>
      <c r="U135">
        <f>M135-3904*T135</f>
        <v>25.58900635360078</v>
      </c>
      <c r="V135">
        <f t="shared" si="41"/>
        <v>2.8498700455374032E-2</v>
      </c>
      <c r="W135">
        <f t="shared" si="37"/>
        <v>0.45654918129509198</v>
      </c>
      <c r="X135" s="1"/>
    </row>
    <row r="136" spans="11:25" x14ac:dyDescent="0.2">
      <c r="L136">
        <v>520.621578</v>
      </c>
      <c r="M136">
        <v>-16061.909855</v>
      </c>
      <c r="N136">
        <v>84857.524932999993</v>
      </c>
      <c r="O136">
        <v>-0.56391500000000006</v>
      </c>
      <c r="P136">
        <v>31.839870999999999</v>
      </c>
      <c r="Q136">
        <v>188.95949899999999</v>
      </c>
      <c r="R136">
        <v>14.104288</v>
      </c>
      <c r="S136">
        <f t="shared" si="40"/>
        <v>898.15742093369602</v>
      </c>
      <c r="T136">
        <f t="shared" si="39"/>
        <v>-4.1201358984000001</v>
      </c>
      <c r="U136">
        <f>M136-3904*T136</f>
        <v>23.100692353600607</v>
      </c>
      <c r="V136">
        <f t="shared" si="41"/>
        <v>2.5720092953845284E-2</v>
      </c>
      <c r="W136">
        <f t="shared" si="37"/>
        <v>0.41203588912060146</v>
      </c>
      <c r="X136" s="1"/>
    </row>
    <row r="137" spans="11:25" x14ac:dyDescent="0.2">
      <c r="L137">
        <v>520.48834099999999</v>
      </c>
      <c r="M137">
        <v>-16061.254602999999</v>
      </c>
      <c r="N137">
        <v>84876.070812000005</v>
      </c>
      <c r="O137">
        <v>-0.53558600000000001</v>
      </c>
      <c r="P137">
        <v>31.835567999999999</v>
      </c>
      <c r="Q137">
        <v>189.04723999999999</v>
      </c>
      <c r="R137">
        <v>14.102736</v>
      </c>
      <c r="S137">
        <f t="shared" si="40"/>
        <v>897.93722182809597</v>
      </c>
      <c r="T137">
        <f t="shared" si="39"/>
        <v>-4.1201358984000001</v>
      </c>
      <c r="U137">
        <f>M137-3904*T137</f>
        <v>23.75594435360108</v>
      </c>
      <c r="V137">
        <f t="shared" si="41"/>
        <v>2.6456130535759209E-2</v>
      </c>
      <c r="W137">
        <f t="shared" si="37"/>
        <v>0.42382721118286254</v>
      </c>
      <c r="X137" s="1">
        <f>AVERAGE(W133:W137)</f>
        <v>0.42997002822320596</v>
      </c>
      <c r="Y137">
        <f>STDEV(W133:W137)</f>
        <v>1.8517788006198372E-2</v>
      </c>
    </row>
    <row r="138" spans="11:25" x14ac:dyDescent="0.2">
      <c r="K138" t="s">
        <v>133</v>
      </c>
      <c r="L138">
        <v>557.93758700000001</v>
      </c>
      <c r="M138">
        <v>-13034.076258999999</v>
      </c>
      <c r="N138">
        <v>68913.629845999996</v>
      </c>
      <c r="O138">
        <v>-0.88171100000000002</v>
      </c>
      <c r="P138">
        <v>24.866662999999999</v>
      </c>
      <c r="Q138">
        <v>196.40911</v>
      </c>
      <c r="R138">
        <v>14.109991000000001</v>
      </c>
      <c r="S138">
        <f t="shared" si="40"/>
        <v>701.73678226006598</v>
      </c>
      <c r="T138">
        <f t="shared" si="39"/>
        <v>-4.1201358984000001</v>
      </c>
      <c r="U138">
        <f>M138-3168*T138</f>
        <v>18.51426713120054</v>
      </c>
      <c r="V138">
        <f t="shared" si="41"/>
        <v>2.6383492499241819E-2</v>
      </c>
      <c r="W138">
        <f t="shared" si="37"/>
        <v>0.42266354983785392</v>
      </c>
    </row>
    <row r="139" spans="11:25" x14ac:dyDescent="0.2">
      <c r="L139">
        <v>557.89421500000003</v>
      </c>
      <c r="M139">
        <v>-13032.262346</v>
      </c>
      <c r="N139">
        <v>68892.644891999997</v>
      </c>
      <c r="O139">
        <v>-0.81335900000000005</v>
      </c>
      <c r="P139">
        <v>24.867491999999999</v>
      </c>
      <c r="Q139">
        <v>196.379796</v>
      </c>
      <c r="R139">
        <v>14.107331</v>
      </c>
      <c r="S139">
        <f t="shared" si="40"/>
        <v>701.62788156770398</v>
      </c>
      <c r="T139">
        <f t="shared" si="39"/>
        <v>-4.1201358984000001</v>
      </c>
      <c r="U139">
        <f>M139-3168*T139</f>
        <v>20.328180131200497</v>
      </c>
      <c r="V139">
        <f t="shared" si="41"/>
        <v>2.8972879592212897E-2</v>
      </c>
      <c r="W139">
        <f t="shared" si="37"/>
        <v>0.46414553106725059</v>
      </c>
    </row>
    <row r="140" spans="11:25" x14ac:dyDescent="0.2">
      <c r="L140">
        <v>557.71277599999996</v>
      </c>
      <c r="M140">
        <v>-13034.802465000001</v>
      </c>
      <c r="N140">
        <v>68916.673716000005</v>
      </c>
      <c r="O140">
        <v>-0.74682899999999997</v>
      </c>
      <c r="P140">
        <v>24.868134000000001</v>
      </c>
      <c r="Q140">
        <v>196.470966</v>
      </c>
      <c r="R140">
        <v>14.105340999999999</v>
      </c>
      <c r="S140">
        <f t="shared" si="40"/>
        <v>701.54702020738796</v>
      </c>
      <c r="T140">
        <f t="shared" si="39"/>
        <v>-4.1201358984000001</v>
      </c>
      <c r="U140">
        <f>M140-3168*T140</f>
        <v>17.788061131199356</v>
      </c>
      <c r="V140">
        <f t="shared" si="41"/>
        <v>2.5355479559931615E-2</v>
      </c>
      <c r="W140">
        <f t="shared" si="37"/>
        <v>0.40619478255010444</v>
      </c>
    </row>
    <row r="141" spans="11:25" x14ac:dyDescent="0.2">
      <c r="L141">
        <v>557.848659</v>
      </c>
      <c r="M141">
        <v>-13032.990129</v>
      </c>
      <c r="N141">
        <v>68914.804728999996</v>
      </c>
      <c r="O141">
        <v>-0.88557200000000003</v>
      </c>
      <c r="P141">
        <v>24.868670999999999</v>
      </c>
      <c r="Q141">
        <v>196.474301</v>
      </c>
      <c r="R141">
        <v>14.104412</v>
      </c>
      <c r="S141">
        <f t="shared" si="40"/>
        <v>701.51596335290401</v>
      </c>
      <c r="T141">
        <f t="shared" si="39"/>
        <v>-4.1201358984000001</v>
      </c>
      <c r="U141">
        <f>M141-3168*T141</f>
        <v>19.600397131200225</v>
      </c>
      <c r="V141">
        <f t="shared" si="41"/>
        <v>2.7940058608958648E-2</v>
      </c>
      <c r="W141">
        <f t="shared" si="37"/>
        <v>0.44759973891551752</v>
      </c>
    </row>
    <row r="142" spans="11:25" x14ac:dyDescent="0.2">
      <c r="L142">
        <v>557.84803999999997</v>
      </c>
      <c r="M142">
        <v>-13034.776119</v>
      </c>
      <c r="N142">
        <v>68911.664520000006</v>
      </c>
      <c r="O142">
        <v>-0.70603899999999997</v>
      </c>
      <c r="P142">
        <v>24.855353000000001</v>
      </c>
      <c r="Q142">
        <v>196.468142</v>
      </c>
      <c r="R142">
        <v>14.111782</v>
      </c>
      <c r="S142">
        <f t="shared" si="40"/>
        <v>701.50664613809204</v>
      </c>
      <c r="T142">
        <f t="shared" si="39"/>
        <v>-4.1201358984000001</v>
      </c>
      <c r="U142">
        <f>M142-3168*T142</f>
        <v>17.814407131199914</v>
      </c>
      <c r="V142">
        <f t="shared" si="41"/>
        <v>2.5394495161622656E-2</v>
      </c>
      <c r="W142">
        <f t="shared" si="37"/>
        <v>0.40681981248919491</v>
      </c>
      <c r="X142" s="1">
        <f>AVERAGE(W138:W142)</f>
        <v>0.42948468297198428</v>
      </c>
      <c r="Y142">
        <f>STDEV(W138:W142)</f>
        <v>2.565235523015719E-2</v>
      </c>
    </row>
    <row r="143" spans="11:25" x14ac:dyDescent="0.2">
      <c r="K143" t="s">
        <v>134</v>
      </c>
      <c r="L143">
        <v>557.66356299999995</v>
      </c>
      <c r="M143">
        <v>-13293.46055</v>
      </c>
      <c r="N143">
        <v>70302.746721999996</v>
      </c>
      <c r="O143">
        <v>-0.782138</v>
      </c>
      <c r="P143">
        <v>29.020886999999998</v>
      </c>
      <c r="Q143">
        <v>171.844132</v>
      </c>
      <c r="R143">
        <v>14.097033</v>
      </c>
      <c r="S143">
        <f t="shared" si="40"/>
        <v>818.21680345654192</v>
      </c>
      <c r="T143">
        <f t="shared" si="39"/>
        <v>-4.1201358984000001</v>
      </c>
      <c r="U143">
        <f>M143-3232*T143</f>
        <v>22.818673628800752</v>
      </c>
      <c r="V143">
        <f t="shared" si="41"/>
        <v>2.7888297493285009E-2</v>
      </c>
      <c r="W143">
        <f t="shared" si="37"/>
        <v>0.44677052584242583</v>
      </c>
    </row>
    <row r="144" spans="11:25" x14ac:dyDescent="0.2">
      <c r="L144">
        <v>557.65235399999995</v>
      </c>
      <c r="M144">
        <v>-13292.560992000001</v>
      </c>
      <c r="N144">
        <v>70298.476488999993</v>
      </c>
      <c r="O144">
        <v>-0.73224199999999995</v>
      </c>
      <c r="P144">
        <v>29.016452000000001</v>
      </c>
      <c r="Q144">
        <v>171.76813999999999</v>
      </c>
      <c r="R144">
        <v>14.104569</v>
      </c>
      <c r="S144">
        <f t="shared" si="40"/>
        <v>818.52909873837598</v>
      </c>
      <c r="T144">
        <f t="shared" si="39"/>
        <v>-4.1201358984000001</v>
      </c>
      <c r="U144">
        <f>M144-3232*T144</f>
        <v>23.718231628799913</v>
      </c>
      <c r="V144">
        <f t="shared" si="41"/>
        <v>2.8976650512923183E-2</v>
      </c>
      <c r="W144">
        <f t="shared" si="37"/>
        <v>0.46420594121702935</v>
      </c>
    </row>
    <row r="145" spans="11:29" x14ac:dyDescent="0.2">
      <c r="L145">
        <v>557.67006500000002</v>
      </c>
      <c r="M145">
        <v>-13293.596457</v>
      </c>
      <c r="N145">
        <v>70287.364709000001</v>
      </c>
      <c r="O145">
        <v>-0.81238999999999995</v>
      </c>
      <c r="P145">
        <v>29.023900000000001</v>
      </c>
      <c r="Q145">
        <v>171.97301200000001</v>
      </c>
      <c r="R145">
        <v>14.081925999999999</v>
      </c>
      <c r="S145">
        <f t="shared" si="40"/>
        <v>817.42482406279998</v>
      </c>
      <c r="T145">
        <f t="shared" si="39"/>
        <v>-4.1201358984000001</v>
      </c>
      <c r="U145">
        <f>M145-3232*T145</f>
        <v>22.682766628800891</v>
      </c>
      <c r="V145">
        <f t="shared" si="41"/>
        <v>2.7749055278333767E-2</v>
      </c>
      <c r="W145">
        <f t="shared" si="37"/>
        <v>0.44453986555890695</v>
      </c>
      <c r="AA145" s="20">
        <v>0.42997002822320596</v>
      </c>
      <c r="AB145" s="43" t="s">
        <v>138</v>
      </c>
      <c r="AC145">
        <v>1.8517788006198372E-2</v>
      </c>
    </row>
    <row r="146" spans="11:29" x14ac:dyDescent="0.2">
      <c r="L146">
        <v>557.68666299999995</v>
      </c>
      <c r="M146">
        <v>-13292.732887</v>
      </c>
      <c r="N146">
        <v>70306.545266000001</v>
      </c>
      <c r="O146">
        <v>-0.80047999999999997</v>
      </c>
      <c r="P146">
        <v>29.023724000000001</v>
      </c>
      <c r="Q146">
        <v>171.86332899999999</v>
      </c>
      <c r="R146">
        <v>14.094844999999999</v>
      </c>
      <c r="S146">
        <f t="shared" si="40"/>
        <v>818.16978220555995</v>
      </c>
      <c r="T146">
        <f t="shared" si="39"/>
        <v>-4.1201358984000001</v>
      </c>
      <c r="U146">
        <f>M146-3232*T146</f>
        <v>23.546336628800418</v>
      </c>
      <c r="V146">
        <f t="shared" si="41"/>
        <v>2.8779279241193671E-2</v>
      </c>
      <c r="W146">
        <f t="shared" si="37"/>
        <v>0.46104405344392257</v>
      </c>
      <c r="AA146" s="20">
        <v>0.42948468297198428</v>
      </c>
      <c r="AB146" s="43" t="s">
        <v>121</v>
      </c>
      <c r="AC146">
        <v>2.565235523015719E-2</v>
      </c>
    </row>
    <row r="147" spans="11:29" x14ac:dyDescent="0.2">
      <c r="L147">
        <v>557.91385700000001</v>
      </c>
      <c r="M147">
        <v>-13292.111440999999</v>
      </c>
      <c r="N147">
        <v>70317.674016000004</v>
      </c>
      <c r="O147">
        <v>-0.77297400000000005</v>
      </c>
      <c r="P147">
        <v>29.013749000000001</v>
      </c>
      <c r="Q147">
        <v>171.991533</v>
      </c>
      <c r="R147">
        <v>14.091405</v>
      </c>
      <c r="S147">
        <f t="shared" si="40"/>
        <v>817.68897545468997</v>
      </c>
      <c r="T147">
        <f t="shared" si="39"/>
        <v>-4.1201358984000001</v>
      </c>
      <c r="U147">
        <f>M147-3232*T147</f>
        <v>24.167782628801433</v>
      </c>
      <c r="V147">
        <f t="shared" si="41"/>
        <v>2.9556204564654333E-2</v>
      </c>
      <c r="W147">
        <f t="shared" si="37"/>
        <v>0.47349039712576241</v>
      </c>
      <c r="X147" s="1">
        <f>AVERAGE(W143:W147)</f>
        <v>0.45801015663760947</v>
      </c>
      <c r="Y147">
        <f>STDEV(W143:W147)</f>
        <v>1.219639459137409E-2</v>
      </c>
      <c r="AA147" s="20">
        <v>0.43292370677381642</v>
      </c>
      <c r="AB147" s="43" t="s">
        <v>122</v>
      </c>
      <c r="AC147">
        <v>3.8182400529653071E-3</v>
      </c>
    </row>
    <row r="148" spans="11:29" x14ac:dyDescent="0.2">
      <c r="K148" t="s">
        <v>135</v>
      </c>
      <c r="L148">
        <v>557.90263700000003</v>
      </c>
      <c r="M148">
        <v>-15145.835569999999</v>
      </c>
      <c r="N148">
        <v>80074.343257999994</v>
      </c>
      <c r="O148">
        <v>-0.67031799999999997</v>
      </c>
      <c r="P148">
        <v>26.806094999999999</v>
      </c>
      <c r="Q148">
        <v>211.801141</v>
      </c>
      <c r="R148">
        <v>14.103672</v>
      </c>
      <c r="S148">
        <f t="shared" si="40"/>
        <v>756.1287429616799</v>
      </c>
      <c r="T148">
        <f t="shared" si="39"/>
        <v>-4.1201358984000001</v>
      </c>
      <c r="U148">
        <f>M148-3680*T148</f>
        <v>16.264536112001224</v>
      </c>
      <c r="V148">
        <f t="shared" si="41"/>
        <v>2.1510273565708768E-2</v>
      </c>
      <c r="W148">
        <f t="shared" si="37"/>
        <v>0.34459458252265446</v>
      </c>
      <c r="AA148" s="20">
        <v>0.45801015663760947</v>
      </c>
      <c r="AB148" s="41" t="s">
        <v>123</v>
      </c>
      <c r="AC148">
        <v>1.219639459137409E-2</v>
      </c>
    </row>
    <row r="149" spans="11:29" x14ac:dyDescent="0.2">
      <c r="L149">
        <v>557.60061499999995</v>
      </c>
      <c r="M149">
        <v>-15143.866055</v>
      </c>
      <c r="N149">
        <v>80064.955843999996</v>
      </c>
      <c r="O149">
        <v>-0.77607199999999998</v>
      </c>
      <c r="P149">
        <v>26.799852000000001</v>
      </c>
      <c r="Q149">
        <v>211.86152100000001</v>
      </c>
      <c r="R149">
        <v>14.101284</v>
      </c>
      <c r="S149">
        <f t="shared" si="40"/>
        <v>755.82464841993601</v>
      </c>
      <c r="T149">
        <f t="shared" si="39"/>
        <v>-4.1201358984000001</v>
      </c>
      <c r="U149">
        <f>M149-3680*T149</f>
        <v>18.234051112000088</v>
      </c>
      <c r="V149">
        <f t="shared" si="41"/>
        <v>2.412471087059502E-2</v>
      </c>
      <c r="W149">
        <f t="shared" si="37"/>
        <v>0.38647786814693219</v>
      </c>
      <c r="AA149" s="20">
        <v>0.34954032574035304</v>
      </c>
      <c r="AB149" s="41" t="s">
        <v>124</v>
      </c>
      <c r="AC149">
        <v>2.6863561323461245E-2</v>
      </c>
    </row>
    <row r="150" spans="11:29" x14ac:dyDescent="0.2">
      <c r="L150">
        <v>557.801107</v>
      </c>
      <c r="M150">
        <v>-15144.778503</v>
      </c>
      <c r="N150">
        <v>80062.086760000006</v>
      </c>
      <c r="O150">
        <v>-0.71985399999999999</v>
      </c>
      <c r="P150">
        <v>26.804881999999999</v>
      </c>
      <c r="Q150">
        <v>211.839269</v>
      </c>
      <c r="R150">
        <v>14.099615999999999</v>
      </c>
      <c r="S150">
        <f t="shared" si="40"/>
        <v>755.87708625062396</v>
      </c>
      <c r="T150">
        <f t="shared" si="39"/>
        <v>-4.1201358984000001</v>
      </c>
      <c r="U150">
        <f>M150-3680*T150</f>
        <v>17.321603112000957</v>
      </c>
      <c r="V150">
        <f t="shared" si="41"/>
        <v>2.291589919456519E-2</v>
      </c>
      <c r="W150">
        <f t="shared" si="37"/>
        <v>0.36711270509693433</v>
      </c>
      <c r="AA150" s="20">
        <v>0.37273424505906971</v>
      </c>
      <c r="AB150" s="41" t="s">
        <v>126</v>
      </c>
      <c r="AC150">
        <v>1.7911804199900627E-2</v>
      </c>
    </row>
    <row r="151" spans="11:29" x14ac:dyDescent="0.2">
      <c r="L151">
        <v>557.70803599999999</v>
      </c>
      <c r="M151">
        <v>-15144.320331999999</v>
      </c>
      <c r="N151">
        <v>80069.030601000006</v>
      </c>
      <c r="O151">
        <v>-0.67193000000000003</v>
      </c>
      <c r="P151">
        <v>26.808478000000001</v>
      </c>
      <c r="Q151">
        <v>211.84429299999999</v>
      </c>
      <c r="R151">
        <v>14.098606999999999</v>
      </c>
      <c r="S151">
        <f t="shared" si="40"/>
        <v>755.92439118029199</v>
      </c>
      <c r="T151">
        <f t="shared" si="39"/>
        <v>-4.1201358984000001</v>
      </c>
      <c r="U151">
        <f>M151-3680*T151</f>
        <v>17.779774112001178</v>
      </c>
      <c r="V151">
        <f t="shared" si="41"/>
        <v>2.3520572056472521E-2</v>
      </c>
      <c r="W151">
        <f t="shared" si="37"/>
        <v>0.37679956434468975</v>
      </c>
      <c r="AA151" s="20">
        <v>0.34005727712181116</v>
      </c>
      <c r="AB151" s="41" t="s">
        <v>127</v>
      </c>
      <c r="AC151">
        <v>1.4152847964270859E-2</v>
      </c>
    </row>
    <row r="152" spans="11:29" x14ac:dyDescent="0.2">
      <c r="L152">
        <v>557.88775999999996</v>
      </c>
      <c r="M152">
        <v>-15143.757099</v>
      </c>
      <c r="N152">
        <v>80072.321366000004</v>
      </c>
      <c r="O152">
        <v>-0.64398299999999997</v>
      </c>
      <c r="P152">
        <v>26.800644999999999</v>
      </c>
      <c r="Q152">
        <v>211.82612700000001</v>
      </c>
      <c r="R152">
        <v>14.104521</v>
      </c>
      <c r="S152">
        <f t="shared" si="40"/>
        <v>756.02052043208994</v>
      </c>
      <c r="T152">
        <f t="shared" si="39"/>
        <v>-4.1201358984000001</v>
      </c>
      <c r="U152">
        <f>M152-3680*T152</f>
        <v>18.343007112000123</v>
      </c>
      <c r="V152">
        <f t="shared" si="41"/>
        <v>2.4262578351069767E-2</v>
      </c>
      <c r="W152">
        <f t="shared" si="37"/>
        <v>0.38868650518413767</v>
      </c>
      <c r="X152" s="1">
        <f>AVERAGE(W148:W152)</f>
        <v>0.37273424505906971</v>
      </c>
      <c r="Y152">
        <f>STDEV(W148:W152)</f>
        <v>1.7911804199900627E-2</v>
      </c>
      <c r="AA152" s="20">
        <v>0.55726137889538596</v>
      </c>
      <c r="AB152" s="41" t="s">
        <v>128</v>
      </c>
      <c r="AC152">
        <v>1.0919222774251837E-2</v>
      </c>
    </row>
    <row r="153" spans="11:29" x14ac:dyDescent="0.2">
      <c r="K153" t="s">
        <v>136</v>
      </c>
      <c r="L153">
        <v>557.73597600000005</v>
      </c>
      <c r="M153">
        <v>-13561.290158</v>
      </c>
      <c r="N153">
        <v>71688.707884999996</v>
      </c>
      <c r="O153">
        <v>-0.72102699999999997</v>
      </c>
      <c r="P153">
        <v>25.347052000000001</v>
      </c>
      <c r="Q153">
        <v>200.903943</v>
      </c>
      <c r="R153">
        <v>14.077819</v>
      </c>
      <c r="S153">
        <f t="shared" si="40"/>
        <v>713.66242047917603</v>
      </c>
      <c r="T153">
        <f t="shared" si="39"/>
        <v>-4.1201358984000001</v>
      </c>
      <c r="U153">
        <f>M153-3296*T153</f>
        <v>18.67776312640126</v>
      </c>
      <c r="V153">
        <f t="shared" si="41"/>
        <v>2.6171706104211576E-2</v>
      </c>
      <c r="W153">
        <f t="shared" si="37"/>
        <v>0.41927073178946944</v>
      </c>
      <c r="AA153" s="20">
        <v>0.45693548394487671</v>
      </c>
      <c r="AB153" s="41" t="s">
        <v>129</v>
      </c>
      <c r="AC153">
        <v>2.5312829344658991E-2</v>
      </c>
    </row>
    <row r="154" spans="11:29" x14ac:dyDescent="0.2">
      <c r="L154">
        <v>557.98228200000005</v>
      </c>
      <c r="M154">
        <v>-13559.436382</v>
      </c>
      <c r="N154">
        <v>71677.647372000007</v>
      </c>
      <c r="O154">
        <v>-0.67207899999999998</v>
      </c>
      <c r="P154">
        <v>25.342518999999999</v>
      </c>
      <c r="Q154">
        <v>200.81591800000001</v>
      </c>
      <c r="R154">
        <v>14.084339</v>
      </c>
      <c r="S154">
        <f t="shared" si="40"/>
        <v>713.86525741988203</v>
      </c>
      <c r="T154">
        <f t="shared" si="39"/>
        <v>-4.1201358984000001</v>
      </c>
      <c r="U154">
        <f>M154-3296*T154</f>
        <v>20.531539126401185</v>
      </c>
      <c r="V154">
        <f t="shared" si="41"/>
        <v>2.8761084690699441E-2</v>
      </c>
      <c r="W154">
        <f t="shared" si="37"/>
        <v>0.46075257674500503</v>
      </c>
      <c r="AA154" s="20">
        <v>0.46834195329599648</v>
      </c>
      <c r="AB154" s="41" t="s">
        <v>130</v>
      </c>
      <c r="AC154">
        <v>1.9891116132721699E-2</v>
      </c>
    </row>
    <row r="155" spans="11:29" x14ac:dyDescent="0.2">
      <c r="L155">
        <v>557.91874900000005</v>
      </c>
      <c r="M155">
        <v>-13559.981685000001</v>
      </c>
      <c r="N155">
        <v>71699.927314</v>
      </c>
      <c r="O155">
        <v>-0.68750299999999998</v>
      </c>
      <c r="P155">
        <v>25.338925</v>
      </c>
      <c r="Q155">
        <v>200.83668800000001</v>
      </c>
      <c r="R155">
        <v>14.089259999999999</v>
      </c>
      <c r="S155">
        <f t="shared" si="40"/>
        <v>714.01340489099994</v>
      </c>
      <c r="T155">
        <f t="shared" si="39"/>
        <v>-4.1201358984000001</v>
      </c>
      <c r="U155">
        <f>M155-3296*T155</f>
        <v>19.986236126400399</v>
      </c>
      <c r="V155">
        <f t="shared" si="41"/>
        <v>2.7991401827324885E-2</v>
      </c>
      <c r="W155">
        <f t="shared" ref="W155:W172" si="42">V155*16.02</f>
        <v>0.44842225727374463</v>
      </c>
    </row>
    <row r="156" spans="11:29" x14ac:dyDescent="0.2">
      <c r="L156">
        <v>557.77428099999997</v>
      </c>
      <c r="M156">
        <v>-13558.272994999999</v>
      </c>
      <c r="N156">
        <v>71696.429837000003</v>
      </c>
      <c r="O156">
        <v>-0.67340299999999997</v>
      </c>
      <c r="P156">
        <v>25.346978</v>
      </c>
      <c r="Q156">
        <v>200.95161200000001</v>
      </c>
      <c r="R156">
        <v>14.076039</v>
      </c>
      <c r="S156">
        <f t="shared" si="40"/>
        <v>713.57010172028401</v>
      </c>
      <c r="T156">
        <f t="shared" si="39"/>
        <v>-4.1201358984000001</v>
      </c>
      <c r="U156">
        <f>M156-3296*T156</f>
        <v>21.694926126401697</v>
      </c>
      <c r="V156">
        <f t="shared" si="41"/>
        <v>3.040335641039232E-2</v>
      </c>
      <c r="W156">
        <f t="shared" si="42"/>
        <v>0.48706176969448495</v>
      </c>
      <c r="AA156" t="s">
        <v>144</v>
      </c>
      <c r="AB156">
        <f>AVERAGE(Y114,Y121,Y132,Y137,Y142,Y147,Y152,Y157,Y162,Y167)</f>
        <v>1.7523615961996024E-2</v>
      </c>
    </row>
    <row r="157" spans="11:29" x14ac:dyDescent="0.2">
      <c r="L157">
        <v>557.76005899999996</v>
      </c>
      <c r="M157">
        <v>-13559.06301</v>
      </c>
      <c r="N157">
        <v>71686.254822999996</v>
      </c>
      <c r="O157">
        <v>-0.68725999999999998</v>
      </c>
      <c r="P157">
        <v>25.347087999999999</v>
      </c>
      <c r="Q157">
        <v>200.856516</v>
      </c>
      <c r="R157">
        <v>14.080641999999999</v>
      </c>
      <c r="S157">
        <f t="shared" si="40"/>
        <v>713.80654374099197</v>
      </c>
      <c r="T157">
        <f t="shared" si="39"/>
        <v>-4.1201358984000001</v>
      </c>
      <c r="U157">
        <f>M157-3296*T157</f>
        <v>20.904911126401203</v>
      </c>
      <c r="V157">
        <f t="shared" si="41"/>
        <v>2.9286522111215959E-2</v>
      </c>
      <c r="W157">
        <f t="shared" si="42"/>
        <v>0.46917008422167966</v>
      </c>
      <c r="X157" s="1">
        <f>AVERAGE(W153:W157)</f>
        <v>0.45693548394487671</v>
      </c>
      <c r="Y157">
        <f>STDEV(W153:W157)</f>
        <v>2.5312829344658991E-2</v>
      </c>
    </row>
    <row r="158" spans="11:29" x14ac:dyDescent="0.2">
      <c r="K158" t="s">
        <v>137</v>
      </c>
      <c r="L158">
        <v>557.79805699999997</v>
      </c>
      <c r="M158">
        <v>-19549.562102</v>
      </c>
      <c r="N158">
        <v>103337.753197</v>
      </c>
      <c r="O158">
        <v>-0.47312399999999999</v>
      </c>
      <c r="P158">
        <v>35.145637000000001</v>
      </c>
      <c r="Q158">
        <v>208.95636099999999</v>
      </c>
      <c r="R158">
        <v>14.071239</v>
      </c>
      <c r="S158">
        <f t="shared" si="40"/>
        <v>989.08531606848601</v>
      </c>
      <c r="T158">
        <f t="shared" si="39"/>
        <v>-4.1201358984000001</v>
      </c>
      <c r="U158">
        <f>M158-4752*T158</f>
        <v>29.323687196800165</v>
      </c>
      <c r="V158">
        <f t="shared" si="41"/>
        <v>2.9647277864116771E-2</v>
      </c>
      <c r="W158">
        <f t="shared" si="42"/>
        <v>0.47494939138315068</v>
      </c>
    </row>
    <row r="159" spans="11:29" x14ac:dyDescent="0.2">
      <c r="L159">
        <v>557.76942499999996</v>
      </c>
      <c r="M159">
        <v>-19552.075556</v>
      </c>
      <c r="N159">
        <v>103366.99331400001</v>
      </c>
      <c r="O159">
        <v>-0.45523400000000003</v>
      </c>
      <c r="P159">
        <v>35.147613999999997</v>
      </c>
      <c r="Q159">
        <v>208.92331200000001</v>
      </c>
      <c r="R159">
        <v>14.076657000000001</v>
      </c>
      <c r="S159">
        <f t="shared" si="40"/>
        <v>989.52181329279597</v>
      </c>
      <c r="T159">
        <f t="shared" si="39"/>
        <v>-4.1201358984000001</v>
      </c>
      <c r="U159">
        <f>M159-4752*T159</f>
        <v>26.810233196800255</v>
      </c>
      <c r="V159">
        <f t="shared" si="41"/>
        <v>2.7094130555429405E-2</v>
      </c>
      <c r="W159">
        <f t="shared" si="42"/>
        <v>0.43404797149797908</v>
      </c>
    </row>
    <row r="160" spans="11:29" x14ac:dyDescent="0.2">
      <c r="L160">
        <v>557.90782300000001</v>
      </c>
      <c r="M160">
        <v>-19548.9408</v>
      </c>
      <c r="N160">
        <v>103325.737488</v>
      </c>
      <c r="O160">
        <v>-0.58539200000000002</v>
      </c>
      <c r="P160">
        <v>35.151127000000002</v>
      </c>
      <c r="Q160">
        <v>208.80357599999999</v>
      </c>
      <c r="R160">
        <v>14.077704000000001</v>
      </c>
      <c r="S160">
        <f t="shared" si="40"/>
        <v>989.6943223448161</v>
      </c>
      <c r="T160">
        <f t="shared" si="39"/>
        <v>-4.1201358984000001</v>
      </c>
      <c r="U160">
        <f>M160-4752*T160</f>
        <v>29.944989196799725</v>
      </c>
      <c r="V160">
        <f t="shared" si="41"/>
        <v>3.0256806087209917E-2</v>
      </c>
      <c r="W160">
        <f t="shared" si="42"/>
        <v>0.48471403351710285</v>
      </c>
    </row>
    <row r="161" spans="11:32" x14ac:dyDescent="0.2">
      <c r="L161">
        <v>557.80345199999999</v>
      </c>
      <c r="M161">
        <v>-19549.852943999998</v>
      </c>
      <c r="N161">
        <v>103364.017568</v>
      </c>
      <c r="O161">
        <v>-0.50103799999999998</v>
      </c>
      <c r="P161">
        <v>35.135917999999997</v>
      </c>
      <c r="Q161">
        <v>208.935643</v>
      </c>
      <c r="R161">
        <v>14.080106000000001</v>
      </c>
      <c r="S161">
        <f t="shared" si="40"/>
        <v>989.43489969461598</v>
      </c>
      <c r="T161">
        <f t="shared" si="39"/>
        <v>-4.1201358984000001</v>
      </c>
      <c r="U161">
        <f>M161-4752*T161</f>
        <v>29.032845196801645</v>
      </c>
      <c r="V161">
        <f t="shared" si="41"/>
        <v>2.9342855407427496E-2</v>
      </c>
      <c r="W161">
        <f t="shared" si="42"/>
        <v>0.47007254362698847</v>
      </c>
    </row>
    <row r="162" spans="11:32" x14ac:dyDescent="0.2">
      <c r="L162">
        <v>557.80061599999999</v>
      </c>
      <c r="M162">
        <v>-19549.370567000002</v>
      </c>
      <c r="N162">
        <v>103345.00943599999</v>
      </c>
      <c r="O162">
        <v>-0.47426099999999999</v>
      </c>
      <c r="P162">
        <v>35.146729000000001</v>
      </c>
      <c r="Q162">
        <v>208.916056</v>
      </c>
      <c r="R162">
        <v>14.074506</v>
      </c>
      <c r="S162">
        <f t="shared" si="40"/>
        <v>989.34569638174798</v>
      </c>
      <c r="T162">
        <f t="shared" si="39"/>
        <v>-4.1201358984000001</v>
      </c>
      <c r="U162">
        <f>M162-4752*T162</f>
        <v>29.515222196798277</v>
      </c>
      <c r="V162">
        <f t="shared" si="41"/>
        <v>2.9833072812407081E-2</v>
      </c>
      <c r="W162">
        <f t="shared" si="42"/>
        <v>0.47792582645476145</v>
      </c>
      <c r="X162" s="1">
        <f>AVERAGE(W158:W162)</f>
        <v>0.46834195329599648</v>
      </c>
      <c r="Y162">
        <f>STDEV(W158:W162)</f>
        <v>1.9891116132721699E-2</v>
      </c>
    </row>
    <row r="163" spans="11:32" x14ac:dyDescent="0.2">
      <c r="K163" t="s">
        <v>139</v>
      </c>
      <c r="L163">
        <v>557.77457700000002</v>
      </c>
      <c r="M163">
        <v>-26692.345357999999</v>
      </c>
      <c r="N163">
        <v>141130.288145</v>
      </c>
      <c r="O163">
        <v>-0.41738700000000001</v>
      </c>
      <c r="P163">
        <v>41.016663999999999</v>
      </c>
      <c r="Q163">
        <v>244.50071500000001</v>
      </c>
      <c r="R163">
        <v>14.072787999999999</v>
      </c>
      <c r="S163">
        <f t="shared" si="40"/>
        <v>1154.4376338784639</v>
      </c>
      <c r="T163">
        <f t="shared" si="39"/>
        <v>-4.1201358984000001</v>
      </c>
      <c r="U163">
        <f>M163-6488*T163</f>
        <v>39.09635081919987</v>
      </c>
      <c r="V163">
        <f t="shared" si="41"/>
        <v>3.3866143715231507E-2</v>
      </c>
      <c r="W163">
        <f t="shared" si="42"/>
        <v>0.54253562231800878</v>
      </c>
    </row>
    <row r="164" spans="11:32" x14ac:dyDescent="0.2">
      <c r="L164">
        <v>557.81264899999996</v>
      </c>
      <c r="M164">
        <v>-26690.950062</v>
      </c>
      <c r="N164">
        <v>141118.68550200001</v>
      </c>
      <c r="O164">
        <v>-0.37295200000000001</v>
      </c>
      <c r="P164">
        <v>41.002344000000001</v>
      </c>
      <c r="Q164">
        <v>244.37462400000001</v>
      </c>
      <c r="R164">
        <v>14.083805999999999</v>
      </c>
      <c r="S164">
        <f t="shared" si="40"/>
        <v>1154.938116882528</v>
      </c>
      <c r="T164">
        <f t="shared" si="39"/>
        <v>-4.1201358984000001</v>
      </c>
      <c r="U164">
        <f>M164-6488*T164</f>
        <v>40.49164681919865</v>
      </c>
      <c r="V164">
        <f t="shared" si="41"/>
        <v>3.5059581312023809E-2</v>
      </c>
      <c r="W164">
        <f t="shared" si="42"/>
        <v>0.56165449261862144</v>
      </c>
    </row>
    <row r="165" spans="11:32" x14ac:dyDescent="0.2">
      <c r="L165">
        <v>557.773774</v>
      </c>
      <c r="M165">
        <v>-26691.809084</v>
      </c>
      <c r="N165">
        <v>141134.629449</v>
      </c>
      <c r="O165">
        <v>-0.31417600000000001</v>
      </c>
      <c r="P165">
        <v>41.001674000000001</v>
      </c>
      <c r="Q165">
        <v>244.449499</v>
      </c>
      <c r="R165">
        <v>14.081314000000001</v>
      </c>
      <c r="S165">
        <f t="shared" si="40"/>
        <v>1154.7148922392721</v>
      </c>
      <c r="T165">
        <f t="shared" si="39"/>
        <v>-4.1201358984000001</v>
      </c>
      <c r="U165">
        <f>M165-6488*T165</f>
        <v>39.632624819198099</v>
      </c>
      <c r="V165">
        <f t="shared" si="41"/>
        <v>3.4322433256525196E-2</v>
      </c>
      <c r="W165">
        <f t="shared" si="42"/>
        <v>0.5498453807695336</v>
      </c>
    </row>
    <row r="166" spans="11:32" x14ac:dyDescent="0.2">
      <c r="L166">
        <v>557.73907599999995</v>
      </c>
      <c r="M166">
        <v>-26690.895802999999</v>
      </c>
      <c r="N166">
        <v>141136.45831399999</v>
      </c>
      <c r="O166">
        <v>-0.405918</v>
      </c>
      <c r="P166">
        <v>41.012822999999997</v>
      </c>
      <c r="Q166">
        <v>244.391986</v>
      </c>
      <c r="R166">
        <v>14.080978999999999</v>
      </c>
      <c r="S166">
        <f t="shared" si="40"/>
        <v>1155.0013987874338</v>
      </c>
      <c r="T166">
        <f t="shared" si="39"/>
        <v>-4.1201358984000001</v>
      </c>
      <c r="U166">
        <f>M166-6488*T166</f>
        <v>40.545905819199106</v>
      </c>
      <c r="V166">
        <f t="shared" si="41"/>
        <v>3.5104637848721053E-2</v>
      </c>
      <c r="W166">
        <f t="shared" si="42"/>
        <v>0.56237629833651126</v>
      </c>
    </row>
    <row r="167" spans="11:32" x14ac:dyDescent="0.2">
      <c r="L167">
        <v>557.87945100000002</v>
      </c>
      <c r="M167">
        <v>-26690.346168</v>
      </c>
      <c r="N167">
        <v>141153.11967300001</v>
      </c>
      <c r="O167">
        <v>-0.34039000000000003</v>
      </c>
      <c r="P167">
        <v>41.000252000000003</v>
      </c>
      <c r="Q167">
        <v>244.37597199999999</v>
      </c>
      <c r="R167">
        <v>14.087884000000001</v>
      </c>
      <c r="S167">
        <f>2*R167*P167</f>
        <v>1155.2135882935361</v>
      </c>
      <c r="T167">
        <f t="shared" si="39"/>
        <v>-4.1201358984000001</v>
      </c>
      <c r="U167">
        <f>M167-6488*T167</f>
        <v>41.095540819198504</v>
      </c>
      <c r="V167">
        <f t="shared" ref="V167:V172" si="43">U167/(2*P167*R167)</f>
        <v>3.5573976306757446E-2</v>
      </c>
      <c r="W167">
        <f t="shared" si="42"/>
        <v>0.56989510043425429</v>
      </c>
      <c r="X167" s="1">
        <f>AVERAGE(W163:W167)</f>
        <v>0.55726137889538596</v>
      </c>
      <c r="Y167">
        <f>STDEV(W163:W167)</f>
        <v>1.0919222774251837E-2</v>
      </c>
    </row>
    <row r="168" spans="11:32" x14ac:dyDescent="0.2">
      <c r="K168" t="s">
        <v>111</v>
      </c>
      <c r="L168">
        <v>520.599872</v>
      </c>
      <c r="M168">
        <v>-15729.136017000001</v>
      </c>
      <c r="N168">
        <v>83157.043386000005</v>
      </c>
      <c r="O168">
        <v>-0.53162699999999996</v>
      </c>
      <c r="P168">
        <v>31.545694000000001</v>
      </c>
      <c r="Q168">
        <v>187.12077500000001</v>
      </c>
      <c r="R168">
        <v>14.087619999999999</v>
      </c>
      <c r="S168">
        <f t="shared" si="40"/>
        <v>888.80749941655995</v>
      </c>
      <c r="T168">
        <f t="shared" si="39"/>
        <v>-4.1201358984000001</v>
      </c>
      <c r="U168">
        <f>M168-3824*T168</f>
        <v>26.263658481599123</v>
      </c>
      <c r="V168">
        <f t="shared" si="43"/>
        <v>2.9549321420936907E-2</v>
      </c>
      <c r="W168">
        <f t="shared" si="42"/>
        <v>0.47338012916340921</v>
      </c>
      <c r="X168" s="1"/>
    </row>
    <row r="169" spans="11:32" x14ac:dyDescent="0.2">
      <c r="L169">
        <v>520.64297999999997</v>
      </c>
      <c r="M169">
        <v>-15728.954667</v>
      </c>
      <c r="N169">
        <v>83146.259244999994</v>
      </c>
      <c r="O169">
        <v>-0.54571099999999995</v>
      </c>
      <c r="P169">
        <v>31.533539000000001</v>
      </c>
      <c r="Q169">
        <v>187.10736199999999</v>
      </c>
      <c r="R169">
        <v>14.092236</v>
      </c>
      <c r="S169">
        <f>2*R169*P169</f>
        <v>888.75614700640801</v>
      </c>
      <c r="T169">
        <f t="shared" si="39"/>
        <v>-4.1201358984000001</v>
      </c>
      <c r="U169">
        <f>M169-3824*T169</f>
        <v>26.445008481599871</v>
      </c>
      <c r="V169">
        <f t="shared" si="43"/>
        <v>2.9755078005001073E-2</v>
      </c>
      <c r="W169">
        <f t="shared" si="42"/>
        <v>0.47667634964011718</v>
      </c>
      <c r="X169" s="1"/>
    </row>
    <row r="170" spans="11:32" x14ac:dyDescent="0.2">
      <c r="L170">
        <v>520.60215100000005</v>
      </c>
      <c r="M170">
        <v>-15728.084208</v>
      </c>
      <c r="N170">
        <v>83146.191424000004</v>
      </c>
      <c r="O170">
        <v>-0.540462</v>
      </c>
      <c r="P170">
        <v>31.538305999999999</v>
      </c>
      <c r="Q170">
        <v>187.15597399999999</v>
      </c>
      <c r="R170">
        <v>14.086430999999999</v>
      </c>
      <c r="S170">
        <f>2*R170*P170</f>
        <v>888.52434265177192</v>
      </c>
      <c r="T170">
        <f t="shared" si="39"/>
        <v>-4.1201358984000001</v>
      </c>
      <c r="U170">
        <f>M170-3824*T170</f>
        <v>27.315467481599626</v>
      </c>
      <c r="V170">
        <f t="shared" si="43"/>
        <v>3.0742508865967029E-2</v>
      </c>
      <c r="W170">
        <f t="shared" si="42"/>
        <v>0.49249499203279179</v>
      </c>
      <c r="X170" s="1"/>
    </row>
    <row r="171" spans="11:32" x14ac:dyDescent="0.2">
      <c r="L171">
        <v>520.507563</v>
      </c>
      <c r="M171">
        <v>-15729.432755</v>
      </c>
      <c r="N171">
        <v>83154.206923000005</v>
      </c>
      <c r="O171">
        <v>-0.54410400000000003</v>
      </c>
      <c r="P171">
        <v>31.532567</v>
      </c>
      <c r="Q171">
        <v>187.06375600000001</v>
      </c>
      <c r="R171">
        <v>14.097301</v>
      </c>
      <c r="S171">
        <f>2*R171*P171</f>
        <v>889.04817660333401</v>
      </c>
      <c r="T171">
        <f t="shared" si="39"/>
        <v>-4.1201358984000001</v>
      </c>
      <c r="U171">
        <f>M171-3824*T171</f>
        <v>25.966920481600027</v>
      </c>
      <c r="V171">
        <f t="shared" si="43"/>
        <v>2.920755158714607E-2</v>
      </c>
      <c r="W171">
        <f t="shared" si="42"/>
        <v>0.46790497642608003</v>
      </c>
      <c r="X171" s="1"/>
    </row>
    <row r="172" spans="11:32" x14ac:dyDescent="0.2">
      <c r="L172">
        <v>520.56856900000002</v>
      </c>
      <c r="M172">
        <v>-15728.827995</v>
      </c>
      <c r="N172">
        <v>83135.802404000002</v>
      </c>
      <c r="O172">
        <v>-0.53198500000000004</v>
      </c>
      <c r="P172">
        <v>31.546882</v>
      </c>
      <c r="Q172">
        <v>187.11677</v>
      </c>
      <c r="R172">
        <v>14.083788999999999</v>
      </c>
      <c r="S172">
        <f>2*R172*P172</f>
        <v>888.59925939179595</v>
      </c>
      <c r="T172">
        <f t="shared" si="39"/>
        <v>-4.1201358984000001</v>
      </c>
      <c r="U172">
        <f>M172-3824*T172</f>
        <v>26.571680481600197</v>
      </c>
      <c r="V172">
        <f t="shared" si="43"/>
        <v>2.9902883893676943E-2</v>
      </c>
      <c r="W172">
        <f t="shared" si="42"/>
        <v>0.47904419997670461</v>
      </c>
      <c r="X172" s="1">
        <f>AVERAGE(W168:W172)</f>
        <v>0.47790012944782062</v>
      </c>
    </row>
    <row r="174" spans="11:32" x14ac:dyDescent="0.2">
      <c r="K174" t="s">
        <v>30</v>
      </c>
    </row>
    <row r="175" spans="11:32" x14ac:dyDescent="0.2">
      <c r="L175" t="s">
        <v>18</v>
      </c>
      <c r="M175" t="s">
        <v>5</v>
      </c>
      <c r="N175" t="s">
        <v>7</v>
      </c>
      <c r="O175" t="s">
        <v>19</v>
      </c>
      <c r="P175" t="s">
        <v>20</v>
      </c>
      <c r="Q175" t="s">
        <v>21</v>
      </c>
      <c r="R175" t="s">
        <v>22</v>
      </c>
      <c r="S175" t="s">
        <v>108</v>
      </c>
      <c r="T175" t="s">
        <v>26</v>
      </c>
      <c r="U175" t="s">
        <v>12</v>
      </c>
      <c r="V175" t="s">
        <v>23</v>
      </c>
      <c r="W175" t="s">
        <v>23</v>
      </c>
      <c r="AD175">
        <v>3.14</v>
      </c>
      <c r="AE175">
        <f>AD$175*SQRT(82)</f>
        <v>28.43390933375149</v>
      </c>
      <c r="AF175">
        <f>AE175*3</f>
        <v>85.301728001254475</v>
      </c>
    </row>
    <row r="176" spans="11:32" x14ac:dyDescent="0.2">
      <c r="K176" t="s">
        <v>17</v>
      </c>
      <c r="L176">
        <v>557.74956999999995</v>
      </c>
      <c r="M176">
        <v>-51744.014358</v>
      </c>
      <c r="N176">
        <v>120659.47203800001</v>
      </c>
      <c r="O176">
        <v>-0.46357700000000002</v>
      </c>
      <c r="P176">
        <v>28.275296999999998</v>
      </c>
      <c r="Q176">
        <v>168.89539500000001</v>
      </c>
      <c r="R176">
        <v>25.265998</v>
      </c>
      <c r="S176">
        <f t="shared" ref="S176:S197" si="44">2*R176*P176</f>
        <v>1428.8071949028119</v>
      </c>
      <c r="T176">
        <f>$G$4</f>
        <v>-6.8129961863403325</v>
      </c>
      <c r="U176">
        <f>M176-7616*T176</f>
        <v>143.76459716797399</v>
      </c>
      <c r="V176">
        <f t="shared" ref="V176:V185" si="45">U176/(2*P176*R176)</f>
        <v>0.10061861228082136</v>
      </c>
      <c r="W176">
        <f t="shared" ref="W176:W191" si="46">V176*16.02</f>
        <v>1.6119101687387583</v>
      </c>
      <c r="AE176">
        <v>28.43</v>
      </c>
      <c r="AF176">
        <v>85.31</v>
      </c>
    </row>
    <row r="177" spans="11:32" x14ac:dyDescent="0.2">
      <c r="L177">
        <v>557.73297200000002</v>
      </c>
      <c r="M177">
        <v>-51743.371528999996</v>
      </c>
      <c r="N177">
        <v>120661.459092</v>
      </c>
      <c r="O177">
        <v>-0.35081800000000002</v>
      </c>
      <c r="P177">
        <v>28.275499</v>
      </c>
      <c r="Q177">
        <v>168.89564899999999</v>
      </c>
      <c r="R177">
        <v>25.266196000000001</v>
      </c>
      <c r="S177">
        <f t="shared" si="44"/>
        <v>1428.828599463608</v>
      </c>
      <c r="T177">
        <f t="shared" ref="T177:T242" si="47">$G$4</f>
        <v>-6.8129961863403325</v>
      </c>
      <c r="U177">
        <f>M177-7616*T177</f>
        <v>144.40742616797797</v>
      </c>
      <c r="V177">
        <f t="shared" si="45"/>
        <v>0.10106700427342336</v>
      </c>
      <c r="W177">
        <f t="shared" si="46"/>
        <v>1.6190934084602422</v>
      </c>
    </row>
    <row r="178" spans="11:32" x14ac:dyDescent="0.2">
      <c r="L178">
        <v>557.63625400000001</v>
      </c>
      <c r="M178">
        <v>-51743.147023999998</v>
      </c>
      <c r="N178">
        <v>120661.019266</v>
      </c>
      <c r="O178">
        <v>-0.39610400000000001</v>
      </c>
      <c r="P178">
        <v>28.275642999999999</v>
      </c>
      <c r="Q178">
        <v>168.895262</v>
      </c>
      <c r="R178">
        <v>25.266033</v>
      </c>
      <c r="S178">
        <f t="shared" si="44"/>
        <v>1428.826658268438</v>
      </c>
      <c r="T178">
        <f t="shared" si="47"/>
        <v>-6.8129961863403325</v>
      </c>
      <c r="U178">
        <f>M178-7616*T178</f>
        <v>144.63193116797629</v>
      </c>
      <c r="V178">
        <f t="shared" si="45"/>
        <v>0.10122426701028407</v>
      </c>
      <c r="W178">
        <f t="shared" si="46"/>
        <v>1.6216127575047508</v>
      </c>
      <c r="AD178">
        <v>710</v>
      </c>
      <c r="AE178">
        <f>AD$175*SQRT(50)</f>
        <v>22.203152929257595</v>
      </c>
      <c r="AF178">
        <f>AE178*4</f>
        <v>88.812611717030379</v>
      </c>
    </row>
    <row r="179" spans="11:32" x14ac:dyDescent="0.2">
      <c r="L179">
        <v>557.72660699999994</v>
      </c>
      <c r="M179">
        <v>-51743.690982</v>
      </c>
      <c r="N179">
        <v>120661.044308</v>
      </c>
      <c r="O179">
        <v>-0.25866</v>
      </c>
      <c r="P179">
        <v>28.275478</v>
      </c>
      <c r="Q179">
        <v>168.89545899999999</v>
      </c>
      <c r="R179">
        <v>25.266155999999999</v>
      </c>
      <c r="S179">
        <f t="shared" si="44"/>
        <v>1428.8252762451359</v>
      </c>
      <c r="T179">
        <f t="shared" si="47"/>
        <v>-6.8129961863403325</v>
      </c>
      <c r="U179">
        <f>M179-7616*T179</f>
        <v>144.08797316797427</v>
      </c>
      <c r="V179">
        <f t="shared" si="45"/>
        <v>0.10084366196728302</v>
      </c>
      <c r="W179">
        <f t="shared" si="46"/>
        <v>1.6155154647158738</v>
      </c>
      <c r="AB179">
        <f>5^2+3^2</f>
        <v>34</v>
      </c>
      <c r="AE179">
        <v>22.2</v>
      </c>
      <c r="AF179">
        <v>88.82</v>
      </c>
    </row>
    <row r="180" spans="11:32" x14ac:dyDescent="0.2">
      <c r="L180">
        <v>557.75207799999998</v>
      </c>
      <c r="M180">
        <v>-51743.446519999998</v>
      </c>
      <c r="N180">
        <v>120660.09521699999</v>
      </c>
      <c r="O180">
        <v>-0.37480400000000003</v>
      </c>
      <c r="P180">
        <v>28.275558</v>
      </c>
      <c r="Q180">
        <v>168.89304300000001</v>
      </c>
      <c r="R180">
        <v>25.266247</v>
      </c>
      <c r="S180">
        <f t="shared" si="44"/>
        <v>1428.834464981652</v>
      </c>
      <c r="T180">
        <f t="shared" si="47"/>
        <v>-6.8129961863403325</v>
      </c>
      <c r="U180">
        <f>M180-7616*T180</f>
        <v>144.33243516797666</v>
      </c>
      <c r="V180">
        <f t="shared" si="45"/>
        <v>0.10101410534622712</v>
      </c>
      <c r="W180">
        <f t="shared" si="46"/>
        <v>1.6182459676465584</v>
      </c>
      <c r="X180" s="1">
        <f>AVERAGE(W176:W180)</f>
        <v>1.6172755534132368</v>
      </c>
    </row>
    <row r="181" spans="11:32" x14ac:dyDescent="0.2">
      <c r="L181">
        <v>557.68394599999999</v>
      </c>
      <c r="M181">
        <v>-25871.709035</v>
      </c>
      <c r="N181">
        <v>60331.172080999997</v>
      </c>
      <c r="O181">
        <v>-0.76127900000000004</v>
      </c>
      <c r="P181">
        <v>28.275462000000001</v>
      </c>
      <c r="Q181">
        <v>168.90128999999999</v>
      </c>
      <c r="R181">
        <v>12.632785999999999</v>
      </c>
      <c r="S181">
        <f t="shared" ref="S181:S186" si="48">2*R181*P181</f>
        <v>714.39572099426402</v>
      </c>
      <c r="T181">
        <f>$G$4</f>
        <v>-6.8129961863403325</v>
      </c>
      <c r="U181">
        <f t="shared" ref="U181:U186" si="49">M181-3808*T181</f>
        <v>72.180442583987315</v>
      </c>
      <c r="V181">
        <f t="shared" si="45"/>
        <v>0.10103705896156517</v>
      </c>
      <c r="W181">
        <f t="shared" si="46"/>
        <v>1.618613684564274</v>
      </c>
      <c r="AD181">
        <v>410</v>
      </c>
      <c r="AE181">
        <f>AD$175*SQRT(17)*2</f>
        <v>25.893103328878908</v>
      </c>
      <c r="AF181">
        <f>AE181*3</f>
        <v>77.679309986636724</v>
      </c>
    </row>
    <row r="182" spans="11:32" x14ac:dyDescent="0.2">
      <c r="L182">
        <v>557.75207699999999</v>
      </c>
      <c r="M182">
        <v>-25872.119693000001</v>
      </c>
      <c r="N182">
        <v>60330.813314999999</v>
      </c>
      <c r="O182">
        <v>-0.84944799999999998</v>
      </c>
      <c r="P182">
        <v>28.274896999999999</v>
      </c>
      <c r="Q182">
        <v>168.90459300000001</v>
      </c>
      <c r="R182">
        <v>12.632716</v>
      </c>
      <c r="S182">
        <f t="shared" si="48"/>
        <v>714.37748746050397</v>
      </c>
      <c r="T182">
        <f t="shared" si="47"/>
        <v>-6.8129961863403325</v>
      </c>
      <c r="U182">
        <f t="shared" si="49"/>
        <v>71.76978458398662</v>
      </c>
      <c r="V182">
        <f t="shared" si="45"/>
        <v>0.10046479045569669</v>
      </c>
      <c r="W182">
        <f t="shared" si="46"/>
        <v>1.6094459431002608</v>
      </c>
      <c r="AE182">
        <v>25.89</v>
      </c>
      <c r="AF182">
        <v>77.680000000000007</v>
      </c>
    </row>
    <row r="183" spans="11:32" x14ac:dyDescent="0.2">
      <c r="L183">
        <v>557.51542400000005</v>
      </c>
      <c r="M183">
        <v>-25872.259495999999</v>
      </c>
      <c r="N183">
        <v>60329.946101000001</v>
      </c>
      <c r="O183">
        <v>-0.91882600000000003</v>
      </c>
      <c r="P183">
        <v>28.275269000000002</v>
      </c>
      <c r="Q183">
        <v>168.89996300000001</v>
      </c>
      <c r="R183">
        <v>12.632714999999999</v>
      </c>
      <c r="S183">
        <f t="shared" si="48"/>
        <v>714.38682965067005</v>
      </c>
      <c r="T183">
        <f t="shared" si="47"/>
        <v>-6.8129961863403325</v>
      </c>
      <c r="U183">
        <f t="shared" si="49"/>
        <v>71.62998158398841</v>
      </c>
      <c r="V183">
        <f t="shared" si="45"/>
        <v>0.10026778015912605</v>
      </c>
      <c r="W183">
        <f t="shared" si="46"/>
        <v>1.6062898381491992</v>
      </c>
      <c r="AA183" s="42">
        <v>1.5210681670184989</v>
      </c>
      <c r="AB183" s="43" t="s">
        <v>138</v>
      </c>
    </row>
    <row r="184" spans="11:32" x14ac:dyDescent="0.2">
      <c r="L184">
        <v>557.42358999999999</v>
      </c>
      <c r="M184">
        <v>-25871.887210000001</v>
      </c>
      <c r="N184">
        <v>60331.386574999997</v>
      </c>
      <c r="O184">
        <v>-0.572662</v>
      </c>
      <c r="P184">
        <v>28.275493000000001</v>
      </c>
      <c r="Q184">
        <v>168.90443400000001</v>
      </c>
      <c r="R184">
        <v>12.632581999999999</v>
      </c>
      <c r="S184">
        <f t="shared" si="48"/>
        <v>714.38496782585196</v>
      </c>
      <c r="T184">
        <f t="shared" si="47"/>
        <v>-6.8129961863403325</v>
      </c>
      <c r="U184">
        <f t="shared" si="49"/>
        <v>72.002267583986395</v>
      </c>
      <c r="V184">
        <f t="shared" si="45"/>
        <v>0.10078916946295352</v>
      </c>
      <c r="W184">
        <f t="shared" si="46"/>
        <v>1.6146424947965154</v>
      </c>
      <c r="AA184" s="42">
        <v>1.5856781284448818</v>
      </c>
      <c r="AB184" s="43" t="s">
        <v>121</v>
      </c>
      <c r="AD184">
        <v>370</v>
      </c>
      <c r="AE184">
        <f>AD$175*SQRT(58)</f>
        <v>23.913527552412674</v>
      </c>
      <c r="AF184">
        <f>AE184*4</f>
        <v>95.654110209650696</v>
      </c>
    </row>
    <row r="185" spans="11:32" x14ac:dyDescent="0.2">
      <c r="L185">
        <v>557.75134100000002</v>
      </c>
      <c r="M185">
        <v>-25872.254701999998</v>
      </c>
      <c r="N185">
        <v>60330.610940999999</v>
      </c>
      <c r="O185">
        <v>-0.82278700000000005</v>
      </c>
      <c r="P185">
        <v>28.275144999999998</v>
      </c>
      <c r="Q185">
        <v>168.90506400000001</v>
      </c>
      <c r="R185">
        <v>12.632528000000001</v>
      </c>
      <c r="S185">
        <f t="shared" si="48"/>
        <v>714.37312183311997</v>
      </c>
      <c r="T185">
        <f t="shared" si="47"/>
        <v>-6.8129961863403325</v>
      </c>
      <c r="U185">
        <f t="shared" si="49"/>
        <v>71.634775583988812</v>
      </c>
      <c r="V185">
        <f t="shared" si="45"/>
        <v>0.10027641493589529</v>
      </c>
      <c r="W185">
        <f t="shared" si="46"/>
        <v>1.6064281672730425</v>
      </c>
      <c r="X185" s="1">
        <f>AVERAGE(W181:W185)</f>
        <v>1.6110840255766583</v>
      </c>
      <c r="Y185">
        <f>STDEV(W181:W185)</f>
        <v>5.4014588652253996E-3</v>
      </c>
      <c r="AA185" s="42">
        <v>1.6162468126163236</v>
      </c>
      <c r="AB185" s="43" t="s">
        <v>122</v>
      </c>
      <c r="AE185">
        <v>23.91</v>
      </c>
      <c r="AF185">
        <v>95.66</v>
      </c>
    </row>
    <row r="186" spans="11:32" x14ac:dyDescent="0.2">
      <c r="K186" t="s">
        <v>37</v>
      </c>
      <c r="S186">
        <f t="shared" si="48"/>
        <v>0</v>
      </c>
      <c r="T186">
        <f t="shared" si="47"/>
        <v>-6.8129961863403325</v>
      </c>
      <c r="U186">
        <f t="shared" si="49"/>
        <v>25943.889477583987</v>
      </c>
      <c r="V186" t="e">
        <f t="shared" ref="V186:V191" si="50">U186/(2*P186*R186)</f>
        <v>#DIV/0!</v>
      </c>
      <c r="W186" t="e">
        <f t="shared" si="46"/>
        <v>#DIV/0!</v>
      </c>
      <c r="AA186" s="42">
        <v>1.821191288416339</v>
      </c>
      <c r="AB186" s="41" t="s">
        <v>123</v>
      </c>
    </row>
    <row r="187" spans="11:32" x14ac:dyDescent="0.2">
      <c r="K187" t="s">
        <v>27</v>
      </c>
      <c r="L187">
        <v>557.56828099999996</v>
      </c>
      <c r="M187">
        <v>-32628.503546</v>
      </c>
      <c r="N187">
        <v>75947.433829999994</v>
      </c>
      <c r="O187">
        <v>-0.63757799999999998</v>
      </c>
      <c r="P187">
        <v>29.979102999999999</v>
      </c>
      <c r="Q187">
        <v>200.46730700000001</v>
      </c>
      <c r="R187">
        <v>12.637203</v>
      </c>
      <c r="S187">
        <f t="shared" si="44"/>
        <v>757.70402073781793</v>
      </c>
      <c r="T187">
        <f t="shared" si="47"/>
        <v>-6.8129961863403325</v>
      </c>
      <c r="U187">
        <f>M187-4800*T187</f>
        <v>73.878148433595925</v>
      </c>
      <c r="V187">
        <f t="shared" si="50"/>
        <v>9.7502648015060978E-2</v>
      </c>
      <c r="W187">
        <f t="shared" si="46"/>
        <v>1.5619924212012768</v>
      </c>
      <c r="AA187" s="42">
        <v>1.5532530662965855</v>
      </c>
      <c r="AB187" s="41" t="s">
        <v>124</v>
      </c>
      <c r="AD187">
        <v>230</v>
      </c>
      <c r="AE187">
        <f>AD$175*SQRT(13)*2</f>
        <v>22.642862009913852</v>
      </c>
      <c r="AF187">
        <f>AE187*4</f>
        <v>90.571448039655408</v>
      </c>
    </row>
    <row r="188" spans="11:32" x14ac:dyDescent="0.2">
      <c r="L188">
        <v>557.50403100000005</v>
      </c>
      <c r="M188">
        <v>-32629.483149</v>
      </c>
      <c r="N188">
        <v>75944.772421999995</v>
      </c>
      <c r="O188">
        <v>-0.49307699999999999</v>
      </c>
      <c r="P188">
        <v>29.978437</v>
      </c>
      <c r="Q188">
        <v>200.46753899999999</v>
      </c>
      <c r="R188">
        <v>12.637026000000001</v>
      </c>
      <c r="S188">
        <f t="shared" si="44"/>
        <v>757.67657561672399</v>
      </c>
      <c r="T188">
        <f t="shared" si="47"/>
        <v>-6.8129961863403325</v>
      </c>
      <c r="U188">
        <f>M188-4800*T188</f>
        <v>72.898545433596155</v>
      </c>
      <c r="V188">
        <f t="shared" si="50"/>
        <v>9.6213275927474889E-2</v>
      </c>
      <c r="W188">
        <f t="shared" si="46"/>
        <v>1.5413366803581476</v>
      </c>
      <c r="AA188" s="42">
        <v>1.8534916324637218</v>
      </c>
      <c r="AB188" s="41" t="s">
        <v>126</v>
      </c>
      <c r="AE188">
        <v>22.64</v>
      </c>
      <c r="AF188">
        <v>90.58</v>
      </c>
    </row>
    <row r="189" spans="11:32" x14ac:dyDescent="0.2">
      <c r="L189">
        <v>557.80002100000002</v>
      </c>
      <c r="M189">
        <v>-32628.869341000001</v>
      </c>
      <c r="N189">
        <v>75946.589378000004</v>
      </c>
      <c r="O189">
        <v>-0.62477800000000006</v>
      </c>
      <c r="P189">
        <v>29.978694999999998</v>
      </c>
      <c r="Q189">
        <v>200.46904900000001</v>
      </c>
      <c r="R189">
        <v>12.637124999999999</v>
      </c>
      <c r="S189">
        <f t="shared" si="44"/>
        <v>757.68903210374992</v>
      </c>
      <c r="T189">
        <f t="shared" si="47"/>
        <v>-6.8129961863403325</v>
      </c>
      <c r="U189">
        <f>M189-4800*T189</f>
        <v>73.512353433594399</v>
      </c>
      <c r="V189">
        <f t="shared" si="50"/>
        <v>9.7021799602252115E-2</v>
      </c>
      <c r="W189">
        <f t="shared" si="46"/>
        <v>1.5542892296280788</v>
      </c>
      <c r="AA189" s="42">
        <v>1.6110840255766583</v>
      </c>
      <c r="AB189" s="41" t="s">
        <v>127</v>
      </c>
    </row>
    <row r="190" spans="11:32" x14ac:dyDescent="0.2">
      <c r="L190">
        <v>557.61839399999997</v>
      </c>
      <c r="M190">
        <v>-32628.886609000001</v>
      </c>
      <c r="N190">
        <v>75946.414053</v>
      </c>
      <c r="O190">
        <v>-0.69089199999999995</v>
      </c>
      <c r="P190">
        <v>29.978676</v>
      </c>
      <c r="Q190">
        <v>200.47058000000001</v>
      </c>
      <c r="R190">
        <v>12.637007000000001</v>
      </c>
      <c r="S190">
        <f t="shared" si="44"/>
        <v>757.68147692546404</v>
      </c>
      <c r="T190">
        <f t="shared" si="47"/>
        <v>-6.8129961863403325</v>
      </c>
      <c r="U190">
        <f>M190-4800*T190</f>
        <v>73.495085433594795</v>
      </c>
      <c r="V190">
        <f t="shared" si="50"/>
        <v>9.69999764700923E-2</v>
      </c>
      <c r="W190">
        <f t="shared" si="46"/>
        <v>1.5539396230508786</v>
      </c>
      <c r="AA190" s="32">
        <v>1.9488070381671576</v>
      </c>
      <c r="AB190" s="41" t="s">
        <v>128</v>
      </c>
      <c r="AD190">
        <v>340</v>
      </c>
      <c r="AE190">
        <f>AD$175*SQRT(25)*2</f>
        <v>31.400000000000002</v>
      </c>
      <c r="AF190">
        <f>AE190*3</f>
        <v>94.2</v>
      </c>
    </row>
    <row r="191" spans="11:32" x14ac:dyDescent="0.2">
      <c r="L191">
        <v>557.62207699999999</v>
      </c>
      <c r="M191">
        <v>-32628.848606</v>
      </c>
      <c r="N191">
        <v>75946.744277000005</v>
      </c>
      <c r="O191">
        <v>-0.34802699999999998</v>
      </c>
      <c r="P191">
        <v>29.978967000000001</v>
      </c>
      <c r="Q191">
        <v>200.46684099999999</v>
      </c>
      <c r="R191">
        <v>12.637174999999999</v>
      </c>
      <c r="S191">
        <f t="shared" si="44"/>
        <v>757.69890459645001</v>
      </c>
      <c r="T191">
        <f t="shared" si="47"/>
        <v>-6.8129961863403325</v>
      </c>
      <c r="U191">
        <f>M191-4800*T191</f>
        <v>73.533088433596276</v>
      </c>
      <c r="V191">
        <f t="shared" si="50"/>
        <v>9.7047901201282524E-2</v>
      </c>
      <c r="W191">
        <f t="shared" si="46"/>
        <v>1.5547073772445461</v>
      </c>
      <c r="X191" s="1">
        <f>AVERAGE(W187:W191)</f>
        <v>1.5532530662965855</v>
      </c>
      <c r="Y191">
        <f>STDEV(W187:W191)</f>
        <v>7.4504461769699789E-3</v>
      </c>
      <c r="AA191" s="42">
        <v>1.7709530555514637</v>
      </c>
      <c r="AB191" s="41" t="s">
        <v>129</v>
      </c>
      <c r="AE191">
        <v>31.4</v>
      </c>
      <c r="AF191">
        <v>94.2</v>
      </c>
    </row>
    <row r="192" spans="11:32" x14ac:dyDescent="0.2">
      <c r="AA192" s="42">
        <v>1.7395736649469691</v>
      </c>
      <c r="AB192" s="41" t="s">
        <v>130</v>
      </c>
    </row>
    <row r="193" spans="11:32" x14ac:dyDescent="0.2">
      <c r="K193" t="s">
        <v>28</v>
      </c>
      <c r="L193">
        <v>595.558491</v>
      </c>
      <c r="M193">
        <v>-50565.202757999999</v>
      </c>
      <c r="N193">
        <v>117794.536318</v>
      </c>
      <c r="O193">
        <v>2.0177E-2</v>
      </c>
      <c r="P193">
        <v>32.189272000000003</v>
      </c>
      <c r="Q193">
        <v>193.21605700000001</v>
      </c>
      <c r="R193">
        <v>18.939596999999999</v>
      </c>
      <c r="S193">
        <f t="shared" si="44"/>
        <v>1219.3036788067679</v>
      </c>
      <c r="T193">
        <f t="shared" si="47"/>
        <v>-6.8129961863403325</v>
      </c>
      <c r="U193">
        <f>M193-7440*T193</f>
        <v>123.48886837207829</v>
      </c>
      <c r="V193">
        <f t="shared" ref="V193:V224" si="51">U193/(2*P193*R193)</f>
        <v>0.10127818895201454</v>
      </c>
      <c r="W193">
        <f t="shared" ref="W193:W224" si="52">V193*16.02</f>
        <v>1.622476587011273</v>
      </c>
      <c r="AD193">
        <v>350</v>
      </c>
      <c r="AE193">
        <f>AD$175*SQRT(34)*2</f>
        <v>36.618377899628491</v>
      </c>
      <c r="AF193">
        <f>AE193*3</f>
        <v>109.85513369888548</v>
      </c>
    </row>
    <row r="194" spans="11:32" x14ac:dyDescent="0.2">
      <c r="L194">
        <v>595.36756600000001</v>
      </c>
      <c r="M194">
        <v>-50565.626786000001</v>
      </c>
      <c r="N194">
        <v>117793.334449</v>
      </c>
      <c r="O194">
        <v>4.9168999999999997E-2</v>
      </c>
      <c r="P194">
        <v>32.189163000000001</v>
      </c>
      <c r="Q194">
        <v>193.21539999999999</v>
      </c>
      <c r="R194">
        <v>18.939532</v>
      </c>
      <c r="S194">
        <f t="shared" si="44"/>
        <v>1219.295365383432</v>
      </c>
      <c r="T194">
        <f t="shared" si="47"/>
        <v>-6.8129961863403325</v>
      </c>
      <c r="U194">
        <f>M194-7440*T194</f>
        <v>123.06484037207701</v>
      </c>
      <c r="V194">
        <f t="shared" si="51"/>
        <v>0.10093111469621374</v>
      </c>
      <c r="W194">
        <f t="shared" si="52"/>
        <v>1.6169164574333441</v>
      </c>
      <c r="AE194">
        <v>36.61</v>
      </c>
      <c r="AF194">
        <v>109.86</v>
      </c>
    </row>
    <row r="195" spans="11:32" x14ac:dyDescent="0.2">
      <c r="L195">
        <v>595.56584599999996</v>
      </c>
      <c r="M195">
        <v>-50565.379489999999</v>
      </c>
      <c r="N195">
        <v>117794.14580499999</v>
      </c>
      <c r="O195">
        <v>7.1188000000000001E-2</v>
      </c>
      <c r="P195">
        <v>32.189236999999999</v>
      </c>
      <c r="Q195">
        <v>193.215844</v>
      </c>
      <c r="R195">
        <v>18.939575999999999</v>
      </c>
      <c r="S195">
        <f t="shared" si="44"/>
        <v>1219.3010010870239</v>
      </c>
      <c r="T195">
        <f t="shared" si="47"/>
        <v>-6.8129961863403325</v>
      </c>
      <c r="U195">
        <f>M195-7440*T195</f>
        <v>123.31213637207838</v>
      </c>
      <c r="V195">
        <f t="shared" si="51"/>
        <v>0.10113346602860482</v>
      </c>
      <c r="W195">
        <f t="shared" si="52"/>
        <v>1.6201581257782491</v>
      </c>
    </row>
    <row r="196" spans="11:32" x14ac:dyDescent="0.2">
      <c r="L196">
        <v>595.33683699999995</v>
      </c>
      <c r="M196">
        <v>-50565.372856000002</v>
      </c>
      <c r="N196">
        <v>117793.969944</v>
      </c>
      <c r="O196">
        <v>-3.6011000000000001E-2</v>
      </c>
      <c r="P196">
        <v>32.189221000000003</v>
      </c>
      <c r="Q196">
        <v>193.21574799999999</v>
      </c>
      <c r="R196">
        <v>18.939567</v>
      </c>
      <c r="S196">
        <f t="shared" si="44"/>
        <v>1219.2998156146141</v>
      </c>
      <c r="T196">
        <f t="shared" si="47"/>
        <v>-6.8129961863403325</v>
      </c>
      <c r="U196">
        <f>M196-7440*T196</f>
        <v>123.31877037207596</v>
      </c>
      <c r="V196">
        <f t="shared" si="51"/>
        <v>0.10113900518381896</v>
      </c>
      <c r="W196">
        <f t="shared" si="52"/>
        <v>1.6202468630447797</v>
      </c>
    </row>
    <row r="197" spans="11:32" x14ac:dyDescent="0.2">
      <c r="L197">
        <v>595.53544899999997</v>
      </c>
      <c r="M197">
        <v>-50565.219222</v>
      </c>
      <c r="N197">
        <v>117794.368772</v>
      </c>
      <c r="O197">
        <v>-4.1331E-2</v>
      </c>
      <c r="P197">
        <v>32.189256999999998</v>
      </c>
      <c r="Q197">
        <v>193.21596600000001</v>
      </c>
      <c r="R197">
        <v>18.939588000000001</v>
      </c>
      <c r="S197">
        <f t="shared" si="44"/>
        <v>1219.302531212232</v>
      </c>
      <c r="T197">
        <f t="shared" si="47"/>
        <v>-6.8129961863403325</v>
      </c>
      <c r="U197">
        <f>M197-7440*T197</f>
        <v>123.47240437207802</v>
      </c>
      <c r="V197">
        <f t="shared" si="51"/>
        <v>0.1012647814725043</v>
      </c>
      <c r="W197">
        <f t="shared" si="52"/>
        <v>1.6222617991895187</v>
      </c>
      <c r="X197" s="1">
        <f>AVERAGE(W193:W197)</f>
        <v>1.6204119664914329</v>
      </c>
      <c r="Y197">
        <f>STDEV(W193:W197)</f>
        <v>2.2357782052788303E-3</v>
      </c>
      <c r="AC197">
        <f>1^2+1^2+2^2</f>
        <v>6</v>
      </c>
      <c r="AD197">
        <v>112</v>
      </c>
      <c r="AE197">
        <f>AD$175*SQRT(6)*3</f>
        <v>23.074193377017536</v>
      </c>
      <c r="AF197">
        <f>AE197*4</f>
        <v>92.296773508070146</v>
      </c>
    </row>
    <row r="198" spans="11:32" x14ac:dyDescent="0.2">
      <c r="L198">
        <v>595.54048599999999</v>
      </c>
      <c r="M198">
        <v>-33710.273376999998</v>
      </c>
      <c r="N198">
        <v>78530.081944000005</v>
      </c>
      <c r="O198">
        <v>0.14079800000000001</v>
      </c>
      <c r="P198">
        <v>32.189324999999997</v>
      </c>
      <c r="Q198">
        <v>193.216375</v>
      </c>
      <c r="R198">
        <v>12.626419</v>
      </c>
      <c r="S198">
        <f t="shared" ref="S198:S207" si="53">2*R198*P198</f>
        <v>812.87180955434997</v>
      </c>
      <c r="T198">
        <f t="shared" si="47"/>
        <v>-6.8129961863403325</v>
      </c>
      <c r="U198">
        <f>M198-4960*T198</f>
        <v>82.187707248049264</v>
      </c>
      <c r="V198">
        <f t="shared" si="51"/>
        <v>0.10110783309499682</v>
      </c>
      <c r="W198">
        <f t="shared" si="52"/>
        <v>1.619747486181849</v>
      </c>
      <c r="AE198">
        <v>23.07</v>
      </c>
      <c r="AF198">
        <v>92.3</v>
      </c>
    </row>
    <row r="199" spans="11:32" x14ac:dyDescent="0.2">
      <c r="L199">
        <v>595.25876300000004</v>
      </c>
      <c r="M199">
        <v>-33710.492461000002</v>
      </c>
      <c r="N199">
        <v>78529.774611000001</v>
      </c>
      <c r="O199">
        <v>-0.10521999999999999</v>
      </c>
      <c r="P199">
        <v>32.189283000000003</v>
      </c>
      <c r="Q199">
        <v>193.21612300000001</v>
      </c>
      <c r="R199">
        <v>12.626402000000001</v>
      </c>
      <c r="S199">
        <f t="shared" si="53"/>
        <v>812.86965449953209</v>
      </c>
      <c r="T199">
        <f t="shared" si="47"/>
        <v>-6.8129961863403325</v>
      </c>
      <c r="U199">
        <f>M199-4960*T199</f>
        <v>81.968623248045333</v>
      </c>
      <c r="V199">
        <f t="shared" si="51"/>
        <v>0.10083858192309049</v>
      </c>
      <c r="W199">
        <f t="shared" si="52"/>
        <v>1.6154340824079096</v>
      </c>
    </row>
    <row r="200" spans="11:32" x14ac:dyDescent="0.2">
      <c r="L200">
        <v>595.72385199999997</v>
      </c>
      <c r="M200">
        <v>-33710.323972999999</v>
      </c>
      <c r="N200">
        <v>78530.044137000004</v>
      </c>
      <c r="O200">
        <v>0.139401</v>
      </c>
      <c r="P200">
        <v>32.189320000000002</v>
      </c>
      <c r="Q200">
        <v>193.21634399999999</v>
      </c>
      <c r="R200">
        <v>12.626417</v>
      </c>
      <c r="S200">
        <f t="shared" si="53"/>
        <v>812.87155453288005</v>
      </c>
      <c r="T200">
        <f t="shared" si="47"/>
        <v>-6.8129961863403325</v>
      </c>
      <c r="U200">
        <f>M200-4960*T200</f>
        <v>82.137111248048313</v>
      </c>
      <c r="V200">
        <f t="shared" si="51"/>
        <v>0.10104562127930376</v>
      </c>
      <c r="W200">
        <f t="shared" si="52"/>
        <v>1.6187508528944463</v>
      </c>
    </row>
    <row r="201" spans="11:32" x14ac:dyDescent="0.2">
      <c r="L201">
        <v>595.49174300000004</v>
      </c>
      <c r="M201">
        <v>-33710.396515</v>
      </c>
      <c r="N201">
        <v>78529.542843999996</v>
      </c>
      <c r="O201">
        <v>-6.0442000000000003E-2</v>
      </c>
      <c r="P201">
        <v>32.189252000000003</v>
      </c>
      <c r="Q201">
        <v>193.21593300000001</v>
      </c>
      <c r="R201">
        <v>12.626390000000001</v>
      </c>
      <c r="S201">
        <f t="shared" si="53"/>
        <v>812.86809912056015</v>
      </c>
      <c r="T201">
        <f t="shared" si="47"/>
        <v>-6.8129961863403325</v>
      </c>
      <c r="U201">
        <f>M201-4960*T201</f>
        <v>82.06456924804661</v>
      </c>
      <c r="V201">
        <f t="shared" si="51"/>
        <v>0.10095680878217764</v>
      </c>
      <c r="W201">
        <f t="shared" si="52"/>
        <v>1.6173280766904856</v>
      </c>
    </row>
    <row r="202" spans="11:32" x14ac:dyDescent="0.2">
      <c r="L202">
        <v>594.90798099999995</v>
      </c>
      <c r="M202">
        <v>-33710.770363000003</v>
      </c>
      <c r="N202">
        <v>78528.574485000005</v>
      </c>
      <c r="O202">
        <v>0.18067</v>
      </c>
      <c r="P202">
        <v>32.189118999999998</v>
      </c>
      <c r="Q202">
        <v>193.215138</v>
      </c>
      <c r="R202">
        <v>12.626338000000001</v>
      </c>
      <c r="S202">
        <f t="shared" si="53"/>
        <v>812.86139283244404</v>
      </c>
      <c r="T202">
        <f t="shared" si="47"/>
        <v>-6.8129961863403325</v>
      </c>
      <c r="U202">
        <f>M202-4960*T202</f>
        <v>81.690721248043701</v>
      </c>
      <c r="V202">
        <f t="shared" si="51"/>
        <v>0.10049772564962092</v>
      </c>
      <c r="W202">
        <f t="shared" si="52"/>
        <v>1.6099735649069271</v>
      </c>
      <c r="X202" s="1">
        <f>AVERAGE(W198:W202)</f>
        <v>1.6162468126163236</v>
      </c>
      <c r="Y202">
        <f>STDEV(W198:W202)</f>
        <v>3.8635551096114782E-3</v>
      </c>
    </row>
    <row r="203" spans="11:32" x14ac:dyDescent="0.2">
      <c r="K203" t="s">
        <v>55</v>
      </c>
      <c r="L203">
        <v>520.12535700000001</v>
      </c>
      <c r="M203">
        <v>-26528.129957000001</v>
      </c>
      <c r="N203">
        <v>61804.784557999999</v>
      </c>
      <c r="O203">
        <v>-0.53550799999999998</v>
      </c>
      <c r="P203">
        <v>28.619779999999999</v>
      </c>
      <c r="Q203">
        <v>170.85852800000001</v>
      </c>
      <c r="R203">
        <v>12.639189</v>
      </c>
      <c r="S203">
        <f t="shared" si="53"/>
        <v>723.46161711683999</v>
      </c>
      <c r="T203">
        <f t="shared" si="47"/>
        <v>-6.8129961863403325</v>
      </c>
      <c r="U203">
        <f>M203-3904*T203</f>
        <v>69.807154472659022</v>
      </c>
      <c r="V203">
        <f t="shared" si="51"/>
        <v>9.6490474160683876E-2</v>
      </c>
      <c r="W203">
        <f t="shared" si="52"/>
        <v>1.5457773960541557</v>
      </c>
    </row>
    <row r="204" spans="11:32" x14ac:dyDescent="0.2">
      <c r="L204">
        <v>520.13009499999998</v>
      </c>
      <c r="M204">
        <v>-26529.382707000001</v>
      </c>
      <c r="N204">
        <v>61803.713081000002</v>
      </c>
      <c r="O204">
        <v>-0.66913199999999995</v>
      </c>
      <c r="P204">
        <v>28.62067</v>
      </c>
      <c r="Q204">
        <v>170.85594699999999</v>
      </c>
      <c r="R204">
        <v>12.638768000000001</v>
      </c>
      <c r="S204">
        <f t="shared" si="53"/>
        <v>723.46001626912005</v>
      </c>
      <c r="T204">
        <f t="shared" si="47"/>
        <v>-6.8129961863403325</v>
      </c>
      <c r="U204">
        <f>M204-3904*T204</f>
        <v>68.554404472659371</v>
      </c>
      <c r="V204">
        <f t="shared" si="51"/>
        <v>9.4759078499174171E-2</v>
      </c>
      <c r="W204">
        <f t="shared" si="52"/>
        <v>1.5180404375567702</v>
      </c>
    </row>
    <row r="205" spans="11:32" x14ac:dyDescent="0.2">
      <c r="L205">
        <v>520.23598800000002</v>
      </c>
      <c r="M205">
        <v>-26528.930179999999</v>
      </c>
      <c r="N205">
        <v>61803.819506</v>
      </c>
      <c r="O205">
        <v>-0.62371799999999999</v>
      </c>
      <c r="P205">
        <v>28.620289</v>
      </c>
      <c r="Q205">
        <v>170.85614200000001</v>
      </c>
      <c r="R205">
        <v>12.638942999999999</v>
      </c>
      <c r="S205">
        <f t="shared" si="53"/>
        <v>723.46040262905399</v>
      </c>
      <c r="T205">
        <f t="shared" si="47"/>
        <v>-6.8129961863403325</v>
      </c>
      <c r="U205">
        <f>M205-3904*T205</f>
        <v>69.006931472660654</v>
      </c>
      <c r="V205">
        <f t="shared" si="51"/>
        <v>9.5384531374335862E-2</v>
      </c>
      <c r="W205">
        <f t="shared" si="52"/>
        <v>1.5280601926168604</v>
      </c>
    </row>
    <row r="206" spans="11:32" x14ac:dyDescent="0.2">
      <c r="L206">
        <v>520.10021099999994</v>
      </c>
      <c r="M206">
        <v>-26529.764795999999</v>
      </c>
      <c r="N206">
        <v>61802.566317999997</v>
      </c>
      <c r="O206">
        <v>-0.67147299999999999</v>
      </c>
      <c r="P206">
        <v>28.618758</v>
      </c>
      <c r="Q206">
        <v>170.864057</v>
      </c>
      <c r="R206">
        <v>12.638778</v>
      </c>
      <c r="S206">
        <f t="shared" si="53"/>
        <v>723.41225799544804</v>
      </c>
      <c r="T206">
        <f t="shared" si="47"/>
        <v>-6.8129961863403325</v>
      </c>
      <c r="U206">
        <f>M206-3904*T206</f>
        <v>68.172315472660557</v>
      </c>
      <c r="V206">
        <f t="shared" si="51"/>
        <v>9.4237158299700141E-2</v>
      </c>
      <c r="W206">
        <f t="shared" si="52"/>
        <v>1.5096792759611961</v>
      </c>
    </row>
    <row r="207" spans="11:32" x14ac:dyDescent="0.2">
      <c r="L207">
        <v>520.03156899999999</v>
      </c>
      <c r="M207">
        <v>-26530.030653999998</v>
      </c>
      <c r="N207">
        <v>61801.383182999998</v>
      </c>
      <c r="O207">
        <v>-0.531366</v>
      </c>
      <c r="P207">
        <v>28.618829999999999</v>
      </c>
      <c r="Q207">
        <v>170.859835</v>
      </c>
      <c r="R207">
        <v>12.638816</v>
      </c>
      <c r="S207">
        <f t="shared" si="53"/>
        <v>723.41625301056001</v>
      </c>
      <c r="T207">
        <f t="shared" si="47"/>
        <v>-6.8129961863403325</v>
      </c>
      <c r="U207">
        <f>M207-3904*T207</f>
        <v>67.906457472661714</v>
      </c>
      <c r="V207">
        <f t="shared" si="51"/>
        <v>9.3869134388483877E-2</v>
      </c>
      <c r="W207">
        <f t="shared" si="52"/>
        <v>1.5037835329035116</v>
      </c>
      <c r="X207" s="1">
        <f>AVERAGE(W203:W207)</f>
        <v>1.5210681670184989</v>
      </c>
      <c r="Y207">
        <f>STDEV(W203:W207)</f>
        <v>1.6561000748763634E-2</v>
      </c>
    </row>
    <row r="208" spans="11:32" x14ac:dyDescent="0.2">
      <c r="K208" t="s">
        <v>133</v>
      </c>
      <c r="L208">
        <v>557.72192700000005</v>
      </c>
      <c r="M208">
        <v>-21527.469011000001</v>
      </c>
      <c r="N208">
        <v>50159.981597999998</v>
      </c>
      <c r="O208">
        <v>-1.047323</v>
      </c>
      <c r="P208">
        <v>22.349256</v>
      </c>
      <c r="Q208">
        <v>177.58822000000001</v>
      </c>
      <c r="R208">
        <v>12.638055</v>
      </c>
      <c r="S208">
        <f t="shared" ref="S208:S227" si="54">2*R208*P208</f>
        <v>564.90225307415994</v>
      </c>
      <c r="T208">
        <f t="shared" si="47"/>
        <v>-6.8129961863403325</v>
      </c>
      <c r="U208">
        <f>M208-3168*T208</f>
        <v>56.10290732617068</v>
      </c>
      <c r="V208">
        <f t="shared" si="51"/>
        <v>9.9314362831556161E-2</v>
      </c>
      <c r="W208">
        <f t="shared" si="52"/>
        <v>1.5910160925615298</v>
      </c>
      <c r="AE208" t="s">
        <v>148</v>
      </c>
      <c r="AF208">
        <v>8.3135700000000003</v>
      </c>
    </row>
    <row r="209" spans="11:32" x14ac:dyDescent="0.2">
      <c r="L209">
        <v>557.64614099999994</v>
      </c>
      <c r="M209">
        <v>-21527.384117000001</v>
      </c>
      <c r="N209">
        <v>50160.467891</v>
      </c>
      <c r="O209">
        <v>-1.0233890000000001</v>
      </c>
      <c r="P209">
        <v>22.349468999999999</v>
      </c>
      <c r="Q209">
        <v>177.586938</v>
      </c>
      <c r="R209">
        <v>12.638147999999999</v>
      </c>
      <c r="S209">
        <f t="shared" si="54"/>
        <v>564.91179388682394</v>
      </c>
      <c r="T209">
        <f t="shared" si="47"/>
        <v>-6.8129961863403325</v>
      </c>
      <c r="U209">
        <f>M209-3168*T209</f>
        <v>56.187801326170302</v>
      </c>
      <c r="V209">
        <f t="shared" si="51"/>
        <v>9.9462963836487242E-2</v>
      </c>
      <c r="W209">
        <f t="shared" si="52"/>
        <v>1.5933966806605255</v>
      </c>
      <c r="AA209" t="s">
        <v>145</v>
      </c>
      <c r="AE209" t="s">
        <v>149</v>
      </c>
      <c r="AF209">
        <v>3.3374000000000001</v>
      </c>
    </row>
    <row r="210" spans="11:32" x14ac:dyDescent="0.2">
      <c r="L210">
        <v>557.59543699999995</v>
      </c>
      <c r="M210">
        <v>-21527.574893000001</v>
      </c>
      <c r="N210">
        <v>50159.497418999999</v>
      </c>
      <c r="O210">
        <v>-0.87004499999999996</v>
      </c>
      <c r="P210">
        <v>22.349177999999998</v>
      </c>
      <c r="Q210">
        <v>177.58202299999999</v>
      </c>
      <c r="R210">
        <v>12.638418</v>
      </c>
      <c r="S210">
        <f t="shared" si="54"/>
        <v>564.91650704080791</v>
      </c>
      <c r="T210">
        <f t="shared" si="47"/>
        <v>-6.8129961863403325</v>
      </c>
      <c r="U210">
        <f>M210-3168*T210</f>
        <v>55.997025326170842</v>
      </c>
      <c r="V210">
        <f t="shared" si="51"/>
        <v>9.912442746539496E-2</v>
      </c>
      <c r="W210">
        <f t="shared" si="52"/>
        <v>1.5879733279956272</v>
      </c>
      <c r="AA210">
        <v>5.4014588652253996E-3</v>
      </c>
      <c r="AE210" t="s">
        <v>150</v>
      </c>
      <c r="AF210">
        <v>1.0176700000000001</v>
      </c>
    </row>
    <row r="211" spans="11:32" x14ac:dyDescent="0.2">
      <c r="L211">
        <v>557.58260600000006</v>
      </c>
      <c r="M211">
        <v>-21528.132658999999</v>
      </c>
      <c r="N211">
        <v>50157.975897999997</v>
      </c>
      <c r="O211">
        <v>-1.031236</v>
      </c>
      <c r="P211">
        <v>22.349326999999999</v>
      </c>
      <c r="Q211">
        <v>177.579204</v>
      </c>
      <c r="R211">
        <v>12.638151000000001</v>
      </c>
      <c r="S211">
        <f t="shared" si="54"/>
        <v>564.90833874875398</v>
      </c>
      <c r="T211">
        <f t="shared" si="47"/>
        <v>-6.8129961863403325</v>
      </c>
      <c r="U211">
        <f>M211-3168*T211</f>
        <v>55.43925932617276</v>
      </c>
      <c r="V211">
        <f t="shared" si="51"/>
        <v>9.8138504113726086E-2</v>
      </c>
      <c r="W211">
        <f t="shared" si="52"/>
        <v>1.5721788359018918</v>
      </c>
      <c r="AA211">
        <v>7.4504461769699789E-3</v>
      </c>
    </row>
    <row r="212" spans="11:32" x14ac:dyDescent="0.2">
      <c r="L212">
        <v>557.84583999999995</v>
      </c>
      <c r="M212">
        <v>-21527.720418000001</v>
      </c>
      <c r="N212">
        <v>50159.081846000001</v>
      </c>
      <c r="O212">
        <v>-0.83379800000000004</v>
      </c>
      <c r="P212">
        <v>22.349398999999998</v>
      </c>
      <c r="Q212">
        <v>177.57820599999999</v>
      </c>
      <c r="R212">
        <v>12.638458999999999</v>
      </c>
      <c r="S212">
        <f t="shared" si="54"/>
        <v>564.92392587228187</v>
      </c>
      <c r="T212">
        <f t="shared" si="47"/>
        <v>-6.8129961863403325</v>
      </c>
      <c r="U212">
        <f>M212-3168*T212</f>
        <v>55.851500326170935</v>
      </c>
      <c r="V212">
        <f t="shared" si="51"/>
        <v>9.8865524663223153E-2</v>
      </c>
      <c r="W212">
        <f t="shared" si="52"/>
        <v>1.5838257051048348</v>
      </c>
      <c r="X212" s="1">
        <f>AVERAGE(W208:W212)</f>
        <v>1.5856781284448818</v>
      </c>
      <c r="Y212">
        <f>STDEV(W208:W212)</f>
        <v>8.3516498607454619E-3</v>
      </c>
      <c r="AA212">
        <v>2.2357782052788303E-3</v>
      </c>
      <c r="AE212" t="s">
        <v>148</v>
      </c>
      <c r="AF212">
        <v>12.7317</v>
      </c>
    </row>
    <row r="213" spans="11:32" x14ac:dyDescent="0.2">
      <c r="K213" t="s">
        <v>134</v>
      </c>
      <c r="L213">
        <v>557.70641499999999</v>
      </c>
      <c r="M213">
        <v>-21944.89071</v>
      </c>
      <c r="N213">
        <v>51199.771926000001</v>
      </c>
      <c r="O213">
        <v>-1.1011</v>
      </c>
      <c r="P213">
        <v>26.059314000000001</v>
      </c>
      <c r="Q213">
        <v>155.50730799999999</v>
      </c>
      <c r="R213">
        <v>12.634391000000001</v>
      </c>
      <c r="S213">
        <f t="shared" si="54"/>
        <v>658.48712453554811</v>
      </c>
      <c r="T213">
        <f t="shared" si="47"/>
        <v>-6.8129961863403325</v>
      </c>
      <c r="U213">
        <f>M213-3232*T213</f>
        <v>74.712964251953963</v>
      </c>
      <c r="V213">
        <f t="shared" si="51"/>
        <v>0.11346154156719676</v>
      </c>
      <c r="W213">
        <f t="shared" si="52"/>
        <v>1.8176538959064921</v>
      </c>
      <c r="AA213">
        <v>3.8635551096114782E-3</v>
      </c>
      <c r="AE213" t="s">
        <v>149</v>
      </c>
      <c r="AF213">
        <v>3.3772899999999999</v>
      </c>
    </row>
    <row r="214" spans="11:32" x14ac:dyDescent="0.2">
      <c r="L214">
        <v>557.67998399999999</v>
      </c>
      <c r="M214">
        <v>-21944.830463999999</v>
      </c>
      <c r="N214">
        <v>51199.892284000001</v>
      </c>
      <c r="O214">
        <v>-0.91228399999999998</v>
      </c>
      <c r="P214">
        <v>26.059148</v>
      </c>
      <c r="Q214">
        <v>155.507735</v>
      </c>
      <c r="R214">
        <v>12.634467000000001</v>
      </c>
      <c r="S214">
        <f t="shared" si="54"/>
        <v>658.486890908232</v>
      </c>
      <c r="T214">
        <f t="shared" si="47"/>
        <v>-6.8129961863403325</v>
      </c>
      <c r="U214">
        <f>M214-3232*T214</f>
        <v>74.773210251954879</v>
      </c>
      <c r="V214">
        <f t="shared" si="51"/>
        <v>0.11355307339349208</v>
      </c>
      <c r="W214">
        <f t="shared" si="52"/>
        <v>1.819120235763743</v>
      </c>
      <c r="AA214">
        <v>1.6561000748763634E-2</v>
      </c>
      <c r="AE214" t="s">
        <v>150</v>
      </c>
      <c r="AF214">
        <v>16.741</v>
      </c>
    </row>
    <row r="215" spans="11:32" x14ac:dyDescent="0.2">
      <c r="L215">
        <v>557.62284</v>
      </c>
      <c r="M215">
        <v>-21944.637978999999</v>
      </c>
      <c r="N215">
        <v>51200.228968000003</v>
      </c>
      <c r="O215">
        <v>-0.86288200000000004</v>
      </c>
      <c r="P215">
        <v>26.059826000000001</v>
      </c>
      <c r="Q215">
        <v>155.50528600000001</v>
      </c>
      <c r="R215">
        <v>12.63442</v>
      </c>
      <c r="S215">
        <f t="shared" si="54"/>
        <v>658.50157362184007</v>
      </c>
      <c r="T215">
        <f t="shared" si="47"/>
        <v>-6.8129961863403325</v>
      </c>
      <c r="U215">
        <f>M215-3232*T215</f>
        <v>74.965695251954457</v>
      </c>
      <c r="V215">
        <f t="shared" si="51"/>
        <v>0.11384284906053278</v>
      </c>
      <c r="W215">
        <f t="shared" si="52"/>
        <v>1.8237624419497351</v>
      </c>
      <c r="AA215">
        <v>8.3516498607454619E-3</v>
      </c>
    </row>
    <row r="216" spans="11:32" x14ac:dyDescent="0.2">
      <c r="L216">
        <v>557.56465600000001</v>
      </c>
      <c r="M216">
        <v>-21944.759771000001</v>
      </c>
      <c r="N216">
        <v>51199.800136999998</v>
      </c>
      <c r="O216">
        <v>-0.74859399999999998</v>
      </c>
      <c r="P216">
        <v>26.059902999999998</v>
      </c>
      <c r="Q216">
        <v>155.504164</v>
      </c>
      <c r="R216">
        <v>12.634368</v>
      </c>
      <c r="S216">
        <f t="shared" si="54"/>
        <v>658.50080909260794</v>
      </c>
      <c r="T216">
        <f t="shared" si="47"/>
        <v>-6.8129961863403325</v>
      </c>
      <c r="U216">
        <f>M216-3232*T216</f>
        <v>74.843903251952725</v>
      </c>
      <c r="V216">
        <f t="shared" si="51"/>
        <v>0.11365802777840944</v>
      </c>
      <c r="W216">
        <f t="shared" si="52"/>
        <v>1.8208016050101192</v>
      </c>
      <c r="AA216">
        <v>2.9710791978783849E-3</v>
      </c>
      <c r="AE216" t="s">
        <v>151</v>
      </c>
      <c r="AF216">
        <f>AF212-AF208</f>
        <v>4.4181299999999997</v>
      </c>
    </row>
    <row r="217" spans="11:32" x14ac:dyDescent="0.2">
      <c r="L217">
        <v>557.66983300000004</v>
      </c>
      <c r="M217">
        <v>-21944.603846999998</v>
      </c>
      <c r="N217">
        <v>51200.427642000002</v>
      </c>
      <c r="O217">
        <v>-1.1295059999999999</v>
      </c>
      <c r="P217">
        <v>26.059384000000001</v>
      </c>
      <c r="Q217">
        <v>155.508061</v>
      </c>
      <c r="R217">
        <v>12.634458</v>
      </c>
      <c r="S217">
        <f t="shared" si="54"/>
        <v>658.49238530774403</v>
      </c>
      <c r="T217">
        <f t="shared" si="47"/>
        <v>-6.8129961863403325</v>
      </c>
      <c r="U217">
        <f>M217-3232*T217</f>
        <v>74.999827251955139</v>
      </c>
      <c r="V217">
        <f t="shared" si="51"/>
        <v>0.11389627112681681</v>
      </c>
      <c r="W217">
        <f t="shared" si="52"/>
        <v>1.8246182634516053</v>
      </c>
      <c r="X217" s="1">
        <f>AVERAGE(W213:W217)</f>
        <v>1.821191288416339</v>
      </c>
      <c r="Y217">
        <f>STDEV(W213:W217)</f>
        <v>2.9710791978783849E-3</v>
      </c>
      <c r="AA217">
        <v>4.143646415581805E-3</v>
      </c>
      <c r="AE217" t="s">
        <v>152</v>
      </c>
      <c r="AF217">
        <f>AF214-AF210</f>
        <v>15.723329999999999</v>
      </c>
    </row>
    <row r="218" spans="11:32" x14ac:dyDescent="0.2">
      <c r="K218" t="s">
        <v>135</v>
      </c>
      <c r="L218">
        <v>557.47398499999997</v>
      </c>
      <c r="M218">
        <v>-25001.699006999999</v>
      </c>
      <c r="N218">
        <v>58279.998455000001</v>
      </c>
      <c r="O218">
        <v>-0.85983399999999999</v>
      </c>
      <c r="P218">
        <v>24.074894</v>
      </c>
      <c r="Q218">
        <v>191.59832</v>
      </c>
      <c r="R218">
        <v>12.634658999999999</v>
      </c>
      <c r="S218">
        <f t="shared" si="54"/>
        <v>608.356152302292</v>
      </c>
      <c r="T218">
        <f t="shared" si="47"/>
        <v>-6.8129961863403325</v>
      </c>
      <c r="U218">
        <f>M218-3680*T218</f>
        <v>70.1269587324241</v>
      </c>
      <c r="V218">
        <f t="shared" si="51"/>
        <v>0.1152728684784929</v>
      </c>
      <c r="W218">
        <f t="shared" si="52"/>
        <v>1.8466713530254562</v>
      </c>
      <c r="AA218">
        <v>8.5242209471119799E-3</v>
      </c>
    </row>
    <row r="219" spans="11:32" x14ac:dyDescent="0.2">
      <c r="L219">
        <v>557.74526100000003</v>
      </c>
      <c r="M219">
        <v>-25001.438375999998</v>
      </c>
      <c r="N219">
        <v>58280.300539999997</v>
      </c>
      <c r="O219">
        <v>-0.79075499999999999</v>
      </c>
      <c r="P219">
        <v>24.074961999999999</v>
      </c>
      <c r="Q219">
        <v>191.594877</v>
      </c>
      <c r="R219">
        <v>12.634914999999999</v>
      </c>
      <c r="S219">
        <f t="shared" si="54"/>
        <v>608.37019699645998</v>
      </c>
      <c r="T219">
        <f t="shared" si="47"/>
        <v>-6.8129961863403325</v>
      </c>
      <c r="U219">
        <f>M219-3680*T219</f>
        <v>70.387589732425113</v>
      </c>
      <c r="V219">
        <f t="shared" si="51"/>
        <v>0.11569861587554837</v>
      </c>
      <c r="W219">
        <f t="shared" si="52"/>
        <v>1.853491826326285</v>
      </c>
      <c r="AA219">
        <v>1.8622642798647886E-2</v>
      </c>
    </row>
    <row r="220" spans="11:32" x14ac:dyDescent="0.2">
      <c r="L220">
        <v>557.73791000000006</v>
      </c>
      <c r="M220">
        <v>-25001.350115000001</v>
      </c>
      <c r="N220">
        <v>58280.621941999998</v>
      </c>
      <c r="O220">
        <v>-0.80271099999999995</v>
      </c>
      <c r="P220">
        <v>24.074842</v>
      </c>
      <c r="Q220">
        <v>191.59743800000001</v>
      </c>
      <c r="R220">
        <v>12.634879</v>
      </c>
      <c r="S220">
        <f t="shared" si="54"/>
        <v>608.36543122823605</v>
      </c>
      <c r="T220">
        <f t="shared" si="47"/>
        <v>-6.8129961863403325</v>
      </c>
      <c r="U220">
        <f>M220-3680*T220</f>
        <v>70.475850732422259</v>
      </c>
      <c r="V220">
        <f t="shared" si="51"/>
        <v>0.11584460114727055</v>
      </c>
      <c r="W220">
        <f t="shared" si="52"/>
        <v>1.855830510379274</v>
      </c>
      <c r="AA220">
        <v>7.3575217448526463E-3</v>
      </c>
    </row>
    <row r="221" spans="11:32" x14ac:dyDescent="0.2">
      <c r="L221">
        <v>557.67988200000002</v>
      </c>
      <c r="M221">
        <v>-25001.422065999999</v>
      </c>
      <c r="N221">
        <v>58279.960900999999</v>
      </c>
      <c r="O221">
        <v>-0.93551099999999998</v>
      </c>
      <c r="P221">
        <v>24.075298</v>
      </c>
      <c r="Q221">
        <v>191.59245000000001</v>
      </c>
      <c r="R221">
        <v>12.634826</v>
      </c>
      <c r="S221">
        <f t="shared" si="54"/>
        <v>608.37440225629598</v>
      </c>
      <c r="T221">
        <f t="shared" si="47"/>
        <v>-6.8129961863403325</v>
      </c>
      <c r="U221">
        <f>M221-3680*T221</f>
        <v>70.403899732424179</v>
      </c>
      <c r="V221">
        <f t="shared" si="51"/>
        <v>0.11572462528225247</v>
      </c>
      <c r="W221">
        <f t="shared" si="52"/>
        <v>1.8539084970216846</v>
      </c>
      <c r="Z221" t="s">
        <v>147</v>
      </c>
      <c r="AA221">
        <f>AVERAGE(AA210:AA220)</f>
        <v>7.7711818246061345E-3</v>
      </c>
      <c r="AB221">
        <f>AA221*2</f>
        <v>1.5542363649212269E-2</v>
      </c>
    </row>
    <row r="222" spans="11:32" x14ac:dyDescent="0.2">
      <c r="L222">
        <v>557.80527500000005</v>
      </c>
      <c r="M222">
        <v>-25001.284384999999</v>
      </c>
      <c r="N222">
        <v>58281.131011999998</v>
      </c>
      <c r="O222">
        <v>-0.92578700000000003</v>
      </c>
      <c r="P222">
        <v>24.075050999999998</v>
      </c>
      <c r="Q222">
        <v>191.59855999999999</v>
      </c>
      <c r="R222">
        <v>12.634805999999999</v>
      </c>
      <c r="S222">
        <f t="shared" si="54"/>
        <v>608.36719765021189</v>
      </c>
      <c r="T222">
        <f t="shared" si="47"/>
        <v>-6.8129961863403325</v>
      </c>
      <c r="U222">
        <f>M222-3680*T222</f>
        <v>70.541580732424336</v>
      </c>
      <c r="V222">
        <f t="shared" si="51"/>
        <v>0.11595230808775965</v>
      </c>
      <c r="W222">
        <f t="shared" si="52"/>
        <v>1.8575559755659095</v>
      </c>
      <c r="X222" s="1">
        <f>AVERAGE(W218:W222)</f>
        <v>1.8534916324637218</v>
      </c>
      <c r="Y222">
        <f>STDEV(W218:W222)</f>
        <v>4.143646415581805E-3</v>
      </c>
    </row>
    <row r="223" spans="11:32" x14ac:dyDescent="0.2">
      <c r="K223" t="s">
        <v>136</v>
      </c>
      <c r="L223">
        <v>557.717669</v>
      </c>
      <c r="M223">
        <v>-22391.915220999999</v>
      </c>
      <c r="N223">
        <v>52205.977359999997</v>
      </c>
      <c r="O223">
        <v>-0.74585000000000001</v>
      </c>
      <c r="P223">
        <v>22.801818000000001</v>
      </c>
      <c r="Q223">
        <v>181.23034100000001</v>
      </c>
      <c r="R223">
        <v>12.63339</v>
      </c>
      <c r="S223">
        <f t="shared" si="54"/>
        <v>576.12851900604005</v>
      </c>
      <c r="T223">
        <f t="shared" si="47"/>
        <v>-6.8129961863403325</v>
      </c>
      <c r="U223">
        <f>M223-3296*T223</f>
        <v>63.720209177736251</v>
      </c>
      <c r="V223">
        <f t="shared" si="51"/>
        <v>0.11060068556867989</v>
      </c>
      <c r="W223">
        <f t="shared" si="52"/>
        <v>1.7718229828102516</v>
      </c>
    </row>
    <row r="224" spans="11:32" x14ac:dyDescent="0.2">
      <c r="L224">
        <v>557.72364300000004</v>
      </c>
      <c r="M224">
        <v>-22391.560064000001</v>
      </c>
      <c r="N224">
        <v>52205.025247999998</v>
      </c>
      <c r="O224">
        <v>-0.92200099999999996</v>
      </c>
      <c r="P224">
        <v>22.802419</v>
      </c>
      <c r="Q224">
        <v>181.224287</v>
      </c>
      <c r="R224">
        <v>12.633248999999999</v>
      </c>
      <c r="S224">
        <f t="shared" si="54"/>
        <v>576.137274058662</v>
      </c>
      <c r="T224">
        <f t="shared" si="47"/>
        <v>-6.8129961863403325</v>
      </c>
      <c r="U224">
        <f>M224-3296*T224</f>
        <v>64.075366177734395</v>
      </c>
      <c r="V224">
        <f t="shared" si="51"/>
        <v>0.11121544996793642</v>
      </c>
      <c r="W224">
        <f t="shared" si="52"/>
        <v>1.7816715084863415</v>
      </c>
    </row>
    <row r="225" spans="11:25" x14ac:dyDescent="0.2">
      <c r="L225">
        <v>557.58603900000003</v>
      </c>
      <c r="M225">
        <v>-22392.308649999999</v>
      </c>
      <c r="N225">
        <v>52204.205024000003</v>
      </c>
      <c r="O225">
        <v>-0.89954299999999998</v>
      </c>
      <c r="P225">
        <v>22.801677000000002</v>
      </c>
      <c r="Q225">
        <v>181.229071</v>
      </c>
      <c r="R225">
        <v>12.633127999999999</v>
      </c>
      <c r="S225">
        <f t="shared" si="54"/>
        <v>576.113008311312</v>
      </c>
      <c r="T225">
        <f t="shared" si="47"/>
        <v>-6.8129961863403325</v>
      </c>
      <c r="U225">
        <f>M225-3296*T225</f>
        <v>63.326780177736509</v>
      </c>
      <c r="V225">
        <f t="shared" ref="V225:V242" si="55">U225/(2*P225*R225)</f>
        <v>0.10992076079545293</v>
      </c>
      <c r="W225">
        <f t="shared" ref="W225:W242" si="56">V225*16.02</f>
        <v>1.7609305879431558</v>
      </c>
    </row>
    <row r="226" spans="11:25" x14ac:dyDescent="0.2">
      <c r="L226">
        <v>557.81239800000003</v>
      </c>
      <c r="M226">
        <v>-22391.756746999999</v>
      </c>
      <c r="N226">
        <v>52205.464511999999</v>
      </c>
      <c r="O226">
        <v>-1.045137</v>
      </c>
      <c r="P226">
        <v>22.802033000000002</v>
      </c>
      <c r="Q226">
        <v>181.22813199999999</v>
      </c>
      <c r="R226">
        <v>12.633300999999999</v>
      </c>
      <c r="S226">
        <f t="shared" si="54"/>
        <v>576.129892601866</v>
      </c>
      <c r="T226">
        <f t="shared" si="47"/>
        <v>-6.8129961863403325</v>
      </c>
      <c r="U226">
        <f>M226-3296*T226</f>
        <v>63.878683177736093</v>
      </c>
      <c r="V226">
        <f t="shared" si="55"/>
        <v>0.11087548831957482</v>
      </c>
      <c r="W226">
        <f t="shared" si="56"/>
        <v>1.7762253228795886</v>
      </c>
    </row>
    <row r="227" spans="11:25" x14ac:dyDescent="0.2">
      <c r="L227">
        <v>557.71288300000003</v>
      </c>
      <c r="M227">
        <v>-22392.193104999998</v>
      </c>
      <c r="N227">
        <v>52205.789728000003</v>
      </c>
      <c r="O227">
        <v>-0.90144500000000005</v>
      </c>
      <c r="P227">
        <v>22.801952</v>
      </c>
      <c r="Q227">
        <v>181.231627</v>
      </c>
      <c r="R227">
        <v>12.633181</v>
      </c>
      <c r="S227">
        <f t="shared" si="54"/>
        <v>576.12237353862406</v>
      </c>
      <c r="T227">
        <f t="shared" si="47"/>
        <v>-6.8129961863403325</v>
      </c>
      <c r="U227">
        <f>M227-3296*T227</f>
        <v>63.442325177737075</v>
      </c>
      <c r="V227">
        <f t="shared" si="55"/>
        <v>0.11011953031448068</v>
      </c>
      <c r="W227">
        <f t="shared" si="56"/>
        <v>1.7641148756379805</v>
      </c>
      <c r="X227" s="1">
        <f>AVERAGE(W223:W227)</f>
        <v>1.7709530555514637</v>
      </c>
      <c r="Y227">
        <f>STDEV(W223:W227)</f>
        <v>8.5242209471119799E-3</v>
      </c>
    </row>
    <row r="228" spans="11:25" x14ac:dyDescent="0.2">
      <c r="K228" t="s">
        <v>137</v>
      </c>
      <c r="L228">
        <v>557.57676200000003</v>
      </c>
      <c r="M228">
        <v>-32288.796222000001</v>
      </c>
      <c r="N228">
        <v>75242.111562000006</v>
      </c>
      <c r="O228">
        <v>-0.67936300000000005</v>
      </c>
      <c r="P228">
        <v>31.630208</v>
      </c>
      <c r="Q228">
        <v>188.27715900000001</v>
      </c>
      <c r="R228">
        <v>12.634594999999999</v>
      </c>
      <c r="S228">
        <f t="shared" ref="S228:S236" si="57">2*R228*P228</f>
        <v>799.26973569151994</v>
      </c>
      <c r="T228">
        <f t="shared" si="47"/>
        <v>-6.8129961863403325</v>
      </c>
      <c r="U228">
        <f>M228-4752*T228</f>
        <v>86.561655489258555</v>
      </c>
      <c r="V228">
        <f t="shared" si="55"/>
        <v>0.10830092974102955</v>
      </c>
      <c r="W228">
        <f t="shared" si="56"/>
        <v>1.7349808944512932</v>
      </c>
    </row>
    <row r="229" spans="11:25" x14ac:dyDescent="0.2">
      <c r="L229">
        <v>557.72570900000005</v>
      </c>
      <c r="M229">
        <v>-32287.838962999998</v>
      </c>
      <c r="N229">
        <v>75250.828708000001</v>
      </c>
      <c r="O229">
        <v>-0.47289300000000001</v>
      </c>
      <c r="P229">
        <v>31.628088000000002</v>
      </c>
      <c r="Q229">
        <v>188.31661700000001</v>
      </c>
      <c r="R229">
        <v>12.634258000000001</v>
      </c>
      <c r="S229">
        <f t="shared" si="57"/>
        <v>799.19484767740812</v>
      </c>
      <c r="T229">
        <f t="shared" si="47"/>
        <v>-6.8129961863403325</v>
      </c>
      <c r="U229">
        <f>M229-4752*T229</f>
        <v>87.518914489261078</v>
      </c>
      <c r="V229">
        <f t="shared" si="55"/>
        <v>0.1095088572500254</v>
      </c>
      <c r="W229">
        <f t="shared" si="56"/>
        <v>1.7543318931454068</v>
      </c>
    </row>
    <row r="230" spans="11:25" x14ac:dyDescent="0.2">
      <c r="L230">
        <v>557.56135800000004</v>
      </c>
      <c r="M230">
        <v>-32290.087500000001</v>
      </c>
      <c r="N230">
        <v>75236.676678000003</v>
      </c>
      <c r="O230">
        <v>-0.65094600000000002</v>
      </c>
      <c r="P230">
        <v>31.631812</v>
      </c>
      <c r="Q230">
        <v>188.25535400000001</v>
      </c>
      <c r="R230">
        <v>12.634505000000001</v>
      </c>
      <c r="S230">
        <f t="shared" si="57"/>
        <v>799.30457374612001</v>
      </c>
      <c r="T230">
        <f t="shared" si="47"/>
        <v>-6.8129961863403325</v>
      </c>
      <c r="U230">
        <f>M230-4752*T230</f>
        <v>85.270377489257953</v>
      </c>
      <c r="V230">
        <f t="shared" si="55"/>
        <v>0.1066807075676037</v>
      </c>
      <c r="W230">
        <f t="shared" si="56"/>
        <v>1.7090249352330111</v>
      </c>
    </row>
    <row r="231" spans="11:25" x14ac:dyDescent="0.2">
      <c r="L231">
        <v>557.72069299999998</v>
      </c>
      <c r="M231">
        <v>-32287.971018</v>
      </c>
      <c r="N231">
        <v>75249.249893999993</v>
      </c>
      <c r="O231">
        <v>-0.52723799999999998</v>
      </c>
      <c r="P231">
        <v>31.627607999999999</v>
      </c>
      <c r="Q231">
        <v>188.31237899999999</v>
      </c>
      <c r="R231">
        <v>12.634468999999999</v>
      </c>
      <c r="S231">
        <f t="shared" si="57"/>
        <v>799.19606564030391</v>
      </c>
      <c r="T231">
        <f t="shared" si="47"/>
        <v>-6.8129961863403325</v>
      </c>
      <c r="U231">
        <f>M231-4752*T231</f>
        <v>87.386859489259223</v>
      </c>
      <c r="V231">
        <f t="shared" si="55"/>
        <v>0.10934345556274251</v>
      </c>
      <c r="W231">
        <f t="shared" si="56"/>
        <v>1.7516821581151349</v>
      </c>
    </row>
    <row r="232" spans="11:25" x14ac:dyDescent="0.2">
      <c r="L232">
        <v>557.67432499999995</v>
      </c>
      <c r="M232">
        <v>-32288.162617000002</v>
      </c>
      <c r="N232">
        <v>75250.169599000001</v>
      </c>
      <c r="O232">
        <v>-0.55598999999999998</v>
      </c>
      <c r="P232">
        <v>31.627583000000001</v>
      </c>
      <c r="Q232">
        <v>188.315425</v>
      </c>
      <c r="R232">
        <v>12.634429000000001</v>
      </c>
      <c r="S232">
        <f t="shared" si="57"/>
        <v>799.19290371021407</v>
      </c>
      <c r="T232">
        <f t="shared" si="47"/>
        <v>-6.8129961863403325</v>
      </c>
      <c r="U232">
        <f>M232-4752*T232</f>
        <v>87.195260489257635</v>
      </c>
      <c r="V232">
        <f t="shared" si="55"/>
        <v>0.10910414755243433</v>
      </c>
      <c r="W232">
        <f t="shared" si="56"/>
        <v>1.7478484437899979</v>
      </c>
      <c r="X232" s="1">
        <f>AVERAGE(W228:W232)</f>
        <v>1.7395736649469691</v>
      </c>
      <c r="Y232">
        <f>STDEV(W228:W232)</f>
        <v>1.8622642798647886E-2</v>
      </c>
    </row>
    <row r="233" spans="11:25" x14ac:dyDescent="0.2">
      <c r="K233" t="s">
        <v>139</v>
      </c>
      <c r="L233">
        <v>557.71615599999996</v>
      </c>
      <c r="M233">
        <v>-44088.856037999998</v>
      </c>
      <c r="N233">
        <v>102722.16280200001</v>
      </c>
      <c r="O233">
        <v>-0.47812700000000002</v>
      </c>
      <c r="P233">
        <v>36.882697999999998</v>
      </c>
      <c r="Q233">
        <v>220.44674900000001</v>
      </c>
      <c r="R233">
        <v>12.633910999999999</v>
      </c>
      <c r="S233">
        <f t="shared" si="57"/>
        <v>931.94544794375588</v>
      </c>
      <c r="T233">
        <f t="shared" si="47"/>
        <v>-6.8129961863403325</v>
      </c>
      <c r="U233">
        <f>M233-6488*T233</f>
        <v>113.86321897608286</v>
      </c>
      <c r="V233">
        <f t="shared" si="55"/>
        <v>0.12217798716363777</v>
      </c>
      <c r="W233">
        <f t="shared" si="56"/>
        <v>1.9572913543614769</v>
      </c>
    </row>
    <row r="234" spans="11:25" x14ac:dyDescent="0.2">
      <c r="L234">
        <v>557.73511399999995</v>
      </c>
      <c r="M234">
        <v>-44089.697702999998</v>
      </c>
      <c r="N234">
        <v>102722.40687799999</v>
      </c>
      <c r="O234">
        <v>-0.39072499999999999</v>
      </c>
      <c r="P234">
        <v>36.881562000000002</v>
      </c>
      <c r="Q234">
        <v>220.455207</v>
      </c>
      <c r="R234">
        <v>12.633845000000001</v>
      </c>
      <c r="S234">
        <f t="shared" si="57"/>
        <v>931.91187533178015</v>
      </c>
      <c r="T234">
        <f t="shared" si="47"/>
        <v>-6.8129961863403325</v>
      </c>
      <c r="U234">
        <f>M234-6488*T234</f>
        <v>113.02155397608294</v>
      </c>
      <c r="V234">
        <f t="shared" si="55"/>
        <v>0.12127922925742834</v>
      </c>
      <c r="W234">
        <f t="shared" si="56"/>
        <v>1.9428932527040019</v>
      </c>
    </row>
    <row r="235" spans="11:25" x14ac:dyDescent="0.2">
      <c r="L235">
        <v>557.65320999999994</v>
      </c>
      <c r="M235">
        <v>-44089.891954999999</v>
      </c>
      <c r="N235">
        <v>102718.93966</v>
      </c>
      <c r="O235">
        <v>-0.46246799999999999</v>
      </c>
      <c r="P235">
        <v>36.879471000000002</v>
      </c>
      <c r="Q235">
        <v>220.45819</v>
      </c>
      <c r="R235">
        <v>12.633964000000001</v>
      </c>
      <c r="S235">
        <f t="shared" si="57"/>
        <v>931.86781790608813</v>
      </c>
      <c r="T235">
        <f t="shared" si="47"/>
        <v>-6.8129961863403325</v>
      </c>
      <c r="U235">
        <f>M235-6488*T235</f>
        <v>112.8273019760818</v>
      </c>
      <c r="V235">
        <f t="shared" si="55"/>
        <v>0.12107650871515806</v>
      </c>
      <c r="W235">
        <f t="shared" si="56"/>
        <v>1.939645669616832</v>
      </c>
    </row>
    <row r="236" spans="11:25" x14ac:dyDescent="0.2">
      <c r="L236">
        <v>557.50324499999999</v>
      </c>
      <c r="M236">
        <v>-44089.250864000001</v>
      </c>
      <c r="N236">
        <v>102724.397017</v>
      </c>
      <c r="O236">
        <v>-0.431288</v>
      </c>
      <c r="P236">
        <v>36.879365999999997</v>
      </c>
      <c r="Q236">
        <v>220.47381300000001</v>
      </c>
      <c r="R236">
        <v>12.633775999999999</v>
      </c>
      <c r="S236">
        <f t="shared" si="57"/>
        <v>931.85129813203184</v>
      </c>
      <c r="T236">
        <f t="shared" si="47"/>
        <v>-6.8129961863403325</v>
      </c>
      <c r="U236">
        <f>M236-6488*T236</f>
        <v>113.46839297607949</v>
      </c>
      <c r="V236">
        <f t="shared" si="55"/>
        <v>0.1217666307956384</v>
      </c>
      <c r="W236">
        <f t="shared" si="56"/>
        <v>1.9507014253461272</v>
      </c>
    </row>
    <row r="237" spans="11:25" x14ac:dyDescent="0.2">
      <c r="L237">
        <v>557.58821699999999</v>
      </c>
      <c r="M237">
        <v>-44089.083050000001</v>
      </c>
      <c r="N237">
        <v>102722.56254100001</v>
      </c>
      <c r="O237">
        <v>-0.33352799999999999</v>
      </c>
      <c r="P237">
        <v>36.880732999999999</v>
      </c>
      <c r="Q237">
        <v>220.460509</v>
      </c>
      <c r="R237">
        <v>12.633844</v>
      </c>
      <c r="S237">
        <f t="shared" ref="S237:S242" si="58">2*R237*P237</f>
        <v>931.890854655304</v>
      </c>
      <c r="T237">
        <f t="shared" si="47"/>
        <v>-6.8129961863403325</v>
      </c>
      <c r="U237">
        <f>M237-6488*T237</f>
        <v>113.63620697607985</v>
      </c>
      <c r="V237">
        <f t="shared" si="55"/>
        <v>0.12194154112405428</v>
      </c>
      <c r="W237">
        <f t="shared" si="56"/>
        <v>1.9535034888073495</v>
      </c>
      <c r="X237" s="1">
        <f>AVERAGE(W233:W237)</f>
        <v>1.9488070381671576</v>
      </c>
      <c r="Y237">
        <f>STDEV(W233:W237)</f>
        <v>7.3575217448526463E-3</v>
      </c>
    </row>
    <row r="238" spans="11:25" x14ac:dyDescent="0.2">
      <c r="K238" t="s">
        <v>111</v>
      </c>
      <c r="L238">
        <v>520.20131000000003</v>
      </c>
      <c r="M238">
        <v>-25969.407403000001</v>
      </c>
      <c r="N238">
        <v>60578.463668999997</v>
      </c>
      <c r="O238">
        <v>-0.64467399999999997</v>
      </c>
      <c r="P238">
        <v>28.366803999999998</v>
      </c>
      <c r="Q238">
        <v>169.02825100000001</v>
      </c>
      <c r="R238">
        <v>12.634225000000001</v>
      </c>
      <c r="S238">
        <f t="shared" si="58"/>
        <v>716.78516853379995</v>
      </c>
      <c r="T238">
        <f t="shared" si="47"/>
        <v>-6.8129961863403325</v>
      </c>
      <c r="U238">
        <f>M238-3824*T238</f>
        <v>83.490013565431582</v>
      </c>
      <c r="V238">
        <f t="shared" si="55"/>
        <v>0.11647843347011806</v>
      </c>
      <c r="W238">
        <f t="shared" si="56"/>
        <v>1.8659845041912912</v>
      </c>
    </row>
    <row r="239" spans="11:25" x14ac:dyDescent="0.2">
      <c r="L239">
        <v>520.22875599999998</v>
      </c>
      <c r="M239">
        <v>-25968.97263</v>
      </c>
      <c r="N239">
        <v>60579.184445999999</v>
      </c>
      <c r="O239">
        <v>-0.62813300000000005</v>
      </c>
      <c r="P239">
        <v>28.366838000000001</v>
      </c>
      <c r="Q239">
        <v>169.03334699999999</v>
      </c>
      <c r="R239">
        <v>12.633979</v>
      </c>
      <c r="S239">
        <f t="shared" si="58"/>
        <v>716.77207117680405</v>
      </c>
      <c r="T239">
        <f t="shared" si="47"/>
        <v>-6.8129961863403325</v>
      </c>
      <c r="U239">
        <f>M239-3824*T239</f>
        <v>83.924786565432441</v>
      </c>
      <c r="V239">
        <f t="shared" si="55"/>
        <v>0.11708713263289379</v>
      </c>
      <c r="W239">
        <f t="shared" si="56"/>
        <v>1.8757358647789584</v>
      </c>
    </row>
    <row r="240" spans="11:25" x14ac:dyDescent="0.2">
      <c r="L240">
        <v>520.15112899999997</v>
      </c>
      <c r="M240">
        <v>-25969.844515000001</v>
      </c>
      <c r="N240">
        <v>60576.523387000001</v>
      </c>
      <c r="O240">
        <v>-0.54969800000000002</v>
      </c>
      <c r="P240">
        <v>28.365804000000001</v>
      </c>
      <c r="Q240">
        <v>169.027402</v>
      </c>
      <c r="R240">
        <v>12.634328999999999</v>
      </c>
      <c r="S240">
        <f t="shared" si="58"/>
        <v>716.76580017103197</v>
      </c>
      <c r="T240">
        <f t="shared" si="47"/>
        <v>-6.8129961863403325</v>
      </c>
      <c r="U240">
        <f>M240-3824*T240</f>
        <v>83.052901565431966</v>
      </c>
      <c r="V240">
        <f t="shared" si="55"/>
        <v>0.11587174157251112</v>
      </c>
      <c r="W240">
        <f t="shared" si="56"/>
        <v>1.856265299991628</v>
      </c>
    </row>
    <row r="241" spans="11:28" x14ac:dyDescent="0.2">
      <c r="L241">
        <v>520.13467400000002</v>
      </c>
      <c r="M241">
        <v>-25968.283907000001</v>
      </c>
      <c r="N241">
        <v>60584.163138999997</v>
      </c>
      <c r="O241">
        <v>-0.60387500000000005</v>
      </c>
      <c r="P241">
        <v>28.369868</v>
      </c>
      <c r="Q241">
        <v>169.04049599999999</v>
      </c>
      <c r="R241">
        <v>12.633134</v>
      </c>
      <c r="S241">
        <f t="shared" si="58"/>
        <v>716.80068801262405</v>
      </c>
      <c r="T241">
        <f t="shared" si="47"/>
        <v>-6.8129961863403325</v>
      </c>
      <c r="U241">
        <f>M241-3824*T241</f>
        <v>84.613509565431741</v>
      </c>
      <c r="V241">
        <f t="shared" si="55"/>
        <v>0.11804328731886145</v>
      </c>
      <c r="W241">
        <f t="shared" si="56"/>
        <v>1.8910534628481603</v>
      </c>
    </row>
    <row r="242" spans="11:28" x14ac:dyDescent="0.2">
      <c r="L242">
        <v>520.17448100000001</v>
      </c>
      <c r="M242">
        <v>-25969.714123000002</v>
      </c>
      <c r="N242">
        <v>60577.136741000002</v>
      </c>
      <c r="O242">
        <v>-0.55381199999999997</v>
      </c>
      <c r="P242">
        <v>28.365860000000001</v>
      </c>
      <c r="Q242">
        <v>169.027063</v>
      </c>
      <c r="R242">
        <v>12.634456999999999</v>
      </c>
      <c r="S242">
        <f t="shared" si="58"/>
        <v>716.77447687604001</v>
      </c>
      <c r="T242">
        <f t="shared" si="47"/>
        <v>-6.8129961863403325</v>
      </c>
      <c r="U242">
        <f>M242-3824*T242</f>
        <v>83.183293565431086</v>
      </c>
      <c r="V242">
        <f t="shared" si="55"/>
        <v>0.11605225388043068</v>
      </c>
      <c r="W242">
        <f t="shared" si="56"/>
        <v>1.8591571071644994</v>
      </c>
      <c r="X242" s="1">
        <f>AVERAGE(W238:W242)</f>
        <v>1.8696392477949075</v>
      </c>
    </row>
    <row r="243" spans="11:28" x14ac:dyDescent="0.2">
      <c r="X243" s="1"/>
    </row>
    <row r="244" spans="11:28" x14ac:dyDescent="0.2">
      <c r="K244" t="s">
        <v>31</v>
      </c>
    </row>
    <row r="245" spans="11:28" x14ac:dyDescent="0.2">
      <c r="L245" t="s">
        <v>16</v>
      </c>
      <c r="Y245" t="s">
        <v>25</v>
      </c>
      <c r="Z245" t="s">
        <v>24</v>
      </c>
    </row>
    <row r="246" spans="11:28" x14ac:dyDescent="0.2">
      <c r="L246" t="s">
        <v>18</v>
      </c>
      <c r="M246" t="s">
        <v>5</v>
      </c>
      <c r="N246" t="s">
        <v>7</v>
      </c>
      <c r="O246" t="s">
        <v>19</v>
      </c>
      <c r="P246" t="s">
        <v>20</v>
      </c>
      <c r="Q246" t="s">
        <v>21</v>
      </c>
      <c r="R246" t="s">
        <v>22</v>
      </c>
      <c r="S246" t="s">
        <v>108</v>
      </c>
      <c r="T246" t="s">
        <v>4</v>
      </c>
      <c r="U246" t="s">
        <v>10</v>
      </c>
      <c r="V246" t="s">
        <v>13</v>
      </c>
      <c r="W246" t="s">
        <v>26</v>
      </c>
      <c r="X246" t="s">
        <v>12</v>
      </c>
      <c r="Y246" t="s">
        <v>23</v>
      </c>
      <c r="Z246" t="s">
        <v>23</v>
      </c>
    </row>
    <row r="247" spans="11:28" x14ac:dyDescent="0.2">
      <c r="K247" t="s">
        <v>17</v>
      </c>
      <c r="L247">
        <v>520.52512999999999</v>
      </c>
      <c r="M247">
        <v>-8989.2014459999991</v>
      </c>
      <c r="N247">
        <v>75715.353887000005</v>
      </c>
      <c r="O247">
        <v>-0.451876</v>
      </c>
      <c r="P247">
        <v>30.49241</v>
      </c>
      <c r="Q247">
        <v>91.833875000000006</v>
      </c>
      <c r="R247">
        <v>27.039003000000001</v>
      </c>
      <c r="S247">
        <f>2*R247*P247</f>
        <v>1648.9687309344599</v>
      </c>
      <c r="T247">
        <v>1519</v>
      </c>
      <c r="U247">
        <v>433</v>
      </c>
      <c r="V247">
        <f>U247/(U247+T247)</f>
        <v>0.22182377049180327</v>
      </c>
      <c r="W247">
        <f>-4.1148-2.5513*V247</f>
        <v>-4.6807389856557373</v>
      </c>
      <c r="X247">
        <f>M247-(SUM(T247:U247)*W247)</f>
        <v>147.60105400000066</v>
      </c>
      <c r="Y247">
        <f>X247/(2*P247*R247)</f>
        <v>8.9511129732797359E-2</v>
      </c>
      <c r="Z247">
        <f>Y247*16.02</f>
        <v>1.4339682983194137</v>
      </c>
    </row>
    <row r="248" spans="11:28" x14ac:dyDescent="0.2">
      <c r="L248">
        <v>520.673902</v>
      </c>
      <c r="M248">
        <v>-8918.8781230000004</v>
      </c>
      <c r="N248">
        <v>76197.764523999998</v>
      </c>
      <c r="O248">
        <v>-0.46843000000000001</v>
      </c>
      <c r="P248">
        <v>30.561883999999999</v>
      </c>
      <c r="Q248">
        <v>92.234217000000001</v>
      </c>
      <c r="R248">
        <v>27.031607999999999</v>
      </c>
      <c r="S248">
        <f t="shared" ref="S248:S269" si="59">2*R248*P248</f>
        <v>1652.2737360589438</v>
      </c>
      <c r="T248">
        <v>1545</v>
      </c>
      <c r="U248">
        <v>407</v>
      </c>
      <c r="V248">
        <f>U248/(U248+T248)</f>
        <v>0.20850409836065573</v>
      </c>
      <c r="W248">
        <f>-4.1148-2.5513*V248</f>
        <v>-4.6467565061475407</v>
      </c>
      <c r="X248">
        <f>M248-(SUM(T248:U248)*W248)</f>
        <v>151.59057699999903</v>
      </c>
      <c r="Y248">
        <f>X248/(2*P248*R248)</f>
        <v>9.1746648083614601E-2</v>
      </c>
      <c r="Z248">
        <f>Y248*16.02</f>
        <v>1.4697813022995059</v>
      </c>
    </row>
    <row r="249" spans="11:28" x14ac:dyDescent="0.2">
      <c r="L249">
        <v>520.53643399999999</v>
      </c>
      <c r="M249">
        <v>-9006.5696919999991</v>
      </c>
      <c r="N249">
        <v>75714.870118000006</v>
      </c>
      <c r="O249">
        <v>-0.4874</v>
      </c>
      <c r="P249">
        <v>30.445262</v>
      </c>
      <c r="Q249">
        <v>91.954414</v>
      </c>
      <c r="R249">
        <v>27.045200999999999</v>
      </c>
      <c r="S249">
        <f t="shared" si="59"/>
        <v>1646.7964605753239</v>
      </c>
      <c r="T249">
        <v>1506</v>
      </c>
      <c r="U249">
        <v>446</v>
      </c>
      <c r="V249">
        <f>U249/(U249+T249)</f>
        <v>0.22848360655737704</v>
      </c>
      <c r="W249">
        <f>-4.1148-2.5513*V249</f>
        <v>-4.6977302254098356</v>
      </c>
      <c r="X249">
        <f>M249-(SUM(T249:U249)*W249)</f>
        <v>163.39970800000083</v>
      </c>
      <c r="Y249">
        <f>X249/(2*P249*R249)</f>
        <v>9.9222770944574171E-2</v>
      </c>
      <c r="Z249">
        <f>Y249*16.02</f>
        <v>1.5895487905320782</v>
      </c>
    </row>
    <row r="250" spans="11:28" x14ac:dyDescent="0.2">
      <c r="L250">
        <v>520.504775</v>
      </c>
      <c r="M250">
        <v>-8954.6567009999999</v>
      </c>
      <c r="N250">
        <v>76148.313122000007</v>
      </c>
      <c r="O250">
        <v>-0.47934900000000003</v>
      </c>
      <c r="P250">
        <v>30.509193</v>
      </c>
      <c r="Q250">
        <v>92.103260000000006</v>
      </c>
      <c r="R250">
        <v>27.099164999999999</v>
      </c>
      <c r="S250">
        <f t="shared" si="59"/>
        <v>1653.5473102476899</v>
      </c>
      <c r="T250">
        <v>1528</v>
      </c>
      <c r="U250">
        <v>424</v>
      </c>
      <c r="V250">
        <f>U250/(U250+T250)</f>
        <v>0.21721311475409835</v>
      </c>
      <c r="W250">
        <f>-4.1148-2.5513*V250</f>
        <v>-4.6689758196721307</v>
      </c>
      <c r="X250">
        <f>M250-(SUM(T250:U250)*W250)</f>
        <v>159.18409900000006</v>
      </c>
      <c r="Y250">
        <f>X250/(2*P250*R250)</f>
        <v>9.6268245857540888E-2</v>
      </c>
      <c r="Z250">
        <f>Y250*16.02</f>
        <v>1.5422172986378049</v>
      </c>
    </row>
    <row r="251" spans="11:28" x14ac:dyDescent="0.2">
      <c r="L251">
        <v>520.70395199999996</v>
      </c>
      <c r="M251">
        <v>-8896.5751949999994</v>
      </c>
      <c r="N251">
        <v>76221.066135000001</v>
      </c>
      <c r="O251">
        <v>-0.51682499999999998</v>
      </c>
      <c r="P251">
        <v>30.565677999999998</v>
      </c>
      <c r="Q251">
        <v>92.11054</v>
      </c>
      <c r="R251">
        <v>27.072792</v>
      </c>
      <c r="S251">
        <f t="shared" si="59"/>
        <v>1654.9964856659519</v>
      </c>
      <c r="T251">
        <v>1554</v>
      </c>
      <c r="U251">
        <v>398</v>
      </c>
      <c r="V251">
        <f>U251/(U251+T251)</f>
        <v>0.20389344262295081</v>
      </c>
      <c r="W251">
        <f>-4.1148-2.5513*V251</f>
        <v>-4.6349933401639341</v>
      </c>
      <c r="X251">
        <f>M251-(SUM(T251:U251)*W251)</f>
        <v>150.93180500000017</v>
      </c>
      <c r="Y251">
        <f>X251/(2*P251*R251)</f>
        <v>9.1197658911805424E-2</v>
      </c>
      <c r="Z251">
        <f>Y251*16.02</f>
        <v>1.4609864957671228</v>
      </c>
    </row>
    <row r="252" spans="11:28" x14ac:dyDescent="0.2">
      <c r="Z252" s="1">
        <f>AVERAGE(Z247:Z251)</f>
        <v>1.4993004371111849</v>
      </c>
      <c r="AB252" s="1">
        <v>1.4993004371111849</v>
      </c>
    </row>
    <row r="253" spans="11:28" x14ac:dyDescent="0.2">
      <c r="K253" t="s">
        <v>27</v>
      </c>
      <c r="L253">
        <v>557.953439</v>
      </c>
      <c r="M253">
        <v>-6777.0516420000004</v>
      </c>
      <c r="N253">
        <v>56817.147961000002</v>
      </c>
      <c r="O253">
        <v>-0.78703900000000004</v>
      </c>
      <c r="P253">
        <v>32.291075999999997</v>
      </c>
      <c r="Q253">
        <v>129.611526</v>
      </c>
      <c r="R253">
        <v>13.575467</v>
      </c>
      <c r="S253">
        <f>2*R253*P253</f>
        <v>876.73287326498394</v>
      </c>
      <c r="T253">
        <v>1136</v>
      </c>
      <c r="U253">
        <v>328</v>
      </c>
      <c r="V253">
        <f>U253/(U253+T253)</f>
        <v>0.22404371584699453</v>
      </c>
      <c r="W253">
        <f>-4.1148-2.5513*V253</f>
        <v>-4.6864027322404365</v>
      </c>
      <c r="X253">
        <f>M253-(SUM(T253:U253)*W253)</f>
        <v>83.841957999999067</v>
      </c>
      <c r="Y253">
        <f>X253/(2*P253*R253)</f>
        <v>9.5629992391831592E-2</v>
      </c>
      <c r="Z253">
        <f>Y253*16.02</f>
        <v>1.5319924781171421</v>
      </c>
      <c r="AB253" s="1">
        <v>1.5471450600185022</v>
      </c>
    </row>
    <row r="254" spans="11:28" x14ac:dyDescent="0.2">
      <c r="L254">
        <v>557.561733</v>
      </c>
      <c r="M254">
        <v>-6689.4236179999998</v>
      </c>
      <c r="N254">
        <v>57315.103652999998</v>
      </c>
      <c r="O254">
        <v>-0.71688499999999999</v>
      </c>
      <c r="P254">
        <v>32.393223999999996</v>
      </c>
      <c r="Q254">
        <v>130.347881</v>
      </c>
      <c r="R254">
        <v>13.574166999999999</v>
      </c>
      <c r="S254">
        <f t="shared" si="59"/>
        <v>879.42206448881586</v>
      </c>
      <c r="T254">
        <v>1171</v>
      </c>
      <c r="U254">
        <v>293</v>
      </c>
      <c r="V254">
        <f>U254/(U254+T254)</f>
        <v>0.20013661202185792</v>
      </c>
      <c r="W254">
        <f>-4.1148-2.5513*V254</f>
        <v>-4.6254085382513654</v>
      </c>
      <c r="X254">
        <f>M254-(SUM(T254:U254)*W254)</f>
        <v>82.174481999999443</v>
      </c>
      <c r="Y254">
        <f>X254/(2*P254*R254)</f>
        <v>9.3441460384286856E-2</v>
      </c>
      <c r="Z254">
        <f>Y254*16.02</f>
        <v>1.4969321953562753</v>
      </c>
      <c r="AB254" s="1">
        <v>1.5729436463655997</v>
      </c>
    </row>
    <row r="255" spans="11:28" x14ac:dyDescent="0.2">
      <c r="L255">
        <v>557.99155699999994</v>
      </c>
      <c r="M255">
        <v>-6748.9827530000002</v>
      </c>
      <c r="N255">
        <v>57279.4614</v>
      </c>
      <c r="O255">
        <v>-0.77976199999999996</v>
      </c>
      <c r="P255">
        <v>32.348176000000002</v>
      </c>
      <c r="Q255">
        <v>130.43132800000001</v>
      </c>
      <c r="R255">
        <v>13.575913</v>
      </c>
      <c r="S255">
        <f t="shared" si="59"/>
        <v>878.312046169376</v>
      </c>
      <c r="T255">
        <v>1144</v>
      </c>
      <c r="U255">
        <v>320</v>
      </c>
      <c r="V255">
        <f>U255/(U255+T255)</f>
        <v>0.21857923497267759</v>
      </c>
      <c r="W255">
        <f>-4.1148-2.5513*V255</f>
        <v>-4.6724612021857919</v>
      </c>
      <c r="X255">
        <f>M255-(SUM(T255:U255)*W255)</f>
        <v>91.50044699999944</v>
      </c>
      <c r="Y255">
        <f>X255/(2*P255*R255)</f>
        <v>0.10417760680735813</v>
      </c>
      <c r="Z255">
        <f>Y255*16.02</f>
        <v>1.6689252610538772</v>
      </c>
      <c r="AB255" s="1">
        <v>1.5240993960617104</v>
      </c>
    </row>
    <row r="256" spans="11:28" x14ac:dyDescent="0.2">
      <c r="L256">
        <v>557.799848</v>
      </c>
      <c r="M256">
        <v>-6746.537738</v>
      </c>
      <c r="N256">
        <v>57045.058401000002</v>
      </c>
      <c r="O256">
        <v>-0.867178</v>
      </c>
      <c r="P256">
        <v>32.311343000000001</v>
      </c>
      <c r="Q256">
        <v>129.849737</v>
      </c>
      <c r="R256">
        <v>13.59639</v>
      </c>
      <c r="S256">
        <f t="shared" si="59"/>
        <v>878.63524170354003</v>
      </c>
      <c r="T256">
        <v>1147</v>
      </c>
      <c r="U256">
        <v>317</v>
      </c>
      <c r="V256">
        <f>U256/(U256+T256)</f>
        <v>0.21653005464480873</v>
      </c>
      <c r="W256">
        <f>-4.1148-2.5513*V256</f>
        <v>-4.6672331284153001</v>
      </c>
      <c r="X256">
        <f>M256-(SUM(T256:U256)*W256)</f>
        <v>86.291561999999431</v>
      </c>
      <c r="Y256">
        <f>X256/(2*P256*R256)</f>
        <v>9.8210904712509844E-2</v>
      </c>
      <c r="Z256">
        <f>Y256*16.02</f>
        <v>1.5733386934944076</v>
      </c>
      <c r="AB256" s="1">
        <v>1.4824809264786118</v>
      </c>
    </row>
    <row r="257" spans="11:28" x14ac:dyDescent="0.2">
      <c r="L257">
        <v>558.22878000000003</v>
      </c>
      <c r="M257">
        <v>-6685.9421110000003</v>
      </c>
      <c r="N257">
        <v>57479.078927000002</v>
      </c>
      <c r="O257">
        <v>-0.87731499999999996</v>
      </c>
      <c r="P257">
        <v>32.400114000000002</v>
      </c>
      <c r="Q257">
        <v>130.465361</v>
      </c>
      <c r="R257">
        <v>13.597828</v>
      </c>
      <c r="S257">
        <f t="shared" si="59"/>
        <v>881.142354704784</v>
      </c>
      <c r="T257">
        <v>1173</v>
      </c>
      <c r="U257">
        <v>291</v>
      </c>
      <c r="V257">
        <f>U257/(U257+T257)</f>
        <v>0.19877049180327869</v>
      </c>
      <c r="W257">
        <f>-4.1148-2.5513*V257</f>
        <v>-4.6219231557377043</v>
      </c>
      <c r="X257">
        <f>M257-(SUM(T257:U257)*W257)</f>
        <v>80.553388999998788</v>
      </c>
      <c r="Y257">
        <f>X257/(2*P257*R257)</f>
        <v>9.1419267919526148E-2</v>
      </c>
      <c r="Z257">
        <f>Y257*16.02</f>
        <v>1.4645366720708088</v>
      </c>
      <c r="AB257" s="1">
        <v>1.3262243291014431</v>
      </c>
    </row>
    <row r="258" spans="11:28" x14ac:dyDescent="0.2">
      <c r="Z258" s="1">
        <f>AVERAGE(Z253:Z257)</f>
        <v>1.5471450600185022</v>
      </c>
      <c r="AB258" s="1">
        <v>1.5983876027380637</v>
      </c>
    </row>
    <row r="259" spans="11:28" x14ac:dyDescent="0.2">
      <c r="K259" t="s">
        <v>28</v>
      </c>
      <c r="L259">
        <v>557.55319699999995</v>
      </c>
      <c r="M259">
        <v>-5838.1103279999998</v>
      </c>
      <c r="N259">
        <v>49113.039705000003</v>
      </c>
      <c r="O259">
        <v>-0.97394499999999995</v>
      </c>
      <c r="P259">
        <v>34.780517000000003</v>
      </c>
      <c r="Q259">
        <v>139.26486399999999</v>
      </c>
      <c r="R259">
        <v>10.139632000000001</v>
      </c>
      <c r="S259">
        <f>2*R259*P259</f>
        <v>705.32328629948813</v>
      </c>
      <c r="T259">
        <v>977</v>
      </c>
      <c r="U259">
        <v>283</v>
      </c>
      <c r="V259">
        <f>U259/(U259+T259)</f>
        <v>0.22460317460317461</v>
      </c>
      <c r="W259">
        <f>-4.1148-2.5513*V259</f>
        <v>-4.6878300793650789</v>
      </c>
      <c r="X259">
        <f>M259-(SUM(T259:U259)*W259)</f>
        <v>68.555571999999302</v>
      </c>
      <c r="Y259">
        <f>X259/(2*P259*R259)</f>
        <v>9.7197375064247971E-2</v>
      </c>
      <c r="Z259">
        <f>Y259*16.02</f>
        <v>1.5571019485292525</v>
      </c>
    </row>
    <row r="260" spans="11:28" x14ac:dyDescent="0.2">
      <c r="L260">
        <v>557.70013700000004</v>
      </c>
      <c r="M260">
        <v>-5770.3804980000004</v>
      </c>
      <c r="N260">
        <v>49701.919601000001</v>
      </c>
      <c r="O260">
        <v>-1.036869</v>
      </c>
      <c r="P260">
        <v>34.794328999999998</v>
      </c>
      <c r="Q260">
        <v>140.42025599999999</v>
      </c>
      <c r="R260">
        <v>10.172725</v>
      </c>
      <c r="S260">
        <f t="shared" si="59"/>
        <v>707.90628095304999</v>
      </c>
      <c r="T260">
        <v>1003</v>
      </c>
      <c r="U260">
        <v>257</v>
      </c>
      <c r="V260">
        <f t="shared" ref="V260:V281" si="60">U260/(U260+T260)</f>
        <v>0.20396825396825397</v>
      </c>
      <c r="W260">
        <f>-4.1148-2.5513*V260</f>
        <v>-4.6351842063492059</v>
      </c>
      <c r="X260">
        <f>M260-(SUM(T260:U260)*W260)</f>
        <v>69.951601999999184</v>
      </c>
      <c r="Y260">
        <f>X260/(2*P260*R260)</f>
        <v>9.8814778003980641E-2</v>
      </c>
      <c r="Z260">
        <f>Y260*16.02</f>
        <v>1.5830127436237698</v>
      </c>
    </row>
    <row r="261" spans="11:28" x14ac:dyDescent="0.2">
      <c r="L261">
        <v>557.87420799999995</v>
      </c>
      <c r="M261">
        <v>-5823.10286</v>
      </c>
      <c r="N261">
        <v>49460.967242999999</v>
      </c>
      <c r="O261">
        <v>-1.036438</v>
      </c>
      <c r="P261">
        <v>34.690327000000003</v>
      </c>
      <c r="Q261">
        <v>140.021636</v>
      </c>
      <c r="R261">
        <v>10.182665</v>
      </c>
      <c r="S261">
        <f t="shared" si="59"/>
        <v>706.47995716291007</v>
      </c>
      <c r="T261">
        <v>981</v>
      </c>
      <c r="U261">
        <v>279</v>
      </c>
      <c r="V261">
        <f t="shared" si="60"/>
        <v>0.22142857142857142</v>
      </c>
      <c r="W261">
        <f>-4.1148-2.5513*V261</f>
        <v>-4.6797307142857143</v>
      </c>
      <c r="X261">
        <f>M261-(SUM(T261:U261)*W261)</f>
        <v>73.357839999999669</v>
      </c>
      <c r="Y261">
        <f>X261/(2*P261*R261)</f>
        <v>0.10383569874309087</v>
      </c>
      <c r="Z261">
        <f>Y261*16.02</f>
        <v>1.6634478938643158</v>
      </c>
    </row>
    <row r="262" spans="11:28" x14ac:dyDescent="0.2">
      <c r="L262">
        <v>557.87202600000001</v>
      </c>
      <c r="M262">
        <v>-5802.7267099999999</v>
      </c>
      <c r="N262">
        <v>49594.825627999999</v>
      </c>
      <c r="O262">
        <v>-1.0018180000000001</v>
      </c>
      <c r="P262">
        <v>34.683790999999999</v>
      </c>
      <c r="Q262">
        <v>140.34964500000001</v>
      </c>
      <c r="R262">
        <v>10.188281</v>
      </c>
      <c r="S262">
        <f t="shared" si="59"/>
        <v>706.73641770654194</v>
      </c>
      <c r="T262">
        <v>991</v>
      </c>
      <c r="U262">
        <v>269</v>
      </c>
      <c r="V262">
        <f t="shared" si="60"/>
        <v>0.21349206349206348</v>
      </c>
      <c r="W262">
        <f>-4.1148-2.5513*V262</f>
        <v>-4.6594823015873015</v>
      </c>
      <c r="X262">
        <f>M262-(SUM(T262:U262)*W262)</f>
        <v>68.220989999999802</v>
      </c>
      <c r="Y262">
        <f>X262/(2*P262*R262)</f>
        <v>9.6529608904811229E-2</v>
      </c>
      <c r="Z262">
        <f>Y262*16.02</f>
        <v>1.5464043346550758</v>
      </c>
    </row>
    <row r="263" spans="11:28" x14ac:dyDescent="0.2">
      <c r="L263">
        <v>558.12529700000005</v>
      </c>
      <c r="M263">
        <v>-5758.1473219999998</v>
      </c>
      <c r="N263">
        <v>49720.866736999997</v>
      </c>
      <c r="O263">
        <v>-1.2733559999999999</v>
      </c>
      <c r="P263">
        <v>34.788331999999997</v>
      </c>
      <c r="Q263">
        <v>140.596102</v>
      </c>
      <c r="R263">
        <v>10.165628</v>
      </c>
      <c r="S263">
        <f t="shared" si="59"/>
        <v>707.29048370499197</v>
      </c>
      <c r="T263">
        <v>1009</v>
      </c>
      <c r="U263">
        <v>251</v>
      </c>
      <c r="V263">
        <f t="shared" si="60"/>
        <v>0.19920634920634919</v>
      </c>
      <c r="W263">
        <f>-4.1148-2.5513*V263</f>
        <v>-4.6230351587301586</v>
      </c>
      <c r="X263">
        <f>M263-(SUM(T263:U263)*W263)</f>
        <v>66.876978000000236</v>
      </c>
      <c r="Y263">
        <f>X263/(2*P263*R263)</f>
        <v>9.4553764741297369E-2</v>
      </c>
      <c r="Z263">
        <f>Y263*16.02</f>
        <v>1.5147513111555839</v>
      </c>
    </row>
    <row r="264" spans="11:28" x14ac:dyDescent="0.2">
      <c r="Z264" s="1">
        <f>AVERAGE(Z259:Z263)</f>
        <v>1.5729436463655997</v>
      </c>
    </row>
    <row r="265" spans="11:28" x14ac:dyDescent="0.2">
      <c r="K265" t="s">
        <v>55</v>
      </c>
      <c r="L265">
        <v>520.42023500000005</v>
      </c>
      <c r="M265">
        <v>-16068.708011000001</v>
      </c>
      <c r="N265">
        <v>135869.613896</v>
      </c>
      <c r="O265">
        <v>-0.29636299999999999</v>
      </c>
      <c r="P265">
        <v>30.768965999999999</v>
      </c>
      <c r="Q265">
        <v>185.56513000000001</v>
      </c>
      <c r="R265">
        <v>23.796548999999999</v>
      </c>
      <c r="S265">
        <f>2*R265*P265</f>
        <v>1464.390414196668</v>
      </c>
      <c r="T265">
        <v>2684</v>
      </c>
      <c r="U265">
        <v>774</v>
      </c>
      <c r="V265">
        <f>U265/(U265+T265)</f>
        <v>0.2238288027761712</v>
      </c>
      <c r="W265">
        <f>-4.1148-2.5513*V265</f>
        <v>-4.6858544245228453</v>
      </c>
      <c r="X265">
        <f>M265-(SUM(T265:U265)*W265)</f>
        <v>134.97658899999806</v>
      </c>
      <c r="Y265">
        <f>X265/(2*P265*R265)</f>
        <v>9.2172543395159554E-2</v>
      </c>
      <c r="Z265">
        <f>Y265*16.02</f>
        <v>1.4766041451904559</v>
      </c>
    </row>
    <row r="266" spans="11:28" x14ac:dyDescent="0.2">
      <c r="L266">
        <v>520.553945</v>
      </c>
      <c r="M266">
        <v>-15975.178909</v>
      </c>
      <c r="N266">
        <v>136388.832192</v>
      </c>
      <c r="O266">
        <v>-0.28325</v>
      </c>
      <c r="P266">
        <v>30.808465999999999</v>
      </c>
      <c r="Q266">
        <v>186.076886</v>
      </c>
      <c r="R266">
        <v>23.791277999999998</v>
      </c>
      <c r="S266">
        <f t="shared" si="59"/>
        <v>1465.945558719096</v>
      </c>
      <c r="T266">
        <v>2719</v>
      </c>
      <c r="U266">
        <v>739</v>
      </c>
      <c r="V266">
        <f>U266/(U266+T266)</f>
        <v>0.21370734528629265</v>
      </c>
      <c r="W266">
        <f>-4.1148-2.5513*V266</f>
        <v>-4.6600315500289184</v>
      </c>
      <c r="X266">
        <f>M266-(SUM(T266:U266)*W266)</f>
        <v>139.21019100000012</v>
      </c>
      <c r="Y266">
        <f>X266/(2*P266*R266)</f>
        <v>9.4962729121836051E-2</v>
      </c>
      <c r="Z266">
        <f>Y266*16.02</f>
        <v>1.5213029205318136</v>
      </c>
    </row>
    <row r="267" spans="11:28" x14ac:dyDescent="0.2">
      <c r="L267">
        <v>520.58738300000005</v>
      </c>
      <c r="M267">
        <v>-16082.655014</v>
      </c>
      <c r="N267">
        <v>136085.04312700001</v>
      </c>
      <c r="O267">
        <v>-0.26436100000000001</v>
      </c>
      <c r="P267">
        <v>30.783092</v>
      </c>
      <c r="Q267">
        <v>185.849266</v>
      </c>
      <c r="R267">
        <v>23.786940000000001</v>
      </c>
      <c r="S267">
        <f t="shared" si="59"/>
        <v>1464.4711248369601</v>
      </c>
      <c r="T267">
        <v>2675</v>
      </c>
      <c r="U267">
        <v>783</v>
      </c>
      <c r="V267">
        <f>U267/(U267+T267)</f>
        <v>0.22643146327356853</v>
      </c>
      <c r="W267">
        <f>-4.1148-2.5513*V267</f>
        <v>-4.6924945922498553</v>
      </c>
      <c r="X267">
        <f>M267-(SUM(T267:U267)*W267)</f>
        <v>143.9912860000004</v>
      </c>
      <c r="Y267">
        <f>X267/(2*P267*R267)</f>
        <v>9.8323062543162795E-2</v>
      </c>
      <c r="Z267">
        <f>Y267*16.02</f>
        <v>1.5751354619414679</v>
      </c>
    </row>
    <row r="268" spans="11:28" x14ac:dyDescent="0.2">
      <c r="L268">
        <v>520.58005600000001</v>
      </c>
      <c r="M268">
        <v>-16035.023193000001</v>
      </c>
      <c r="N268">
        <v>136340.206836</v>
      </c>
      <c r="O268">
        <v>-0.32145200000000002</v>
      </c>
      <c r="P268">
        <v>30.812788999999999</v>
      </c>
      <c r="Q268">
        <v>185.85893899999999</v>
      </c>
      <c r="R268">
        <v>23.807319</v>
      </c>
      <c r="S268">
        <f t="shared" si="59"/>
        <v>1467.1397940053819</v>
      </c>
      <c r="T268">
        <v>2694</v>
      </c>
      <c r="U268">
        <v>764</v>
      </c>
      <c r="V268">
        <f>U268/(U268+T268)</f>
        <v>0.22093695777906305</v>
      </c>
      <c r="W268">
        <f>-4.1148-2.5513*V268</f>
        <v>-4.6784764603817237</v>
      </c>
      <c r="X268">
        <f>M268-(SUM(T268:U268)*W268)</f>
        <v>143.14840700000059</v>
      </c>
      <c r="Y268">
        <f>X268/(2*P268*R268)</f>
        <v>9.7569711887642713E-2</v>
      </c>
      <c r="Z268">
        <f>Y268*16.02</f>
        <v>1.5630667844400363</v>
      </c>
    </row>
    <row r="269" spans="11:28" x14ac:dyDescent="0.2">
      <c r="L269">
        <v>520.50619600000005</v>
      </c>
      <c r="M269">
        <v>-15960.490820999999</v>
      </c>
      <c r="N269">
        <v>136537.10187400001</v>
      </c>
      <c r="O269">
        <v>-0.27558100000000002</v>
      </c>
      <c r="P269">
        <v>30.834897000000002</v>
      </c>
      <c r="Q269">
        <v>185.995555</v>
      </c>
      <c r="R269">
        <v>23.807110000000002</v>
      </c>
      <c r="S269">
        <f t="shared" si="59"/>
        <v>1468.1795694353402</v>
      </c>
      <c r="T269">
        <v>2726</v>
      </c>
      <c r="U269">
        <v>732</v>
      </c>
      <c r="V269">
        <f>U269/(U269+T269)</f>
        <v>0.21168305378831695</v>
      </c>
      <c r="W269">
        <f>-4.1148-2.5513*V269</f>
        <v>-4.6548669751301333</v>
      </c>
      <c r="X269">
        <f>M269-(SUM(T269:U269)*W269)</f>
        <v>136.03917900000124</v>
      </c>
      <c r="Y269">
        <f>X269/(2*P269*R269)</f>
        <v>9.2658406254979911E-2</v>
      </c>
      <c r="Z269">
        <f>Y269*16.02</f>
        <v>1.4843876682047781</v>
      </c>
    </row>
    <row r="270" spans="11:28" x14ac:dyDescent="0.2">
      <c r="Z270" s="1">
        <f>AVERAGE(Z265:Z269)</f>
        <v>1.5240993960617104</v>
      </c>
    </row>
    <row r="271" spans="11:28" x14ac:dyDescent="0.2">
      <c r="K271">
        <v>100</v>
      </c>
      <c r="L271">
        <v>557.71280300000001</v>
      </c>
      <c r="M271">
        <v>-21744.370505999999</v>
      </c>
      <c r="N271">
        <v>101035.84780600001</v>
      </c>
      <c r="O271">
        <v>-0.45401000000000002</v>
      </c>
      <c r="P271">
        <v>27.196356000000002</v>
      </c>
      <c r="Q271">
        <v>27.203744</v>
      </c>
      <c r="R271">
        <v>136.56419099999999</v>
      </c>
      <c r="S271">
        <f>2*Q271*P271</f>
        <v>1479.6854127137281</v>
      </c>
      <c r="T271">
        <v>3631</v>
      </c>
      <c r="U271">
        <v>1041</v>
      </c>
      <c r="V271">
        <f t="shared" si="60"/>
        <v>0.2228167808219178</v>
      </c>
      <c r="W271">
        <f>-4.1148-2.5513*V271</f>
        <v>-4.6832724529109591</v>
      </c>
      <c r="X271">
        <f>M271-(SUM(T271:U271)*W271)</f>
        <v>135.87839400000303</v>
      </c>
      <c r="Y271">
        <f>X271/(2*P271*Q271)</f>
        <v>9.1829244806031732E-2</v>
      </c>
      <c r="Z271">
        <f>Y271*16.02</f>
        <v>1.4711045017926283</v>
      </c>
    </row>
    <row r="272" spans="11:28" x14ac:dyDescent="0.2">
      <c r="L272">
        <v>557.69518200000005</v>
      </c>
      <c r="M272">
        <v>-21635.090703000002</v>
      </c>
      <c r="N272">
        <v>101401.746146</v>
      </c>
      <c r="O272">
        <v>-0.37346499999999999</v>
      </c>
      <c r="P272">
        <v>27.239547999999999</v>
      </c>
      <c r="Q272">
        <v>27.268446999999998</v>
      </c>
      <c r="R272">
        <v>136.51668699999999</v>
      </c>
      <c r="S272">
        <f>2*Q272*P272</f>
        <v>1485.5603418839119</v>
      </c>
      <c r="T272">
        <v>3673</v>
      </c>
      <c r="U272">
        <v>999</v>
      </c>
      <c r="V272">
        <f t="shared" si="60"/>
        <v>0.21382705479452055</v>
      </c>
      <c r="W272">
        <f>-4.1148-2.5513*V272</f>
        <v>-4.6603369648972599</v>
      </c>
      <c r="X272">
        <f>M272-(SUM(T272:U272)*W272)</f>
        <v>138.00359699999535</v>
      </c>
      <c r="Y272">
        <f>X272/(2*P272*Q272)</f>
        <v>9.2896662026522747E-2</v>
      </c>
      <c r="Z272">
        <f>Y272*16.02</f>
        <v>1.4882045256648944</v>
      </c>
    </row>
    <row r="273" spans="11:26" x14ac:dyDescent="0.2">
      <c r="L273">
        <v>557.791247</v>
      </c>
      <c r="M273">
        <v>-21787.196286999999</v>
      </c>
      <c r="N273">
        <v>101127.8833</v>
      </c>
      <c r="O273">
        <v>-0.45802999999999999</v>
      </c>
      <c r="P273">
        <v>27.207977</v>
      </c>
      <c r="Q273">
        <v>27.182086000000002</v>
      </c>
      <c r="R273">
        <v>136.73906700000001</v>
      </c>
      <c r="S273">
        <f>2*Q273*P273</f>
        <v>1479.1391414000441</v>
      </c>
      <c r="T273">
        <v>3613</v>
      </c>
      <c r="U273">
        <v>1059</v>
      </c>
      <c r="V273">
        <f t="shared" si="60"/>
        <v>0.2266695205479452</v>
      </c>
      <c r="W273">
        <f>-4.1148-2.5513*V273</f>
        <v>-4.6931019477739726</v>
      </c>
      <c r="X273">
        <f>M273-(SUM(T273:U273)*W273)</f>
        <v>138.97601299999951</v>
      </c>
      <c r="Y273">
        <f>X273/(2*P273*Q273)</f>
        <v>9.3957362840425593E-2</v>
      </c>
      <c r="Z273">
        <f>Y273*16.02</f>
        <v>1.505196952703618</v>
      </c>
    </row>
    <row r="274" spans="11:26" x14ac:dyDescent="0.2">
      <c r="L274">
        <v>557.75402499999996</v>
      </c>
      <c r="M274">
        <v>-21580.455612999998</v>
      </c>
      <c r="N274">
        <v>101711.298339</v>
      </c>
      <c r="O274">
        <v>-0.47214400000000001</v>
      </c>
      <c r="P274">
        <v>27.258338999999999</v>
      </c>
      <c r="Q274">
        <v>27.240245999999999</v>
      </c>
      <c r="R274">
        <v>136.98078699999999</v>
      </c>
      <c r="S274">
        <f>2*Q274*P274</f>
        <v>1485.0477198227879</v>
      </c>
      <c r="T274">
        <v>3695</v>
      </c>
      <c r="U274">
        <v>977</v>
      </c>
      <c r="V274">
        <f t="shared" si="60"/>
        <v>0.2091181506849315</v>
      </c>
      <c r="W274">
        <f>-4.1148-2.5513*V274</f>
        <v>-4.6483231378424659</v>
      </c>
      <c r="X274">
        <f>M274-(SUM(T274:U274)*W274)</f>
        <v>136.51008700000239</v>
      </c>
      <c r="Y274">
        <f>X274/(2*P274*Q274)</f>
        <v>9.1923030605570208E-2</v>
      </c>
      <c r="Z274">
        <f>Y274*16.02</f>
        <v>1.4726069503012347</v>
      </c>
    </row>
    <row r="275" spans="11:26" x14ac:dyDescent="0.2">
      <c r="L275">
        <v>557.75581499999998</v>
      </c>
      <c r="M275">
        <v>-21687.708974000001</v>
      </c>
      <c r="N275">
        <v>101246.80660700001</v>
      </c>
      <c r="O275">
        <v>-0.42686200000000002</v>
      </c>
      <c r="P275">
        <v>27.200063</v>
      </c>
      <c r="Q275">
        <v>27.229216000000001</v>
      </c>
      <c r="R275">
        <v>136.702742</v>
      </c>
      <c r="S275">
        <f>2*Q275*P275</f>
        <v>1481.2727812812161</v>
      </c>
      <c r="T275">
        <v>3653</v>
      </c>
      <c r="U275">
        <v>1019</v>
      </c>
      <c r="V275">
        <f t="shared" si="60"/>
        <v>0.21810787671232876</v>
      </c>
      <c r="W275">
        <f>-4.1148-2.5513*V275</f>
        <v>-4.6712586258561641</v>
      </c>
      <c r="X275">
        <f>M275-(SUM(T275:U275)*W275)</f>
        <v>136.41132599999764</v>
      </c>
      <c r="Y275">
        <f>X275/(2*P275*Q275)</f>
        <v>9.2090618098045154E-2</v>
      </c>
      <c r="Z275">
        <f>Y275*16.02</f>
        <v>1.4752917019306833</v>
      </c>
    </row>
    <row r="276" spans="11:26" x14ac:dyDescent="0.2">
      <c r="Z276" s="1">
        <f>AVERAGE(Z271:Z275)</f>
        <v>1.4824809264786118</v>
      </c>
    </row>
    <row r="277" spans="11:26" x14ac:dyDescent="0.2">
      <c r="K277">
        <v>110</v>
      </c>
      <c r="L277">
        <v>520.588077</v>
      </c>
      <c r="M277">
        <v>-8361.6779819999992</v>
      </c>
      <c r="N277">
        <v>39417.768481999999</v>
      </c>
      <c r="O277">
        <v>-0.96645700000000001</v>
      </c>
      <c r="P277">
        <v>96.324504000000005</v>
      </c>
      <c r="Q277">
        <v>24.117086</v>
      </c>
      <c r="R277">
        <v>16.968040999999999</v>
      </c>
      <c r="S277">
        <f>2*R277*Q277</f>
        <v>818.43940809705202</v>
      </c>
      <c r="T277">
        <v>1401</v>
      </c>
      <c r="U277">
        <v>399</v>
      </c>
      <c r="V277">
        <f t="shared" si="60"/>
        <v>0.22166666666666668</v>
      </c>
      <c r="W277">
        <f>-4.1148-2.5513*V277</f>
        <v>-4.6803381666666661</v>
      </c>
      <c r="X277">
        <f>M277-(SUM(T277:U277)*W277)</f>
        <v>62.930717999999615</v>
      </c>
      <c r="Y277">
        <f>X277/(2*R277*Q277)</f>
        <v>7.6891114207610564E-2</v>
      </c>
      <c r="Z277">
        <f>Y277*16.02</f>
        <v>1.2317956496059213</v>
      </c>
    </row>
    <row r="278" spans="11:26" x14ac:dyDescent="0.2">
      <c r="L278">
        <v>520.61258499999997</v>
      </c>
      <c r="M278">
        <v>-8333.1252810000005</v>
      </c>
      <c r="N278">
        <v>39650.290793</v>
      </c>
      <c r="O278">
        <v>-1.0190159999999999</v>
      </c>
      <c r="P278">
        <v>96.727236000000005</v>
      </c>
      <c r="Q278">
        <v>24.121479000000001</v>
      </c>
      <c r="R278">
        <v>16.993981999999999</v>
      </c>
      <c r="S278">
        <f>2*R278*Q278</f>
        <v>819.83995987875596</v>
      </c>
      <c r="T278">
        <v>1407</v>
      </c>
      <c r="U278">
        <v>393</v>
      </c>
      <c r="V278">
        <f t="shared" si="60"/>
        <v>0.21833333333333332</v>
      </c>
      <c r="W278">
        <f>-4.1148-2.5513*V278</f>
        <v>-4.6718338333333334</v>
      </c>
      <c r="X278">
        <f>M278-(SUM(T278:U278)*W278)</f>
        <v>76.175618999999642</v>
      </c>
      <c r="Y278">
        <f>X278/(2*R278*Q278)</f>
        <v>9.2915230688761577E-2</v>
      </c>
      <c r="Z278">
        <f>Y278*16.02</f>
        <v>1.4885019956339605</v>
      </c>
    </row>
    <row r="279" spans="11:26" x14ac:dyDescent="0.2">
      <c r="L279">
        <v>520.64483199999995</v>
      </c>
      <c r="M279">
        <v>-8346.0539509999999</v>
      </c>
      <c r="N279">
        <v>39581.232137999999</v>
      </c>
      <c r="O279">
        <v>-1.1641250000000001</v>
      </c>
      <c r="P279">
        <v>96.600814</v>
      </c>
      <c r="Q279">
        <v>24.12255</v>
      </c>
      <c r="R279">
        <v>16.985811999999999</v>
      </c>
      <c r="S279">
        <f>2*R279*Q279</f>
        <v>819.48219852119996</v>
      </c>
      <c r="T279">
        <v>1406</v>
      </c>
      <c r="U279">
        <v>394</v>
      </c>
      <c r="V279">
        <f t="shared" si="60"/>
        <v>0.21888888888888888</v>
      </c>
      <c r="W279">
        <f>-4.1148-2.5513*V279</f>
        <v>-4.6732512222222216</v>
      </c>
      <c r="X279">
        <f>M279-(SUM(T279:U279)*W279)</f>
        <v>65.798248999999487</v>
      </c>
      <c r="Y279">
        <f>X279/(2*R279*Q279)</f>
        <v>8.0292468974598824E-2</v>
      </c>
      <c r="Z279">
        <f>Y279*16.02</f>
        <v>1.2862853529730731</v>
      </c>
    </row>
    <row r="280" spans="11:26" x14ac:dyDescent="0.2">
      <c r="L280">
        <v>520.60827600000005</v>
      </c>
      <c r="M280">
        <v>-8314.4033510000008</v>
      </c>
      <c r="N280">
        <v>39711.945204000003</v>
      </c>
      <c r="O280">
        <v>-1.123448</v>
      </c>
      <c r="P280">
        <v>96.767542000000006</v>
      </c>
      <c r="Q280">
        <v>24.134599999999999</v>
      </c>
      <c r="R280">
        <v>17.004061</v>
      </c>
      <c r="S280">
        <f>2*R280*Q280</f>
        <v>820.77242122119992</v>
      </c>
      <c r="T280">
        <v>1417</v>
      </c>
      <c r="U280">
        <v>383</v>
      </c>
      <c r="V280">
        <f t="shared" si="60"/>
        <v>0.21277777777777779</v>
      </c>
      <c r="W280">
        <f>-4.1148-2.5513*V280</f>
        <v>-4.6576599444444442</v>
      </c>
      <c r="X280">
        <f>M280-(SUM(T280:U280)*W280)</f>
        <v>69.384548999998515</v>
      </c>
      <c r="Y280">
        <f>X280/(2*R280*Q280)</f>
        <v>8.4535672990527097E-2</v>
      </c>
      <c r="Z280">
        <f>Y280*16.02</f>
        <v>1.3542614813082441</v>
      </c>
    </row>
    <row r="281" spans="11:26" x14ac:dyDescent="0.2">
      <c r="L281">
        <v>520.63278100000002</v>
      </c>
      <c r="M281">
        <v>-8351.9803250000004</v>
      </c>
      <c r="N281">
        <v>39497.242965999998</v>
      </c>
      <c r="O281">
        <v>-1.099505</v>
      </c>
      <c r="P281">
        <v>96.403165000000001</v>
      </c>
      <c r="Q281">
        <v>24.113779000000001</v>
      </c>
      <c r="R281">
        <v>16.99071</v>
      </c>
      <c r="S281">
        <f>2*R281*Q281</f>
        <v>819.42045198618007</v>
      </c>
      <c r="T281">
        <v>1404</v>
      </c>
      <c r="U281">
        <v>396</v>
      </c>
      <c r="V281">
        <f t="shared" si="60"/>
        <v>0.22</v>
      </c>
      <c r="W281">
        <f>-4.1148-2.5513*V281</f>
        <v>-4.6760859999999997</v>
      </c>
      <c r="X281">
        <f>M281-(SUM(T281:U281)*W281)</f>
        <v>64.974474999999074</v>
      </c>
      <c r="Y281">
        <f>X281/(2*R281*Q281)</f>
        <v>7.9293206366168295E-2</v>
      </c>
      <c r="Z281">
        <f>Y281*16.02</f>
        <v>1.2702771659860161</v>
      </c>
    </row>
    <row r="282" spans="11:26" x14ac:dyDescent="0.2">
      <c r="Z282" s="1">
        <f>AVERAGE(Z277:Z281)</f>
        <v>1.3262243291014431</v>
      </c>
    </row>
    <row r="283" spans="11:26" x14ac:dyDescent="0.2">
      <c r="K283">
        <v>111</v>
      </c>
      <c r="L283">
        <v>520.56601799999999</v>
      </c>
      <c r="M283">
        <v>-12624.832200999999</v>
      </c>
      <c r="N283">
        <v>60467.657466999997</v>
      </c>
      <c r="O283">
        <v>-0.71746299999999996</v>
      </c>
      <c r="P283">
        <v>94.108717999999996</v>
      </c>
      <c r="Q283">
        <v>19.273872000000001</v>
      </c>
      <c r="R283">
        <v>33.336869</v>
      </c>
      <c r="S283">
        <f>2*R283*Q283</f>
        <v>1285.0610919735361</v>
      </c>
      <c r="T283">
        <v>2087</v>
      </c>
      <c r="U283">
        <v>624</v>
      </c>
      <c r="V283">
        <f>U283/(U283+T283)</f>
        <v>0.2301733677609738</v>
      </c>
      <c r="W283">
        <f>-4.1148-2.5513*V283</f>
        <v>-4.7020413131685723</v>
      </c>
      <c r="X283">
        <f>M283-(SUM(T283:U283)*W283)</f>
        <v>122.40179900000112</v>
      </c>
      <c r="Y283">
        <f>X283/(2*Q283*R283)</f>
        <v>9.5249789885103603E-2</v>
      </c>
      <c r="Z283">
        <f>Y283*16.02</f>
        <v>1.5259016339593596</v>
      </c>
    </row>
    <row r="284" spans="11:26" x14ac:dyDescent="0.2">
      <c r="L284">
        <v>520.58383800000001</v>
      </c>
      <c r="M284">
        <v>-12492.583248000001</v>
      </c>
      <c r="N284">
        <v>60994.728738999998</v>
      </c>
      <c r="O284">
        <v>-0.59820600000000002</v>
      </c>
      <c r="P284">
        <v>94.475967999999995</v>
      </c>
      <c r="Q284">
        <v>19.307496</v>
      </c>
      <c r="R284">
        <v>33.438394000000002</v>
      </c>
      <c r="S284">
        <f>2*R284*Q284</f>
        <v>1291.2233168028481</v>
      </c>
      <c r="T284">
        <v>2135</v>
      </c>
      <c r="U284">
        <v>576</v>
      </c>
      <c r="V284">
        <f>U284/(U284+T284)</f>
        <v>0.21246772408705275</v>
      </c>
      <c r="W284">
        <f>-4.1148-2.5513*V284</f>
        <v>-4.6568689044632974</v>
      </c>
      <c r="X284">
        <f>M284-(SUM(T284:U284)*W284)</f>
        <v>132.18835199999921</v>
      </c>
      <c r="Y284">
        <f>X284/(2*Q284*R284)</f>
        <v>0.10237450817361791</v>
      </c>
      <c r="Z284">
        <f>Y284*16.02</f>
        <v>1.640039620941359</v>
      </c>
    </row>
    <row r="285" spans="11:26" x14ac:dyDescent="0.2">
      <c r="L285">
        <v>520.545209</v>
      </c>
      <c r="M285">
        <v>-12556.513956000001</v>
      </c>
      <c r="N285">
        <v>60814.426087</v>
      </c>
      <c r="O285">
        <v>-0.61313499999999999</v>
      </c>
      <c r="P285">
        <v>94.483231000000004</v>
      </c>
      <c r="Q285">
        <v>19.293026999999999</v>
      </c>
      <c r="R285">
        <v>33.361984</v>
      </c>
      <c r="S285">
        <f>2*R285*Q285</f>
        <v>1287.3073161711359</v>
      </c>
      <c r="T285">
        <v>2111</v>
      </c>
      <c r="U285">
        <v>600</v>
      </c>
      <c r="V285">
        <f>U285/(U285+T285)</f>
        <v>0.22132054592401329</v>
      </c>
      <c r="W285">
        <f>-4.1148-2.5513*V285</f>
        <v>-4.6794551088159348</v>
      </c>
      <c r="X285">
        <f>M285-(SUM(T285:U285)*W285)</f>
        <v>129.48884399999952</v>
      </c>
      <c r="Y285">
        <f>X285/(2*Q285*R285)</f>
        <v>0.10058891328695373</v>
      </c>
      <c r="Z285">
        <f>Y285*16.02</f>
        <v>1.6114343908569986</v>
      </c>
    </row>
    <row r="286" spans="11:26" x14ac:dyDescent="0.2">
      <c r="L286">
        <v>520.52068699999995</v>
      </c>
      <c r="M286">
        <v>-12452.057072</v>
      </c>
      <c r="N286">
        <v>61151.117699000002</v>
      </c>
      <c r="O286">
        <v>-0.60405900000000001</v>
      </c>
      <c r="P286">
        <v>94.667432000000005</v>
      </c>
      <c r="Q286">
        <v>19.314419000000001</v>
      </c>
      <c r="R286">
        <v>33.444338000000002</v>
      </c>
      <c r="S286">
        <f>2*R286*Q286</f>
        <v>1291.9159146192442</v>
      </c>
      <c r="T286">
        <v>2151</v>
      </c>
      <c r="U286">
        <v>560</v>
      </c>
      <c r="V286">
        <f>U286/(U286+T286)</f>
        <v>0.20656584286241239</v>
      </c>
      <c r="W286">
        <f>-4.1148-2.5513*V286</f>
        <v>-4.6418114348948727</v>
      </c>
      <c r="X286">
        <f>M286-(SUM(T286:U286)*W286)</f>
        <v>131.89372800000092</v>
      </c>
      <c r="Y286">
        <f>X286/(2*Q286*R286)</f>
        <v>0.10209157307182247</v>
      </c>
      <c r="Z286">
        <f>Y286*16.02</f>
        <v>1.6355070006105958</v>
      </c>
    </row>
    <row r="287" spans="11:26" x14ac:dyDescent="0.2">
      <c r="L287">
        <v>520.58502899999996</v>
      </c>
      <c r="M287">
        <v>-12489.850441000001</v>
      </c>
      <c r="N287">
        <v>60986.462648000001</v>
      </c>
      <c r="O287">
        <v>-0.61143599999999998</v>
      </c>
      <c r="P287">
        <v>94.467425000000006</v>
      </c>
      <c r="Q287">
        <v>19.299726</v>
      </c>
      <c r="R287">
        <v>33.450353</v>
      </c>
      <c r="S287">
        <f>2*R287*Q287</f>
        <v>1291.1652950065559</v>
      </c>
      <c r="T287">
        <v>2138</v>
      </c>
      <c r="U287">
        <v>573</v>
      </c>
      <c r="V287">
        <f>U287/(U287+T287)</f>
        <v>0.21136112135743268</v>
      </c>
      <c r="W287">
        <f>-4.1148-2.5513*V287</f>
        <v>-4.654045628919218</v>
      </c>
      <c r="X287">
        <f>M287-(SUM(T287:U287)*W287)</f>
        <v>127.26725900000019</v>
      </c>
      <c r="Y287">
        <f>X287/(2*Q287*R287)</f>
        <v>9.8567750769163909E-2</v>
      </c>
      <c r="Z287">
        <f>Y287*16.02</f>
        <v>1.5790553673220058</v>
      </c>
    </row>
    <row r="288" spans="11:26" x14ac:dyDescent="0.2">
      <c r="K288" t="s">
        <v>29</v>
      </c>
      <c r="Z288" s="1">
        <f>AVERAGE(Z283:Z287)</f>
        <v>1.5983876027380637</v>
      </c>
    </row>
    <row r="289" spans="11:23" x14ac:dyDescent="0.2">
      <c r="L289" t="s">
        <v>18</v>
      </c>
      <c r="M289" t="s">
        <v>5</v>
      </c>
      <c r="N289" t="s">
        <v>7</v>
      </c>
      <c r="O289" t="s">
        <v>19</v>
      </c>
      <c r="P289" t="s">
        <v>20</v>
      </c>
      <c r="Q289" t="s">
        <v>21</v>
      </c>
      <c r="R289" t="s">
        <v>22</v>
      </c>
      <c r="T289" t="s">
        <v>26</v>
      </c>
      <c r="U289" t="s">
        <v>12</v>
      </c>
      <c r="V289" t="s">
        <v>23</v>
      </c>
      <c r="W289" t="s">
        <v>23</v>
      </c>
    </row>
    <row r="290" spans="11:23" x14ac:dyDescent="0.2">
      <c r="K290" t="s">
        <v>17</v>
      </c>
      <c r="L290">
        <v>557.78124200000002</v>
      </c>
      <c r="M290">
        <v>-15826.723431</v>
      </c>
      <c r="N290">
        <v>167286.54721300001</v>
      </c>
      <c r="O290">
        <v>-0.269567</v>
      </c>
      <c r="P290">
        <v>31.448813000000001</v>
      </c>
      <c r="Q290">
        <v>189.20276100000001</v>
      </c>
      <c r="R290">
        <v>28.114462</v>
      </c>
      <c r="S290">
        <f>2*R290*P290</f>
        <v>1768.332916067212</v>
      </c>
      <c r="T290">
        <f>$F$4</f>
        <v>-4.1201358984000001</v>
      </c>
      <c r="U290">
        <f>M290-3872*T290</f>
        <v>126.44276760479988</v>
      </c>
      <c r="V290">
        <f>U290/(2*P290*R290)</f>
        <v>7.1503938232405764E-2</v>
      </c>
      <c r="W290">
        <f>V290*16.02</f>
        <v>1.1454930904831404</v>
      </c>
    </row>
    <row r="291" spans="11:23" x14ac:dyDescent="0.2">
      <c r="L291">
        <v>557.84984699999995</v>
      </c>
      <c r="M291">
        <v>-15826.791149999999</v>
      </c>
      <c r="N291">
        <v>167343.99559999999</v>
      </c>
      <c r="O291">
        <v>-0.25318299999999999</v>
      </c>
      <c r="P291">
        <v>31.448170000000001</v>
      </c>
      <c r="Q291">
        <v>189.21428700000001</v>
      </c>
      <c r="R291">
        <v>28.122985</v>
      </c>
      <c r="S291">
        <f t="shared" ref="S291:S300" si="61">2*R291*P291</f>
        <v>1768.8328263749002</v>
      </c>
      <c r="T291">
        <f>$F$4</f>
        <v>-4.1201358984000001</v>
      </c>
      <c r="U291">
        <f>M291-3872*T291</f>
        <v>126.37504860480112</v>
      </c>
      <c r="V291">
        <f>U291/(2*P291*R291)</f>
        <v>7.1445445109585615E-2</v>
      </c>
      <c r="W291">
        <f>V291*16.02</f>
        <v>1.1445560306555616</v>
      </c>
    </row>
    <row r="292" spans="11:23" x14ac:dyDescent="0.2">
      <c r="L292">
        <v>557.79709800000001</v>
      </c>
      <c r="M292">
        <v>-15829.920410000001</v>
      </c>
      <c r="N292">
        <v>167395.19348799999</v>
      </c>
      <c r="O292">
        <v>-0.309639</v>
      </c>
      <c r="P292">
        <v>31.440847999999999</v>
      </c>
      <c r="Q292">
        <v>189.21612999999999</v>
      </c>
      <c r="R292">
        <v>28.137858999999999</v>
      </c>
      <c r="S292">
        <f t="shared" si="61"/>
        <v>1769.3562957288639</v>
      </c>
      <c r="T292">
        <f>$F$4</f>
        <v>-4.1201358984000001</v>
      </c>
      <c r="U292">
        <f>M292-3872*T292</f>
        <v>123.2457886047996</v>
      </c>
      <c r="V292">
        <f>U292/(2*P292*R292)</f>
        <v>6.9655721067774012E-2</v>
      </c>
      <c r="W292">
        <f>V292*16.02</f>
        <v>1.1158846515057397</v>
      </c>
    </row>
    <row r="293" spans="11:23" x14ac:dyDescent="0.2">
      <c r="L293">
        <v>557.86650699999996</v>
      </c>
      <c r="M293">
        <v>-15826.254023</v>
      </c>
      <c r="N293">
        <v>167252.59594599999</v>
      </c>
      <c r="O293">
        <v>-0.260154</v>
      </c>
      <c r="P293">
        <v>31.447185000000001</v>
      </c>
      <c r="Q293">
        <v>189.216632</v>
      </c>
      <c r="R293">
        <v>28.108155</v>
      </c>
      <c r="S293">
        <f t="shared" si="61"/>
        <v>1767.84470058735</v>
      </c>
      <c r="T293">
        <f>$F$4</f>
        <v>-4.1201358984000001</v>
      </c>
      <c r="U293">
        <f>M293-3872*T293</f>
        <v>126.91217560480072</v>
      </c>
      <c r="V293">
        <f>U293/(2*P293*R293)</f>
        <v>7.1789210648783422E-2</v>
      </c>
      <c r="W293">
        <f>V293*16.02</f>
        <v>1.1500631545935105</v>
      </c>
    </row>
    <row r="294" spans="11:23" x14ac:dyDescent="0.2">
      <c r="L294">
        <v>558.03222100000005</v>
      </c>
      <c r="M294">
        <v>-15825.916160000001</v>
      </c>
      <c r="N294">
        <v>167238.85696899999</v>
      </c>
      <c r="O294">
        <v>-0.28739199999999998</v>
      </c>
      <c r="P294">
        <v>31.451269</v>
      </c>
      <c r="Q294">
        <v>189.16855899999999</v>
      </c>
      <c r="R294">
        <v>28.109335000000002</v>
      </c>
      <c r="S294">
        <f t="shared" si="61"/>
        <v>1768.1485129922301</v>
      </c>
      <c r="T294">
        <f>$F$4</f>
        <v>-4.1201358984000001</v>
      </c>
      <c r="U294">
        <f>M294-3872*T294</f>
        <v>127.25003860479956</v>
      </c>
      <c r="V294">
        <f>U294/(2*P294*R294)</f>
        <v>7.1967958386852285E-2</v>
      </c>
      <c r="W294">
        <f>V294*16.02</f>
        <v>1.1529266933573736</v>
      </c>
    </row>
    <row r="295" spans="11:23" x14ac:dyDescent="0.2">
      <c r="W295" s="1">
        <f>AVERAGE(W290:W294)</f>
        <v>1.1417847241190653</v>
      </c>
    </row>
    <row r="296" spans="11:23" x14ac:dyDescent="0.2">
      <c r="K296" t="s">
        <v>27</v>
      </c>
      <c r="L296">
        <v>557.814662</v>
      </c>
      <c r="M296">
        <v>-5962.6426330000004</v>
      </c>
      <c r="N296">
        <v>62566.761227000003</v>
      </c>
      <c r="O296">
        <v>-0.89473000000000003</v>
      </c>
      <c r="P296">
        <v>33.295551000000003</v>
      </c>
      <c r="Q296">
        <v>133.533084</v>
      </c>
      <c r="R296">
        <v>14.072483</v>
      </c>
      <c r="S296">
        <f t="shared" si="61"/>
        <v>937.10215084626611</v>
      </c>
      <c r="T296">
        <f>$F$4</f>
        <v>-4.1201358984000001</v>
      </c>
      <c r="U296">
        <f>M296-1464*T296</f>
        <v>69.236322257599568</v>
      </c>
      <c r="V296">
        <f>U296/(2*P296*R296)</f>
        <v>7.3883431166041527E-2</v>
      </c>
      <c r="W296">
        <f>V296*16.02</f>
        <v>1.1836125672799853</v>
      </c>
    </row>
    <row r="297" spans="11:23" x14ac:dyDescent="0.2">
      <c r="L297">
        <v>557.727439</v>
      </c>
      <c r="M297">
        <v>-5963.1833059999999</v>
      </c>
      <c r="N297">
        <v>62636.637288999998</v>
      </c>
      <c r="O297">
        <v>-0.85707100000000003</v>
      </c>
      <c r="P297">
        <v>33.322375999999998</v>
      </c>
      <c r="Q297">
        <v>133.67667800000001</v>
      </c>
      <c r="R297">
        <v>14.06171</v>
      </c>
      <c r="S297">
        <f t="shared" si="61"/>
        <v>937.13917564591998</v>
      </c>
      <c r="T297">
        <f>$F$4</f>
        <v>-4.1201358984000001</v>
      </c>
      <c r="U297">
        <f>M297-1464*T297</f>
        <v>68.695649257600053</v>
      </c>
      <c r="V297">
        <f>U297/(2*P297*R297)</f>
        <v>7.3303572236484316E-2</v>
      </c>
      <c r="W297">
        <f>V297*16.02</f>
        <v>1.1743232272284787</v>
      </c>
    </row>
    <row r="298" spans="11:23" x14ac:dyDescent="0.2">
      <c r="L298">
        <v>557.72841200000005</v>
      </c>
      <c r="M298">
        <v>-5962.8597650000002</v>
      </c>
      <c r="N298">
        <v>62529.350167999997</v>
      </c>
      <c r="O298">
        <v>-0.83282800000000001</v>
      </c>
      <c r="P298">
        <v>33.341267000000002</v>
      </c>
      <c r="Q298">
        <v>133.463562</v>
      </c>
      <c r="R298">
        <v>14.052134000000001</v>
      </c>
      <c r="S298">
        <f t="shared" si="61"/>
        <v>937.03190322755609</v>
      </c>
      <c r="T298">
        <f>$F$4</f>
        <v>-4.1201358984000001</v>
      </c>
      <c r="U298">
        <f>M298-1464*T298</f>
        <v>69.019190257599803</v>
      </c>
      <c r="V298">
        <f>U298/(2*P298*R298)</f>
        <v>7.3657246908954657E-2</v>
      </c>
      <c r="W298">
        <f>V298*16.02</f>
        <v>1.1799890954814536</v>
      </c>
    </row>
    <row r="299" spans="11:23" x14ac:dyDescent="0.2">
      <c r="L299">
        <v>558.04479500000002</v>
      </c>
      <c r="M299">
        <v>-5963.1335419999996</v>
      </c>
      <c r="N299">
        <v>62624.199142999998</v>
      </c>
      <c r="O299">
        <v>-0.81563399999999997</v>
      </c>
      <c r="P299">
        <v>33.348128000000003</v>
      </c>
      <c r="Q299">
        <v>133.56858099999999</v>
      </c>
      <c r="R299">
        <v>14.059455</v>
      </c>
      <c r="S299">
        <f t="shared" si="61"/>
        <v>937.71300990048007</v>
      </c>
      <c r="T299">
        <f>$F$4</f>
        <v>-4.1201358984000001</v>
      </c>
      <c r="U299">
        <f>M299-1464*T299</f>
        <v>68.745413257600376</v>
      </c>
      <c r="V299">
        <f>U299/(2*P299*R299)</f>
        <v>7.3311783596663932E-2</v>
      </c>
      <c r="W299">
        <f>V299*16.02</f>
        <v>1.1744547732185562</v>
      </c>
    </row>
    <row r="300" spans="11:23" x14ac:dyDescent="0.2">
      <c r="L300">
        <v>557.90158399999996</v>
      </c>
      <c r="M300">
        <v>-5962.2500689999997</v>
      </c>
      <c r="N300">
        <v>62612.856182000003</v>
      </c>
      <c r="O300">
        <v>-0.94941799999999998</v>
      </c>
      <c r="P300">
        <v>33.321598999999999</v>
      </c>
      <c r="Q300">
        <v>133.738675</v>
      </c>
      <c r="R300">
        <v>14.050188</v>
      </c>
      <c r="S300">
        <f t="shared" si="61"/>
        <v>936.34946082122394</v>
      </c>
      <c r="T300">
        <f>$F$4</f>
        <v>-4.1201358984000001</v>
      </c>
      <c r="U300">
        <f>M300-1464*T300</f>
        <v>69.628886257600243</v>
      </c>
      <c r="V300">
        <f>U300/(2*P300*R300)</f>
        <v>7.4362072250815772E-2</v>
      </c>
      <c r="W300">
        <f>V300*16.02</f>
        <v>1.1912803974580686</v>
      </c>
    </row>
    <row r="301" spans="11:23" x14ac:dyDescent="0.2">
      <c r="W301" s="1">
        <f>AVERAGE(W296:W300)</f>
        <v>1.1807320121333085</v>
      </c>
    </row>
    <row r="302" spans="11:23" x14ac:dyDescent="0.2">
      <c r="K302" t="s">
        <v>28</v>
      </c>
      <c r="L302">
        <v>557.79608900000005</v>
      </c>
      <c r="M302">
        <v>-10271.078944999999</v>
      </c>
      <c r="N302">
        <v>108516.75777900001</v>
      </c>
      <c r="O302">
        <v>-0.45608599999999999</v>
      </c>
      <c r="P302">
        <v>35.811117000000003</v>
      </c>
      <c r="Q302">
        <v>143.60605200000001</v>
      </c>
      <c r="R302">
        <v>21.101203999999999</v>
      </c>
      <c r="S302">
        <f>2*R302*P302</f>
        <v>1511.3153705697362</v>
      </c>
      <c r="T302">
        <f t="shared" ref="T302:T312" si="62">$F$4</f>
        <v>-4.1201358984000001</v>
      </c>
      <c r="U302">
        <f>M302-2520*T302</f>
        <v>111.66351896800006</v>
      </c>
      <c r="V302">
        <f>U302/(2*P302*R302)</f>
        <v>7.388498862808833E-2</v>
      </c>
      <c r="W302">
        <f>V302*16.02</f>
        <v>1.1836375178219749</v>
      </c>
    </row>
    <row r="303" spans="11:23" x14ac:dyDescent="0.2">
      <c r="L303">
        <v>557.95525999999995</v>
      </c>
      <c r="M303">
        <v>-10271.094499000001</v>
      </c>
      <c r="N303">
        <v>108578.369504</v>
      </c>
      <c r="O303">
        <v>-0.51039500000000004</v>
      </c>
      <c r="P303">
        <v>35.842829000000002</v>
      </c>
      <c r="Q303">
        <v>143.69519</v>
      </c>
      <c r="R303">
        <v>21.081423999999998</v>
      </c>
      <c r="S303">
        <f>2*R303*P303</f>
        <v>1511.235751016992</v>
      </c>
      <c r="T303">
        <f t="shared" si="62"/>
        <v>-4.1201358984000001</v>
      </c>
      <c r="U303">
        <f>M303-2520*T303</f>
        <v>111.64796496799863</v>
      </c>
      <c r="V303">
        <f>U303/(2*P303*R303)</f>
        <v>7.3878589024157684E-2</v>
      </c>
      <c r="W303">
        <f>V303*16.02</f>
        <v>1.1835349961670061</v>
      </c>
    </row>
    <row r="304" spans="11:23" x14ac:dyDescent="0.2">
      <c r="L304">
        <v>557.84881399999995</v>
      </c>
      <c r="M304">
        <v>-10269.998239</v>
      </c>
      <c r="N304">
        <v>108532.896289</v>
      </c>
      <c r="O304">
        <v>-0.43359500000000001</v>
      </c>
      <c r="P304">
        <v>35.840344999999999</v>
      </c>
      <c r="Q304">
        <v>143.589651</v>
      </c>
      <c r="R304">
        <v>21.089549999999999</v>
      </c>
      <c r="S304">
        <f>2*R304*P304</f>
        <v>1511.7134957894998</v>
      </c>
      <c r="T304">
        <f t="shared" si="62"/>
        <v>-4.1201358984000001</v>
      </c>
      <c r="U304">
        <f>M304-2520*T304</f>
        <v>112.74422496799889</v>
      </c>
      <c r="V304">
        <f>U304/(2*P304*R304)</f>
        <v>7.4580418367646881E-2</v>
      </c>
      <c r="W304">
        <f>V304*16.02</f>
        <v>1.1947783022497029</v>
      </c>
    </row>
    <row r="305" spans="11:23" x14ac:dyDescent="0.2">
      <c r="L305">
        <v>557.76203399999997</v>
      </c>
      <c r="M305">
        <v>-10270.872855</v>
      </c>
      <c r="N305">
        <v>108523.651382</v>
      </c>
      <c r="O305">
        <v>-0.47715999999999997</v>
      </c>
      <c r="P305">
        <v>35.813786999999998</v>
      </c>
      <c r="Q305">
        <v>143.65211199999999</v>
      </c>
      <c r="R305">
        <v>21.094211000000001</v>
      </c>
      <c r="S305">
        <f>2*R305*P305</f>
        <v>1510.9271593741139</v>
      </c>
      <c r="T305">
        <f t="shared" si="62"/>
        <v>-4.1201358984000001</v>
      </c>
      <c r="U305">
        <f>M305-2520*T305</f>
        <v>111.86960896799974</v>
      </c>
      <c r="V305">
        <f>U305/(2*P305*R305)</f>
        <v>7.4040372015246964E-2</v>
      </c>
      <c r="W305">
        <f>V305*16.02</f>
        <v>1.1861267596842564</v>
      </c>
    </row>
    <row r="306" spans="11:23" x14ac:dyDescent="0.2">
      <c r="L306">
        <v>557.72812199999998</v>
      </c>
      <c r="M306">
        <v>-10270.342094</v>
      </c>
      <c r="N306">
        <v>108567.27639499999</v>
      </c>
      <c r="O306">
        <v>-0.45543</v>
      </c>
      <c r="P306">
        <v>35.850082999999998</v>
      </c>
      <c r="Q306">
        <v>143.57732300000001</v>
      </c>
      <c r="R306">
        <v>21.092293999999999</v>
      </c>
      <c r="S306">
        <f>2*R306*P306</f>
        <v>1512.3209811208039</v>
      </c>
      <c r="T306">
        <f t="shared" si="62"/>
        <v>-4.1201358984000001</v>
      </c>
      <c r="U306">
        <f>M306-2520*T306</f>
        <v>112.40036996799972</v>
      </c>
      <c r="V306">
        <f>U306/(2*P306*R306)</f>
        <v>7.4323091044268999E-2</v>
      </c>
      <c r="W306">
        <f>V306*16.02</f>
        <v>1.1906559185291894</v>
      </c>
    </row>
    <row r="307" spans="11:23" x14ac:dyDescent="0.2">
      <c r="W307" s="1">
        <f>AVERAGE(W302:W306)</f>
        <v>1.1877466988904259</v>
      </c>
    </row>
    <row r="308" spans="11:23" x14ac:dyDescent="0.2">
      <c r="K308" t="s">
        <v>55</v>
      </c>
      <c r="L308">
        <v>520.66067199999998</v>
      </c>
      <c r="M308">
        <v>-8075.5638079999999</v>
      </c>
      <c r="N308">
        <v>85582.291998000001</v>
      </c>
      <c r="O308">
        <v>-0.56766899999999998</v>
      </c>
      <c r="P308">
        <v>31.807783000000001</v>
      </c>
      <c r="Q308">
        <v>191.16625999999999</v>
      </c>
      <c r="R308">
        <v>14.074767</v>
      </c>
      <c r="S308">
        <f>2*R308*P308</f>
        <v>895.374269023122</v>
      </c>
      <c r="T308">
        <f t="shared" si="62"/>
        <v>-4.1201358984000001</v>
      </c>
      <c r="U308">
        <f>M308-1976*T308</f>
        <v>65.824727238400556</v>
      </c>
      <c r="V308">
        <f>U308/(2*P308*R308)</f>
        <v>7.3516438338368989E-2</v>
      </c>
      <c r="W308">
        <f>V308*16.02</f>
        <v>1.1777333421806713</v>
      </c>
    </row>
    <row r="309" spans="11:23" x14ac:dyDescent="0.2">
      <c r="L309">
        <v>520.44154600000002</v>
      </c>
      <c r="M309">
        <v>-8075.8354669999999</v>
      </c>
      <c r="N309">
        <v>85737.790810000006</v>
      </c>
      <c r="O309">
        <v>-0.59325700000000003</v>
      </c>
      <c r="P309">
        <v>31.818010000000001</v>
      </c>
      <c r="Q309">
        <v>191.55117000000001</v>
      </c>
      <c r="R309">
        <v>14.067466</v>
      </c>
      <c r="S309">
        <f>2*R309*P309</f>
        <v>895.19754772531996</v>
      </c>
      <c r="T309">
        <f t="shared" si="62"/>
        <v>-4.1201358984000001</v>
      </c>
      <c r="U309">
        <f>M309-1976*T309</f>
        <v>65.553068238400556</v>
      </c>
      <c r="V309">
        <f>U309/(2*P309*R309)</f>
        <v>7.3227488619656819E-2</v>
      </c>
      <c r="W309">
        <f>V309*16.02</f>
        <v>1.1731043676869022</v>
      </c>
    </row>
    <row r="310" spans="11:23" x14ac:dyDescent="0.2">
      <c r="L310">
        <v>520.52256799999998</v>
      </c>
      <c r="M310">
        <v>-8077.2890459999999</v>
      </c>
      <c r="N310">
        <v>85662.197031999996</v>
      </c>
      <c r="O310">
        <v>-0.53844400000000003</v>
      </c>
      <c r="P310">
        <v>31.84816</v>
      </c>
      <c r="Q310">
        <v>191.002332</v>
      </c>
      <c r="R310">
        <v>14.082110999999999</v>
      </c>
      <c r="S310">
        <f>2*R310*P310</f>
        <v>896.97864853151998</v>
      </c>
      <c r="T310">
        <f t="shared" si="62"/>
        <v>-4.1201358984000001</v>
      </c>
      <c r="U310">
        <f>M310-1976*T310</f>
        <v>64.099489238400565</v>
      </c>
      <c r="V310">
        <f>U310/(2*P310*R310)</f>
        <v>7.1461555236950663E-2</v>
      </c>
      <c r="W310">
        <f>V310*16.02</f>
        <v>1.1448141148959496</v>
      </c>
    </row>
    <row r="311" spans="11:23" x14ac:dyDescent="0.2">
      <c r="L311">
        <v>520.38436100000001</v>
      </c>
      <c r="M311">
        <v>-8075.5662229999998</v>
      </c>
      <c r="N311">
        <v>85620.949575000006</v>
      </c>
      <c r="O311">
        <v>-0.60816099999999995</v>
      </c>
      <c r="P311">
        <v>31.838963</v>
      </c>
      <c r="Q311">
        <v>191.043689</v>
      </c>
      <c r="R311">
        <v>14.076338</v>
      </c>
      <c r="S311">
        <f>2*R311*P311</f>
        <v>896.35200951498803</v>
      </c>
      <c r="T311">
        <f t="shared" si="62"/>
        <v>-4.1201358984000001</v>
      </c>
      <c r="U311">
        <f>M311-1976*T311</f>
        <v>65.822312238400627</v>
      </c>
      <c r="V311">
        <f>U311/(2*P311*R311)</f>
        <v>7.3433552376389252E-2</v>
      </c>
      <c r="W311">
        <f>V311*16.02</f>
        <v>1.1764055090697558</v>
      </c>
    </row>
    <row r="312" spans="11:23" x14ac:dyDescent="0.2">
      <c r="L312">
        <v>520.37960299999997</v>
      </c>
      <c r="M312">
        <v>-8075.5477350000001</v>
      </c>
      <c r="N312">
        <v>85581.356069000001</v>
      </c>
      <c r="O312">
        <v>-0.56440900000000005</v>
      </c>
      <c r="P312">
        <v>31.823278999999999</v>
      </c>
      <c r="Q312">
        <v>191.07835700000001</v>
      </c>
      <c r="R312">
        <v>14.074227</v>
      </c>
      <c r="S312">
        <f>2*R312*P312</f>
        <v>895.77610506066605</v>
      </c>
      <c r="T312">
        <f t="shared" si="62"/>
        <v>-4.1201358984000001</v>
      </c>
      <c r="U312">
        <f>M312-1976*T312</f>
        <v>65.840800238400334</v>
      </c>
      <c r="V312">
        <f>U312/(2*P312*R312)</f>
        <v>7.3501402712613434E-2</v>
      </c>
      <c r="W312">
        <f>V312*16.02</f>
        <v>1.1774924714560673</v>
      </c>
    </row>
    <row r="313" spans="11:23" x14ac:dyDescent="0.2">
      <c r="W313" s="1">
        <f>AVERAGE(W308:W312)</f>
        <v>1.1699099610578692</v>
      </c>
    </row>
    <row r="314" spans="11:23" x14ac:dyDescent="0.2">
      <c r="K314">
        <v>100</v>
      </c>
      <c r="L314">
        <v>520.56362200000001</v>
      </c>
      <c r="M314">
        <v>-19136.250818</v>
      </c>
      <c r="N314">
        <v>111271.3808</v>
      </c>
      <c r="O314">
        <v>-0.38694600000000001</v>
      </c>
      <c r="P314">
        <v>28.132058000000001</v>
      </c>
      <c r="Q314">
        <v>28.138774999999999</v>
      </c>
      <c r="R314">
        <v>140.565079</v>
      </c>
      <c r="S314">
        <f>2*Q314*P314</f>
        <v>1583.2033006979</v>
      </c>
      <c r="T314">
        <f>$F$4</f>
        <v>-4.1201358984000001</v>
      </c>
      <c r="U314">
        <f>M314-4672*T314</f>
        <v>113.02409932480077</v>
      </c>
      <c r="V314">
        <f>U314/(2*P314*Q314)</f>
        <v>7.138950460435374E-2</v>
      </c>
      <c r="W314">
        <f>V314*16.02</f>
        <v>1.1436598637617468</v>
      </c>
    </row>
    <row r="315" spans="11:23" x14ac:dyDescent="0.2">
      <c r="L315">
        <v>520.36338699999999</v>
      </c>
      <c r="M315">
        <v>-19137.446626000001</v>
      </c>
      <c r="N315">
        <v>111267.66859</v>
      </c>
      <c r="O315">
        <v>-0.45456999999999997</v>
      </c>
      <c r="P315">
        <v>28.141759</v>
      </c>
      <c r="Q315">
        <v>28.142408</v>
      </c>
      <c r="R315">
        <v>140.49380600000001</v>
      </c>
      <c r="S315">
        <f>2*Q315*P315</f>
        <v>1583.9537272313439</v>
      </c>
      <c r="T315">
        <f>$F$4</f>
        <v>-4.1201358984000001</v>
      </c>
      <c r="U315">
        <f>M315-4672*T315</f>
        <v>111.82829132480038</v>
      </c>
      <c r="V315">
        <f>U315/(2*P315*Q315)</f>
        <v>7.0600731197034097E-2</v>
      </c>
      <c r="W315">
        <f>V315*16.02</f>
        <v>1.1310237137764863</v>
      </c>
    </row>
    <row r="316" spans="11:23" x14ac:dyDescent="0.2">
      <c r="L316">
        <v>520.62810400000001</v>
      </c>
      <c r="M316">
        <v>-19133.616010000002</v>
      </c>
      <c r="N316">
        <v>111213.944836</v>
      </c>
      <c r="O316">
        <v>-0.38738499999999998</v>
      </c>
      <c r="P316">
        <v>28.124768</v>
      </c>
      <c r="Q316">
        <v>28.120816999999999</v>
      </c>
      <c r="R316">
        <v>140.61863500000001</v>
      </c>
      <c r="S316">
        <f>2*Q316*P316</f>
        <v>1581.7829081909119</v>
      </c>
      <c r="T316">
        <f>$F$4</f>
        <v>-4.1201358984000001</v>
      </c>
      <c r="U316">
        <f>M316-4672*T316</f>
        <v>115.65890732479966</v>
      </c>
      <c r="V316">
        <f>U316/(2*P316*Q316)</f>
        <v>7.3119330551547665E-2</v>
      </c>
      <c r="W316">
        <f>V316*16.02</f>
        <v>1.1713716754357935</v>
      </c>
    </row>
    <row r="317" spans="11:23" x14ac:dyDescent="0.2">
      <c r="L317">
        <v>520.46777099999997</v>
      </c>
      <c r="M317">
        <v>-19137.012533000001</v>
      </c>
      <c r="N317">
        <v>111264.22472699999</v>
      </c>
      <c r="O317">
        <v>-0.466144</v>
      </c>
      <c r="P317">
        <v>28.142575000000001</v>
      </c>
      <c r="Q317">
        <v>28.141043</v>
      </c>
      <c r="R317">
        <v>140.49221800000001</v>
      </c>
      <c r="S317">
        <f>2*Q317*P317</f>
        <v>1583.9228264114499</v>
      </c>
      <c r="T317">
        <f>$F$4</f>
        <v>-4.1201358984000001</v>
      </c>
      <c r="U317">
        <f>M317-4672*T317</f>
        <v>112.26238432480022</v>
      </c>
      <c r="V317">
        <f>U317/(2*P317*Q317)</f>
        <v>7.0876170513397369E-2</v>
      </c>
      <c r="W317">
        <f>V317*16.02</f>
        <v>1.1354362516246259</v>
      </c>
    </row>
    <row r="318" spans="11:23" x14ac:dyDescent="0.2">
      <c r="L318">
        <v>520.59737700000005</v>
      </c>
      <c r="M318">
        <v>-19134.326666000001</v>
      </c>
      <c r="N318">
        <v>111190.823432</v>
      </c>
      <c r="O318">
        <v>-0.376419</v>
      </c>
      <c r="P318">
        <v>28.126300000000001</v>
      </c>
      <c r="Q318">
        <v>28.128861000000001</v>
      </c>
      <c r="R318">
        <v>140.541629</v>
      </c>
      <c r="S318">
        <f>2*Q318*P318</f>
        <v>1582.3215662886</v>
      </c>
      <c r="T318">
        <f>$F$4</f>
        <v>-4.1201358984000001</v>
      </c>
      <c r="U318">
        <f>M318-4672*T318</f>
        <v>114.94825132480037</v>
      </c>
      <c r="V318">
        <f>U318/(2*P318*Q318)</f>
        <v>7.2645316712971433E-2</v>
      </c>
      <c r="W318">
        <f>V318*16.02</f>
        <v>1.1637779737418024</v>
      </c>
    </row>
    <row r="319" spans="11:23" x14ac:dyDescent="0.2">
      <c r="W319" s="1">
        <f>AVERAGE(W314:W318)</f>
        <v>1.1490538956680909</v>
      </c>
    </row>
    <row r="320" spans="11:23" x14ac:dyDescent="0.2">
      <c r="K320">
        <v>110</v>
      </c>
      <c r="L320">
        <v>520.78958999999998</v>
      </c>
      <c r="M320">
        <v>-7359.7371409999996</v>
      </c>
      <c r="N320">
        <v>43481.488595000003</v>
      </c>
      <c r="O320">
        <v>-1.0917079999999999</v>
      </c>
      <c r="P320">
        <v>99.606414999999998</v>
      </c>
      <c r="Q320">
        <v>24.847415000000002</v>
      </c>
      <c r="R320">
        <v>17.568591999999999</v>
      </c>
      <c r="S320">
        <f>2*Q320*R320</f>
        <v>873.06819277935995</v>
      </c>
      <c r="T320">
        <f>$F$4</f>
        <v>-4.1201358984000001</v>
      </c>
      <c r="U320">
        <f>M320-1800*T320</f>
        <v>56.507476120000319</v>
      </c>
      <c r="V320">
        <f>U320/(2*R320*Q320)</f>
        <v>6.4722866538193508E-2</v>
      </c>
      <c r="W320">
        <f>V320*16.02</f>
        <v>1.03686032194186</v>
      </c>
    </row>
    <row r="321" spans="11:23" x14ac:dyDescent="0.2">
      <c r="L321">
        <v>520.65443200000004</v>
      </c>
      <c r="M321">
        <v>-7360.1381330000004</v>
      </c>
      <c r="N321">
        <v>43391.088065999997</v>
      </c>
      <c r="O321">
        <v>-0.98749900000000002</v>
      </c>
      <c r="P321">
        <v>99.390406999999996</v>
      </c>
      <c r="Q321">
        <v>24.844557999999999</v>
      </c>
      <c r="R321">
        <v>17.572187</v>
      </c>
      <c r="S321">
        <f>2*Q321*R321</f>
        <v>873.14643821669199</v>
      </c>
      <c r="T321">
        <f>$F$4</f>
        <v>-4.1201358984000001</v>
      </c>
      <c r="U321">
        <f>M321-1800*T321</f>
        <v>56.10648411999955</v>
      </c>
      <c r="V321">
        <f>U321/(2*R321*Q321)</f>
        <v>6.4257817090327976E-2</v>
      </c>
      <c r="W321">
        <f>V321*16.02</f>
        <v>1.0294102297870542</v>
      </c>
    </row>
    <row r="322" spans="11:23" x14ac:dyDescent="0.2">
      <c r="L322">
        <v>520.68448799999999</v>
      </c>
      <c r="M322">
        <v>-7359.9192759999996</v>
      </c>
      <c r="N322">
        <v>43429.559312999998</v>
      </c>
      <c r="O322">
        <v>-1.105551</v>
      </c>
      <c r="P322">
        <v>99.523359999999997</v>
      </c>
      <c r="Q322">
        <v>24.83586</v>
      </c>
      <c r="R322">
        <v>17.570422000000001</v>
      </c>
      <c r="S322">
        <f>2*Q322*R322</f>
        <v>872.75308186584004</v>
      </c>
      <c r="T322">
        <f>$F$4</f>
        <v>-4.1201358984000001</v>
      </c>
      <c r="U322">
        <f>M322-1800*T322</f>
        <v>56.325341120000303</v>
      </c>
      <c r="V322">
        <f>U322/(2*R322*Q322)</f>
        <v>6.4537544799708496E-2</v>
      </c>
      <c r="W322">
        <f>V322*16.02</f>
        <v>1.03389146769133</v>
      </c>
    </row>
    <row r="323" spans="11:23" x14ac:dyDescent="0.2">
      <c r="L323">
        <v>520.65400199999999</v>
      </c>
      <c r="M323">
        <v>-7360.1865209999996</v>
      </c>
      <c r="N323">
        <v>43402.273211</v>
      </c>
      <c r="O323">
        <v>-1.032098</v>
      </c>
      <c r="P323">
        <v>99.467691000000002</v>
      </c>
      <c r="Q323">
        <v>24.848977999999999</v>
      </c>
      <c r="R323">
        <v>17.559939</v>
      </c>
      <c r="S323">
        <f>2*Q323*R323</f>
        <v>872.69307578468397</v>
      </c>
      <c r="T323">
        <f>$F$4</f>
        <v>-4.1201358984000001</v>
      </c>
      <c r="U323">
        <f>M323-1800*T323</f>
        <v>56.0580961200003</v>
      </c>
      <c r="V323">
        <f>U323/(2*R323*Q323)</f>
        <v>6.423575215100169E-2</v>
      </c>
      <c r="W323">
        <f>V323*16.02</f>
        <v>1.029056749459047</v>
      </c>
    </row>
    <row r="324" spans="11:23" x14ac:dyDescent="0.2">
      <c r="L324">
        <v>520.76797399999998</v>
      </c>
      <c r="M324">
        <v>-7360.0176030000002</v>
      </c>
      <c r="N324">
        <v>43433.605059000001</v>
      </c>
      <c r="O324">
        <v>-0.97346200000000005</v>
      </c>
      <c r="P324">
        <v>99.560832000000005</v>
      </c>
      <c r="Q324">
        <v>24.845213999999999</v>
      </c>
      <c r="R324">
        <v>17.558834999999998</v>
      </c>
      <c r="S324">
        <f>2*Q324*R324</f>
        <v>872.50602633137987</v>
      </c>
      <c r="T324">
        <f>$F$4</f>
        <v>-4.1201358984000001</v>
      </c>
      <c r="U324">
        <f>M324-1800*T324</f>
        <v>56.227014119999694</v>
      </c>
      <c r="V324">
        <f>U324/(2*R324*Q324)</f>
        <v>6.444312408524791E-2</v>
      </c>
      <c r="W324">
        <f>V324*16.02</f>
        <v>1.0323788478456715</v>
      </c>
    </row>
    <row r="325" spans="11:23" x14ac:dyDescent="0.2">
      <c r="W325" s="1">
        <f>AVERAGE(W320:W324)</f>
        <v>1.0323195233449924</v>
      </c>
    </row>
    <row r="326" spans="11:23" x14ac:dyDescent="0.2">
      <c r="K326">
        <v>111</v>
      </c>
      <c r="L326">
        <v>557.84625800000003</v>
      </c>
      <c r="M326">
        <v>-14136.379210999999</v>
      </c>
      <c r="N326">
        <v>83567.226769999994</v>
      </c>
      <c r="O326">
        <v>-0.63720699999999997</v>
      </c>
      <c r="P326">
        <v>121.84089</v>
      </c>
      <c r="Q326">
        <v>19.899253999999999</v>
      </c>
      <c r="R326">
        <v>34.467230000000001</v>
      </c>
      <c r="S326">
        <f>2*Q326*R326</f>
        <v>1371.74432889284</v>
      </c>
      <c r="T326">
        <f>$F$4</f>
        <v>-4.1201358984000001</v>
      </c>
      <c r="U326">
        <f>M326-3456*T326</f>
        <v>102.81045387040103</v>
      </c>
      <c r="V326">
        <f>U326/(2*Q326*R326)</f>
        <v>7.4948699772195329E-2</v>
      </c>
      <c r="W326">
        <f>V326*16.02</f>
        <v>1.2006781703505691</v>
      </c>
    </row>
    <row r="327" spans="11:23" x14ac:dyDescent="0.2">
      <c r="L327">
        <v>557.70935899999995</v>
      </c>
      <c r="M327">
        <v>-14136.010831</v>
      </c>
      <c r="N327">
        <v>83543.618908999997</v>
      </c>
      <c r="O327">
        <v>-0.56927899999999998</v>
      </c>
      <c r="P327">
        <v>121.833085</v>
      </c>
      <c r="Q327">
        <v>19.902474999999999</v>
      </c>
      <c r="R327">
        <v>34.454127</v>
      </c>
      <c r="S327">
        <f>2*Q327*R327</f>
        <v>1371.4448025286499</v>
      </c>
      <c r="T327">
        <f>$F$4</f>
        <v>-4.1201358984000001</v>
      </c>
      <c r="U327">
        <f>M327-3456*T327</f>
        <v>103.17883387040092</v>
      </c>
      <c r="V327">
        <f>U327/(2*Q327*R327)</f>
        <v>7.523367595995209E-2</v>
      </c>
      <c r="W327">
        <f>V327*16.02</f>
        <v>1.2052434888784325</v>
      </c>
    </row>
    <row r="328" spans="11:23" x14ac:dyDescent="0.2">
      <c r="L328">
        <v>557.90992300000005</v>
      </c>
      <c r="M328">
        <v>-14136.095481</v>
      </c>
      <c r="N328">
        <v>83579.432685000007</v>
      </c>
      <c r="O328">
        <v>-0.60364499999999999</v>
      </c>
      <c r="P328">
        <v>121.865596</v>
      </c>
      <c r="Q328">
        <v>19.901914000000001</v>
      </c>
      <c r="R328">
        <v>34.460669000000003</v>
      </c>
      <c r="S328">
        <f>2*Q328*R328</f>
        <v>1371.6665416409321</v>
      </c>
      <c r="T328">
        <f>$F$4</f>
        <v>-4.1201358984000001</v>
      </c>
      <c r="U328">
        <f>M328-3456*T328</f>
        <v>103.09418387040023</v>
      </c>
      <c r="V328">
        <f>U328/(2*Q328*R328)</f>
        <v>7.5159800680906094E-2</v>
      </c>
      <c r="W328">
        <f>V328*16.02</f>
        <v>1.2040600069081155</v>
      </c>
    </row>
    <row r="329" spans="11:23" x14ac:dyDescent="0.2">
      <c r="L329">
        <v>557.78205300000002</v>
      </c>
      <c r="M329">
        <v>-14136.202066</v>
      </c>
      <c r="N329">
        <v>83561.385991000003</v>
      </c>
      <c r="O329">
        <v>-0.63443799999999995</v>
      </c>
      <c r="P329">
        <v>121.84666799999999</v>
      </c>
      <c r="Q329">
        <v>19.900921</v>
      </c>
      <c r="R329">
        <v>34.460310999999997</v>
      </c>
      <c r="S329">
        <f>2*Q329*R329</f>
        <v>1371.583853692862</v>
      </c>
      <c r="T329">
        <f>$F$4</f>
        <v>-4.1201358984000001</v>
      </c>
      <c r="U329">
        <f>M329-3456*T329</f>
        <v>102.98759887040069</v>
      </c>
      <c r="V329">
        <f>U329/(2*Q329*R329)</f>
        <v>7.5086622369544637E-2</v>
      </c>
      <c r="W329">
        <f>V329*16.02</f>
        <v>1.2028876903601051</v>
      </c>
    </row>
    <row r="330" spans="11:23" x14ac:dyDescent="0.2">
      <c r="L330">
        <v>557.98318200000006</v>
      </c>
      <c r="M330">
        <v>-14134.114071</v>
      </c>
      <c r="N330">
        <v>83523.776492000005</v>
      </c>
      <c r="O330">
        <v>-0.69366799999999995</v>
      </c>
      <c r="P330">
        <v>121.841267</v>
      </c>
      <c r="Q330">
        <v>19.897071</v>
      </c>
      <c r="R330">
        <v>34.452981999999999</v>
      </c>
      <c r="S330">
        <f>2*Q330*R330</f>
        <v>1371.0268580314439</v>
      </c>
      <c r="T330">
        <f>$F$4</f>
        <v>-4.1201358984000001</v>
      </c>
      <c r="U330">
        <f>M330-3456*T330</f>
        <v>105.07559387040055</v>
      </c>
      <c r="V330">
        <f>U330/(2*Q330*R330)</f>
        <v>7.6640069634573635E-2</v>
      </c>
      <c r="W330">
        <f>V330*16.02</f>
        <v>1.2277739155458696</v>
      </c>
    </row>
    <row r="331" spans="11:23" x14ac:dyDescent="0.2">
      <c r="W331" s="1">
        <f>AVERAGE(W326:W330)</f>
        <v>1.2081286544086183</v>
      </c>
    </row>
    <row r="332" spans="11:23" x14ac:dyDescent="0.2">
      <c r="K332" t="s">
        <v>30</v>
      </c>
    </row>
    <row r="333" spans="11:23" x14ac:dyDescent="0.2">
      <c r="L333" t="s">
        <v>18</v>
      </c>
      <c r="M333" t="s">
        <v>5</v>
      </c>
      <c r="N333" t="s">
        <v>7</v>
      </c>
      <c r="O333" t="s">
        <v>19</v>
      </c>
      <c r="P333" t="s">
        <v>20</v>
      </c>
      <c r="Q333" t="s">
        <v>21</v>
      </c>
      <c r="R333" t="s">
        <v>22</v>
      </c>
      <c r="T333" t="s">
        <v>26</v>
      </c>
      <c r="U333" t="s">
        <v>12</v>
      </c>
      <c r="V333" t="s">
        <v>23</v>
      </c>
      <c r="W333" t="s">
        <v>23</v>
      </c>
    </row>
    <row r="334" spans="11:23" x14ac:dyDescent="0.2">
      <c r="K334" t="s">
        <v>17</v>
      </c>
      <c r="L334">
        <v>557.51658099999997</v>
      </c>
      <c r="M334">
        <v>-25955.199514</v>
      </c>
      <c r="N334">
        <v>121505.53084199999</v>
      </c>
      <c r="O334">
        <v>-0.36089500000000002</v>
      </c>
      <c r="P334">
        <v>28.294609000000001</v>
      </c>
      <c r="Q334">
        <v>170.001026</v>
      </c>
      <c r="R334">
        <v>25.260437</v>
      </c>
      <c r="S334">
        <f>2*R334*P334</f>
        <v>1429.4683761682661</v>
      </c>
      <c r="T334">
        <f>$G$4</f>
        <v>-6.8129961863403325</v>
      </c>
      <c r="U334">
        <f>M334-3872*T334</f>
        <v>424.72171950976917</v>
      </c>
      <c r="V334">
        <f>U334/(2*P334*R334)</f>
        <v>0.2971186537531168</v>
      </c>
      <c r="W334">
        <f>V334*16.02</f>
        <v>4.7598408331249313</v>
      </c>
    </row>
    <row r="335" spans="11:23" x14ac:dyDescent="0.2">
      <c r="L335">
        <v>557.80341399999998</v>
      </c>
      <c r="M335">
        <v>-25955.429315000001</v>
      </c>
      <c r="N335">
        <v>121513.592924</v>
      </c>
      <c r="O335">
        <v>-0.38203199999999998</v>
      </c>
      <c r="P335">
        <v>28.294438</v>
      </c>
      <c r="Q335">
        <v>170.01331300000001</v>
      </c>
      <c r="R335">
        <v>25.260441</v>
      </c>
      <c r="S335">
        <f t="shared" ref="S335:S344" si="63">2*R335*P335</f>
        <v>1429.459963454316</v>
      </c>
      <c r="T335">
        <f>$G$4</f>
        <v>-6.8129961863403325</v>
      </c>
      <c r="U335">
        <f>M335-3872*T335</f>
        <v>424.49191850976786</v>
      </c>
      <c r="V335">
        <f>U335/(2*P335*R335)</f>
        <v>0.29695964165654237</v>
      </c>
      <c r="W335">
        <f>V335*16.02</f>
        <v>4.7572934593378085</v>
      </c>
    </row>
    <row r="336" spans="11:23" x14ac:dyDescent="0.2">
      <c r="L336">
        <v>557.75192700000002</v>
      </c>
      <c r="M336">
        <v>-25955.621910000002</v>
      </c>
      <c r="N336">
        <v>121539.190825</v>
      </c>
      <c r="O336">
        <v>-0.430313</v>
      </c>
      <c r="P336">
        <v>28.294646</v>
      </c>
      <c r="Q336">
        <v>170.05224799999999</v>
      </c>
      <c r="R336">
        <v>25.259791</v>
      </c>
      <c r="S336">
        <f t="shared" si="63"/>
        <v>1429.433688757972</v>
      </c>
      <c r="T336">
        <f>$G$4</f>
        <v>-6.8129961863403325</v>
      </c>
      <c r="U336">
        <f>M336-3872*T336</f>
        <v>424.29932350976742</v>
      </c>
      <c r="V336">
        <f>U336/(2*P336*R336)</f>
        <v>0.29683036495273807</v>
      </c>
      <c r="W336">
        <f>V336*16.02</f>
        <v>4.7552224465428639</v>
      </c>
    </row>
    <row r="337" spans="11:23" x14ac:dyDescent="0.2">
      <c r="L337">
        <v>557.82482500000003</v>
      </c>
      <c r="M337">
        <v>-25955.374962999998</v>
      </c>
      <c r="N337">
        <v>121521.895922</v>
      </c>
      <c r="O337">
        <v>-0.29930099999999998</v>
      </c>
      <c r="P337">
        <v>28.294536000000001</v>
      </c>
      <c r="Q337">
        <v>170.025352</v>
      </c>
      <c r="R337">
        <v>25.260290000000001</v>
      </c>
      <c r="S337">
        <f t="shared" si="63"/>
        <v>1429.45636955088</v>
      </c>
      <c r="T337">
        <f>$G$4</f>
        <v>-6.8129961863403325</v>
      </c>
      <c r="U337">
        <f>M337-3872*T337</f>
        <v>424.54627050977069</v>
      </c>
      <c r="V337">
        <f>U337/(2*P337*R337)</f>
        <v>0.29699841111146236</v>
      </c>
      <c r="W337">
        <f>V337*16.02</f>
        <v>4.7579145460056269</v>
      </c>
    </row>
    <row r="338" spans="11:23" x14ac:dyDescent="0.2">
      <c r="L338">
        <v>557.70166400000005</v>
      </c>
      <c r="M338">
        <v>-25955.119299000002</v>
      </c>
      <c r="N338">
        <v>121480.146609</v>
      </c>
      <c r="O338">
        <v>-0.381189</v>
      </c>
      <c r="P338">
        <v>28.294301000000001</v>
      </c>
      <c r="Q338">
        <v>169.96927199999999</v>
      </c>
      <c r="R338">
        <v>25.260154</v>
      </c>
      <c r="S338">
        <f t="shared" si="63"/>
        <v>1429.436801164708</v>
      </c>
      <c r="T338">
        <f>$G$4</f>
        <v>-6.8129961863403325</v>
      </c>
      <c r="U338">
        <f>M338-3872*T338</f>
        <v>424.80193450976731</v>
      </c>
      <c r="V338">
        <f>U338/(2*P338*R338)</f>
        <v>0.29718133335005636</v>
      </c>
      <c r="W338">
        <f>V338*16.02</f>
        <v>4.760844960267903</v>
      </c>
    </row>
    <row r="339" spans="11:23" x14ac:dyDescent="0.2">
      <c r="W339" s="1">
        <f>AVERAGE(W334:W338)</f>
        <v>4.7582232490558258</v>
      </c>
    </row>
    <row r="340" spans="11:23" x14ac:dyDescent="0.2">
      <c r="K340" t="s">
        <v>27</v>
      </c>
      <c r="L340">
        <v>557.47872700000005</v>
      </c>
      <c r="M340">
        <v>-9746.7290479999992</v>
      </c>
      <c r="N340">
        <v>45453.061951000003</v>
      </c>
      <c r="O340">
        <v>-1.1104700000000001</v>
      </c>
      <c r="P340">
        <v>29.99831</v>
      </c>
      <c r="Q340">
        <v>120.021349</v>
      </c>
      <c r="R340">
        <v>12.624319</v>
      </c>
      <c r="S340">
        <f t="shared" si="63"/>
        <v>757.41646980177995</v>
      </c>
      <c r="T340">
        <f>$G$4</f>
        <v>-6.8129961863403325</v>
      </c>
      <c r="U340">
        <f>M340-1464*T340</f>
        <v>227.49736880224737</v>
      </c>
      <c r="V340">
        <f>U340/(2*P340*R340)</f>
        <v>0.30035968040381361</v>
      </c>
      <c r="W340">
        <f>V340*16.02</f>
        <v>4.8117620800690943</v>
      </c>
    </row>
    <row r="341" spans="11:23" x14ac:dyDescent="0.2">
      <c r="L341">
        <v>557.858563</v>
      </c>
      <c r="M341">
        <v>-9746.7527869999994</v>
      </c>
      <c r="N341">
        <v>45523.288107</v>
      </c>
      <c r="O341">
        <v>-1.1175619999999999</v>
      </c>
      <c r="P341">
        <v>29.998328000000001</v>
      </c>
      <c r="Q341">
        <v>120.202793</v>
      </c>
      <c r="R341">
        <v>12.624732</v>
      </c>
      <c r="S341">
        <f t="shared" si="63"/>
        <v>757.44170289619206</v>
      </c>
      <c r="T341">
        <f>$G$4</f>
        <v>-6.8129961863403325</v>
      </c>
      <c r="U341">
        <f>M341-1464*T341</f>
        <v>227.47362980224716</v>
      </c>
      <c r="V341">
        <f>U341/(2*P341*R341)</f>
        <v>0.30031833332184854</v>
      </c>
      <c r="W341">
        <f>V341*16.02</f>
        <v>4.8110996998160136</v>
      </c>
    </row>
    <row r="342" spans="11:23" x14ac:dyDescent="0.2">
      <c r="L342">
        <v>557.84334999999999</v>
      </c>
      <c r="M342">
        <v>-9746.7898939999995</v>
      </c>
      <c r="N342">
        <v>45562.224431000002</v>
      </c>
      <c r="O342">
        <v>-0.94412099999999999</v>
      </c>
      <c r="P342">
        <v>29.999191</v>
      </c>
      <c r="Q342">
        <v>120.301117</v>
      </c>
      <c r="R342">
        <v>12.624839</v>
      </c>
      <c r="S342">
        <f t="shared" si="63"/>
        <v>757.46991301049798</v>
      </c>
      <c r="T342">
        <f>$G$4</f>
        <v>-6.8129961863403325</v>
      </c>
      <c r="U342">
        <f>M342-1464*T342</f>
        <v>227.43652280224705</v>
      </c>
      <c r="V342">
        <f>U342/(2*P342*R342)</f>
        <v>0.30025816061567445</v>
      </c>
      <c r="W342">
        <f>V342*16.02</f>
        <v>4.8101357330631043</v>
      </c>
    </row>
    <row r="343" spans="11:23" x14ac:dyDescent="0.2">
      <c r="L343">
        <v>557.69138399999997</v>
      </c>
      <c r="M343">
        <v>-9746.762369</v>
      </c>
      <c r="N343">
        <v>45471.653020999998</v>
      </c>
      <c r="O343">
        <v>-1.1273260000000001</v>
      </c>
      <c r="P343">
        <v>29.999285</v>
      </c>
      <c r="Q343">
        <v>120.062724</v>
      </c>
      <c r="R343">
        <v>12.624720999999999</v>
      </c>
      <c r="S343">
        <f t="shared" si="63"/>
        <v>757.46520664896991</v>
      </c>
      <c r="T343">
        <f>$G$4</f>
        <v>-6.8129961863403325</v>
      </c>
      <c r="U343">
        <f>M343-1464*T343</f>
        <v>227.46404780224657</v>
      </c>
      <c r="V343">
        <f>U343/(2*P343*R343)</f>
        <v>0.30029636451362396</v>
      </c>
      <c r="W343">
        <f>V343*16.02</f>
        <v>4.8107477595082555</v>
      </c>
    </row>
    <row r="344" spans="11:23" x14ac:dyDescent="0.2">
      <c r="L344">
        <v>557.58002099999999</v>
      </c>
      <c r="M344">
        <v>-9746.5463220000001</v>
      </c>
      <c r="N344">
        <v>45475.504993000002</v>
      </c>
      <c r="O344">
        <v>-1.090268</v>
      </c>
      <c r="P344">
        <v>29.998978999999999</v>
      </c>
      <c r="Q344">
        <v>120.078896</v>
      </c>
      <c r="R344">
        <v>12.624219</v>
      </c>
      <c r="S344">
        <f t="shared" si="63"/>
        <v>757.42736134480197</v>
      </c>
      <c r="T344">
        <f>$G$4</f>
        <v>-6.8129961863403325</v>
      </c>
      <c r="U344">
        <f>M344-1464*T344</f>
        <v>227.68009480224646</v>
      </c>
      <c r="V344">
        <f>U344/(2*P344*R344)</f>
        <v>0.30059660691159024</v>
      </c>
      <c r="W344">
        <f>V344*16.02</f>
        <v>4.8155576427236753</v>
      </c>
    </row>
    <row r="345" spans="11:23" x14ac:dyDescent="0.2">
      <c r="W345" s="1">
        <f>AVERAGE(W340:W344)</f>
        <v>4.8118605830360286</v>
      </c>
    </row>
    <row r="346" spans="11:23" x14ac:dyDescent="0.2">
      <c r="K346" t="s">
        <v>28</v>
      </c>
      <c r="L346">
        <v>557.80058799999995</v>
      </c>
      <c r="M346">
        <v>-16799.979297999998</v>
      </c>
      <c r="N346">
        <v>78864.869561</v>
      </c>
      <c r="O346">
        <v>-0.53218299999999996</v>
      </c>
      <c r="P346">
        <v>32.225538</v>
      </c>
      <c r="Q346">
        <v>129.19393199999999</v>
      </c>
      <c r="R346">
        <v>18.942678999999998</v>
      </c>
      <c r="S346">
        <f>2*R346*P346</f>
        <v>1220.876043872604</v>
      </c>
      <c r="T346">
        <f t="shared" ref="T346:T356" si="64">$G$4</f>
        <v>-6.8129961863403325</v>
      </c>
      <c r="U346">
        <f>M346-2520*T346</f>
        <v>368.77109157764062</v>
      </c>
      <c r="V346">
        <f>U346/(2*P346*R346)</f>
        <v>0.30205449064911061</v>
      </c>
      <c r="W346">
        <f>V346*16.02</f>
        <v>4.8389129401987514</v>
      </c>
    </row>
    <row r="347" spans="11:23" x14ac:dyDescent="0.2">
      <c r="L347">
        <v>557.46505000000002</v>
      </c>
      <c r="M347">
        <v>-16799.867263</v>
      </c>
      <c r="N347">
        <v>78757.600153000007</v>
      </c>
      <c r="O347">
        <v>-0.51084700000000005</v>
      </c>
      <c r="P347">
        <v>32.225627000000003</v>
      </c>
      <c r="Q347">
        <v>129.01729</v>
      </c>
      <c r="R347">
        <v>18.942761000000001</v>
      </c>
      <c r="S347">
        <f>2*R347*P347</f>
        <v>1220.8847006722942</v>
      </c>
      <c r="T347">
        <f t="shared" si="64"/>
        <v>-6.8129961863403325</v>
      </c>
      <c r="U347">
        <f>M347-2520*T347</f>
        <v>368.8831265776389</v>
      </c>
      <c r="V347">
        <f>U347/(2*P347*R347)</f>
        <v>0.30214411432505395</v>
      </c>
      <c r="W347">
        <f>V347*16.02</f>
        <v>4.8403487114873638</v>
      </c>
    </row>
    <row r="348" spans="11:23" x14ac:dyDescent="0.2">
      <c r="L348">
        <v>557.64997400000004</v>
      </c>
      <c r="M348">
        <v>-16799.856326000001</v>
      </c>
      <c r="N348">
        <v>78864.441842999993</v>
      </c>
      <c r="O348">
        <v>-0.65268000000000004</v>
      </c>
      <c r="P348">
        <v>32.225923000000002</v>
      </c>
      <c r="Q348">
        <v>129.18943100000001</v>
      </c>
      <c r="R348">
        <v>18.943010000000001</v>
      </c>
      <c r="S348">
        <f>2*R348*P348</f>
        <v>1220.91196329646</v>
      </c>
      <c r="T348">
        <f t="shared" si="64"/>
        <v>-6.8129961863403325</v>
      </c>
      <c r="U348">
        <f>M348-2520*T348</f>
        <v>368.89406357763801</v>
      </c>
      <c r="V348">
        <f>U348/(2*P348*R348)</f>
        <v>0.3021463255889677</v>
      </c>
      <c r="W348">
        <f>V348*16.02</f>
        <v>4.8403841359352624</v>
      </c>
    </row>
    <row r="349" spans="11:23" x14ac:dyDescent="0.2">
      <c r="L349">
        <v>557.49348599999996</v>
      </c>
      <c r="M349">
        <v>-16800.110691000002</v>
      </c>
      <c r="N349">
        <v>78820.802658999994</v>
      </c>
      <c r="O349">
        <v>-0.57654499999999997</v>
      </c>
      <c r="P349">
        <v>32.225701000000001</v>
      </c>
      <c r="Q349">
        <v>129.11750699999999</v>
      </c>
      <c r="R349">
        <v>18.943204999999999</v>
      </c>
      <c r="S349">
        <f>2*R349*P349</f>
        <v>1220.9161206234101</v>
      </c>
      <c r="T349">
        <f t="shared" si="64"/>
        <v>-6.8129961863403325</v>
      </c>
      <c r="U349">
        <f>M349-2520*T349</f>
        <v>368.63969857763732</v>
      </c>
      <c r="V349">
        <f>U349/(2*P349*R349)</f>
        <v>0.30193695729843162</v>
      </c>
      <c r="W349">
        <f>V349*16.02</f>
        <v>4.8370300559208745</v>
      </c>
    </row>
    <row r="350" spans="11:23" x14ac:dyDescent="0.2">
      <c r="L350">
        <v>557.56128999999999</v>
      </c>
      <c r="M350">
        <v>-16799.98575</v>
      </c>
      <c r="N350">
        <v>78804.408624999996</v>
      </c>
      <c r="O350">
        <v>-0.61141500000000004</v>
      </c>
      <c r="P350">
        <v>32.225625999999998</v>
      </c>
      <c r="Q350">
        <v>129.09199799999999</v>
      </c>
      <c r="R350">
        <v>18.943051000000001</v>
      </c>
      <c r="S350">
        <f>2*R350*P350</f>
        <v>1220.9033536498521</v>
      </c>
      <c r="T350">
        <f t="shared" si="64"/>
        <v>-6.8129961863403325</v>
      </c>
      <c r="U350">
        <f>M350-2520*T350</f>
        <v>368.76463957763917</v>
      </c>
      <c r="V350">
        <f>U350/(2*P350*R350)</f>
        <v>0.30204244953151199</v>
      </c>
      <c r="W350">
        <f>V350*16.02</f>
        <v>4.8387200414948222</v>
      </c>
    </row>
    <row r="351" spans="11:23" x14ac:dyDescent="0.2">
      <c r="W351" s="1">
        <f>AVERAGE(W346:W350)</f>
        <v>4.8390791770074149</v>
      </c>
    </row>
    <row r="352" spans="11:23" x14ac:dyDescent="0.2">
      <c r="K352" t="s">
        <v>55</v>
      </c>
      <c r="L352">
        <v>519.924081</v>
      </c>
      <c r="M352">
        <v>-13243.502193</v>
      </c>
      <c r="N352">
        <v>62206.215687999997</v>
      </c>
      <c r="O352">
        <v>-0.70491899999999996</v>
      </c>
      <c r="P352">
        <v>28.610381</v>
      </c>
      <c r="Q352">
        <v>172.101789</v>
      </c>
      <c r="R352">
        <v>12.633535</v>
      </c>
      <c r="S352">
        <f>2*R352*P352</f>
        <v>722.90049945367002</v>
      </c>
      <c r="T352">
        <f t="shared" si="64"/>
        <v>-6.8129961863403325</v>
      </c>
      <c r="U352">
        <f>M352-1976*T352</f>
        <v>218.97827120849615</v>
      </c>
      <c r="V352">
        <f>U352/(2*P352*R352)</f>
        <v>0.30291619852799706</v>
      </c>
      <c r="W352">
        <f>V352*16.02</f>
        <v>4.852717500418513</v>
      </c>
    </row>
    <row r="353" spans="11:23" x14ac:dyDescent="0.2">
      <c r="L353">
        <v>519.97831399999995</v>
      </c>
      <c r="M353">
        <v>-13243.227148</v>
      </c>
      <c r="N353">
        <v>62127.323514000003</v>
      </c>
      <c r="O353">
        <v>-0.69372500000000004</v>
      </c>
      <c r="P353">
        <v>28.610422</v>
      </c>
      <c r="Q353">
        <v>171.88409200000001</v>
      </c>
      <c r="R353">
        <v>12.633475000000001</v>
      </c>
      <c r="S353">
        <f>2*R353*P353</f>
        <v>722.89810215290004</v>
      </c>
      <c r="T353">
        <f t="shared" si="64"/>
        <v>-6.8129961863403325</v>
      </c>
      <c r="U353">
        <f>M353-1976*T353</f>
        <v>219.25331620849647</v>
      </c>
      <c r="V353">
        <f>U353/(2*P353*R353)</f>
        <v>0.30329767854629425</v>
      </c>
      <c r="W353">
        <f>V353*16.02</f>
        <v>4.8588288103116337</v>
      </c>
    </row>
    <row r="354" spans="11:23" x14ac:dyDescent="0.2">
      <c r="L354">
        <v>520.26932199999999</v>
      </c>
      <c r="M354">
        <v>-13243.429647000001</v>
      </c>
      <c r="N354">
        <v>62078.782104999998</v>
      </c>
      <c r="O354">
        <v>-0.58794100000000005</v>
      </c>
      <c r="P354">
        <v>28.610662999999999</v>
      </c>
      <c r="Q354">
        <v>171.747938</v>
      </c>
      <c r="R354">
        <v>12.633505</v>
      </c>
      <c r="S354">
        <f>2*R354*P354</f>
        <v>722.90590812762991</v>
      </c>
      <c r="T354">
        <f t="shared" si="64"/>
        <v>-6.8129961863403325</v>
      </c>
      <c r="U354">
        <f>M354-1976*T354</f>
        <v>219.05081720849557</v>
      </c>
      <c r="V354">
        <f>U354/(2*P354*R354)</f>
        <v>0.30301428546330528</v>
      </c>
      <c r="W354">
        <f>V354*16.02</f>
        <v>4.8542888531221502</v>
      </c>
    </row>
    <row r="355" spans="11:23" x14ac:dyDescent="0.2">
      <c r="L355">
        <v>520.08746199999996</v>
      </c>
      <c r="M355">
        <v>-13243.255365000001</v>
      </c>
      <c r="N355">
        <v>62173.892623</v>
      </c>
      <c r="O355">
        <v>-0.61435899999999999</v>
      </c>
      <c r="P355">
        <v>28.610005999999998</v>
      </c>
      <c r="Q355">
        <v>172.01534799999999</v>
      </c>
      <c r="R355">
        <v>12.633481</v>
      </c>
      <c r="S355">
        <f>2*R355*P355</f>
        <v>722.887934421772</v>
      </c>
      <c r="T355">
        <f t="shared" si="64"/>
        <v>-6.8129961863403325</v>
      </c>
      <c r="U355">
        <f>M355-1976*T355</f>
        <v>219.22509920849552</v>
      </c>
      <c r="V355">
        <f>U355/(2*P355*R355)</f>
        <v>0.30326291084641027</v>
      </c>
      <c r="W355">
        <f>V355*16.02</f>
        <v>4.8582718317594926</v>
      </c>
    </row>
    <row r="356" spans="11:23" x14ac:dyDescent="0.2">
      <c r="L356">
        <v>520.08722299999999</v>
      </c>
      <c r="M356">
        <v>-13243.2</v>
      </c>
      <c r="N356">
        <v>62156.030215999999</v>
      </c>
      <c r="O356">
        <v>-0.64536400000000005</v>
      </c>
      <c r="P356">
        <v>28.610614999999999</v>
      </c>
      <c r="Q356">
        <v>171.96198899999999</v>
      </c>
      <c r="R356">
        <v>12.633501000000001</v>
      </c>
      <c r="S356">
        <f>2*R356*P356</f>
        <v>722.90446642622999</v>
      </c>
      <c r="T356">
        <f t="shared" si="64"/>
        <v>-6.8129961863403325</v>
      </c>
      <c r="U356">
        <f>M356-1976*T356</f>
        <v>219.28046420849569</v>
      </c>
      <c r="V356">
        <f>U356/(2*P356*R356)</f>
        <v>0.30333256245121365</v>
      </c>
      <c r="W356">
        <f>V356*16.02</f>
        <v>4.8593876504684426</v>
      </c>
    </row>
    <row r="357" spans="11:23" x14ac:dyDescent="0.2">
      <c r="W357" s="1">
        <f>AVERAGE(W352:W356)</f>
        <v>4.8566989292160461</v>
      </c>
    </row>
    <row r="358" spans="11:23" x14ac:dyDescent="0.2">
      <c r="K358">
        <v>100</v>
      </c>
      <c r="L358">
        <v>520.12374799999998</v>
      </c>
      <c r="M358">
        <v>-5470.2249439999996</v>
      </c>
      <c r="N358">
        <v>15882.964689</v>
      </c>
      <c r="O358">
        <v>-2.464385</v>
      </c>
      <c r="P358">
        <v>15.785107999999999</v>
      </c>
      <c r="Q358">
        <v>15.784829999999999</v>
      </c>
      <c r="R358">
        <v>63.74474</v>
      </c>
      <c r="S358">
        <f>2*Q358*P358</f>
        <v>498.33049262327995</v>
      </c>
      <c r="T358">
        <f>$G$4</f>
        <v>-6.8129961863403325</v>
      </c>
      <c r="U358">
        <f>M358-825*T358</f>
        <v>150.49690973077486</v>
      </c>
      <c r="V358">
        <f>U358/(2*P358*Q358)</f>
        <v>0.30200220929395372</v>
      </c>
      <c r="W358">
        <f>V358*16.02</f>
        <v>4.838075392889138</v>
      </c>
    </row>
    <row r="359" spans="11:23" x14ac:dyDescent="0.2">
      <c r="L359">
        <v>520.29879000000005</v>
      </c>
      <c r="M359">
        <v>-5470.171045</v>
      </c>
      <c r="N359">
        <v>15839.384158999999</v>
      </c>
      <c r="O359">
        <v>-2.3193570000000001</v>
      </c>
      <c r="P359">
        <v>15.785228</v>
      </c>
      <c r="Q359">
        <v>15.785161</v>
      </c>
      <c r="R359">
        <v>63.568013999999998</v>
      </c>
      <c r="S359">
        <f>2*Q359*P359</f>
        <v>498.34473080341604</v>
      </c>
      <c r="T359">
        <f>$G$4</f>
        <v>-6.8129961863403325</v>
      </c>
      <c r="U359">
        <f>M359-825*T359</f>
        <v>150.55080873077441</v>
      </c>
      <c r="V359">
        <f>U359/(2*P359*Q359)</f>
        <v>0.30210173686006675</v>
      </c>
      <c r="W359">
        <f>V359*16.02</f>
        <v>4.8396698244982694</v>
      </c>
    </row>
    <row r="360" spans="11:23" x14ac:dyDescent="0.2">
      <c r="L360">
        <v>519.96244100000001</v>
      </c>
      <c r="M360">
        <v>-5470.2312190000002</v>
      </c>
      <c r="N360">
        <v>15860.503623000001</v>
      </c>
      <c r="O360">
        <v>-2.419924</v>
      </c>
      <c r="P360">
        <v>15.785116</v>
      </c>
      <c r="Q360">
        <v>15.785292</v>
      </c>
      <c r="R360">
        <v>63.652698999999998</v>
      </c>
      <c r="S360">
        <f>2*Q360*P360</f>
        <v>498.34533062774403</v>
      </c>
      <c r="T360">
        <f>$G$4</f>
        <v>-6.8129961863403325</v>
      </c>
      <c r="U360">
        <f>M360-825*T360</f>
        <v>150.49063473077422</v>
      </c>
      <c r="V360">
        <f>U360/(2*P360*Q360)</f>
        <v>0.30198062564609102</v>
      </c>
      <c r="W360">
        <f>V360*16.02</f>
        <v>4.8377296228503779</v>
      </c>
    </row>
    <row r="361" spans="11:23" x14ac:dyDescent="0.2">
      <c r="L361">
        <v>520.47375999999997</v>
      </c>
      <c r="M361">
        <v>-5470.0590739999998</v>
      </c>
      <c r="N361">
        <v>15882.696544</v>
      </c>
      <c r="O361">
        <v>-2.2230279999999998</v>
      </c>
      <c r="P361">
        <v>15.785164999999999</v>
      </c>
      <c r="Q361">
        <v>15.785131</v>
      </c>
      <c r="R361">
        <v>63.742224</v>
      </c>
      <c r="S361">
        <f>2*Q361*P361</f>
        <v>498.34179476322998</v>
      </c>
      <c r="T361">
        <f>$G$4</f>
        <v>-6.8129961863403325</v>
      </c>
      <c r="U361">
        <f>M361-825*T361</f>
        <v>150.66277973077467</v>
      </c>
      <c r="V361">
        <f>U361/(2*P361*Q361)</f>
        <v>0.30232820388335463</v>
      </c>
      <c r="W361">
        <f>V361*16.02</f>
        <v>4.8432978262113409</v>
      </c>
    </row>
    <row r="362" spans="11:23" x14ac:dyDescent="0.2">
      <c r="L362">
        <v>520.32736699999998</v>
      </c>
      <c r="M362">
        <v>-5470.1784109999999</v>
      </c>
      <c r="N362">
        <v>15856.313904000001</v>
      </c>
      <c r="O362">
        <v>-2.1575410000000002</v>
      </c>
      <c r="P362">
        <v>15.784879</v>
      </c>
      <c r="Q362">
        <v>15.785159</v>
      </c>
      <c r="R362">
        <v>63.637371999999999</v>
      </c>
      <c r="S362">
        <f>2*Q362*P362</f>
        <v>498.333649621522</v>
      </c>
      <c r="T362">
        <f>$G$4</f>
        <v>-6.8129961863403325</v>
      </c>
      <c r="U362">
        <f>M362-825*T362</f>
        <v>150.54344273077459</v>
      </c>
      <c r="V362">
        <f>U362/(2*P362*Q362)</f>
        <v>0.30209367327514486</v>
      </c>
      <c r="W362">
        <f>V362*16.02</f>
        <v>4.8395406458678201</v>
      </c>
    </row>
    <row r="363" spans="11:23" x14ac:dyDescent="0.2">
      <c r="W363" s="1">
        <f>AVERAGE(W358:W362)</f>
        <v>4.8396626624633896</v>
      </c>
    </row>
    <row r="364" spans="11:23" x14ac:dyDescent="0.2">
      <c r="K364">
        <v>110</v>
      </c>
      <c r="L364">
        <v>520.05340100000001</v>
      </c>
      <c r="M364">
        <v>-12061.080225</v>
      </c>
      <c r="N364">
        <v>31513.034186000001</v>
      </c>
      <c r="O364">
        <v>-0.98390200000000005</v>
      </c>
      <c r="P364">
        <v>89.205275999999998</v>
      </c>
      <c r="Q364">
        <v>22.380251999999999</v>
      </c>
      <c r="R364">
        <v>15.784644</v>
      </c>
      <c r="S364">
        <f>2*Q364*R364</f>
        <v>706.52862090057602</v>
      </c>
      <c r="T364">
        <f>$G$4</f>
        <v>-6.8129961863403325</v>
      </c>
      <c r="U364">
        <f>M364-1800*T364</f>
        <v>202.31291041259828</v>
      </c>
      <c r="V364">
        <f>U364/(2*R364*Q364)</f>
        <v>0.28634779176351033</v>
      </c>
      <c r="W364">
        <f>V364*16.02</f>
        <v>4.587291624051435</v>
      </c>
    </row>
    <row r="365" spans="11:23" x14ac:dyDescent="0.2">
      <c r="L365">
        <v>520.15766900000006</v>
      </c>
      <c r="M365">
        <v>-12061.088231</v>
      </c>
      <c r="N365">
        <v>31521.522120000001</v>
      </c>
      <c r="O365">
        <v>-1.050046</v>
      </c>
      <c r="P365">
        <v>89.229637999999994</v>
      </c>
      <c r="Q365">
        <v>22.380189000000001</v>
      </c>
      <c r="R365">
        <v>15.78463</v>
      </c>
      <c r="S365">
        <f>2*Q365*R365</f>
        <v>706.52600539014009</v>
      </c>
      <c r="T365">
        <f>$G$4</f>
        <v>-6.8129961863403325</v>
      </c>
      <c r="U365">
        <f>M365-1800*T365</f>
        <v>202.30490441259826</v>
      </c>
      <c r="V365">
        <f>U365/(2*R365*Q365)</f>
        <v>0.28633752030243603</v>
      </c>
      <c r="W365">
        <f>V365*16.02</f>
        <v>4.5871270752450251</v>
      </c>
    </row>
    <row r="366" spans="11:23" x14ac:dyDescent="0.2">
      <c r="L366">
        <v>520.22470199999998</v>
      </c>
      <c r="M366">
        <v>-12061.129279999999</v>
      </c>
      <c r="N366">
        <v>31579.585149999999</v>
      </c>
      <c r="O366">
        <v>-1.00681</v>
      </c>
      <c r="P366">
        <v>89.392579999999995</v>
      </c>
      <c r="Q366">
        <v>22.380220999999999</v>
      </c>
      <c r="R366">
        <v>15.784858</v>
      </c>
      <c r="S366">
        <f>2*Q366*R366</f>
        <v>706.53722098723597</v>
      </c>
      <c r="T366">
        <f>$G$4</f>
        <v>-6.8129961863403325</v>
      </c>
      <c r="U366">
        <f>M366-1800*T366</f>
        <v>202.26385541259879</v>
      </c>
      <c r="V366">
        <f>U366/(2*R366*Q366)</f>
        <v>0.28627487612043701</v>
      </c>
      <c r="W366">
        <f>V366*16.02</f>
        <v>4.5861235154494011</v>
      </c>
    </row>
    <row r="367" spans="11:23" x14ac:dyDescent="0.2">
      <c r="L367">
        <v>520.25186399999996</v>
      </c>
      <c r="M367">
        <v>-12060.958181</v>
      </c>
      <c r="N367">
        <v>31544.775662</v>
      </c>
      <c r="O367">
        <v>-1.036222</v>
      </c>
      <c r="P367">
        <v>89.293655000000001</v>
      </c>
      <c r="Q367">
        <v>22.380379000000001</v>
      </c>
      <c r="R367">
        <v>15.784814000000001</v>
      </c>
      <c r="S367">
        <f>2*Q367*R367</f>
        <v>706.54023952901207</v>
      </c>
      <c r="T367">
        <f>$G$4</f>
        <v>-6.8129961863403325</v>
      </c>
      <c r="U367">
        <f>M367-1800*T367</f>
        <v>202.43495441259802</v>
      </c>
      <c r="V367">
        <f>U367/(2*R367*Q367)</f>
        <v>0.28651581762355605</v>
      </c>
      <c r="W367">
        <f>V367*16.02</f>
        <v>4.5899833983293679</v>
      </c>
    </row>
    <row r="368" spans="11:23" x14ac:dyDescent="0.2">
      <c r="L368">
        <v>520.38577299999997</v>
      </c>
      <c r="M368">
        <v>-12060.975898999999</v>
      </c>
      <c r="N368">
        <v>31531.674116999999</v>
      </c>
      <c r="O368">
        <v>-1.2057100000000001</v>
      </c>
      <c r="P368">
        <v>89.256325000000004</v>
      </c>
      <c r="Q368">
        <v>22.380396999999999</v>
      </c>
      <c r="R368">
        <v>15.784846</v>
      </c>
      <c r="S368">
        <f>2*Q368*R368</f>
        <v>706.54224012772397</v>
      </c>
      <c r="T368">
        <f>$G$4</f>
        <v>-6.8129961863403325</v>
      </c>
      <c r="U368">
        <f>M368-1800*T368</f>
        <v>202.41723641259887</v>
      </c>
      <c r="V368">
        <f>U368/(2*R368*Q368)</f>
        <v>0.28648992928718209</v>
      </c>
      <c r="W368">
        <f>V368*16.02</f>
        <v>4.5895686671806573</v>
      </c>
    </row>
    <row r="369" spans="11:23" x14ac:dyDescent="0.2">
      <c r="W369" s="1">
        <f>AVERAGE(W364:W368)</f>
        <v>4.5880188560511765</v>
      </c>
    </row>
    <row r="370" spans="11:23" x14ac:dyDescent="0.2">
      <c r="K370">
        <v>111</v>
      </c>
      <c r="L370">
        <v>520.12362599999994</v>
      </c>
      <c r="M370">
        <v>-18126.189812000001</v>
      </c>
      <c r="N370">
        <v>48488.186149000001</v>
      </c>
      <c r="O370">
        <v>-0.520092</v>
      </c>
      <c r="P370">
        <v>87.354067000000001</v>
      </c>
      <c r="Q370">
        <v>17.902239999999999</v>
      </c>
      <c r="R370">
        <v>31.005981999999999</v>
      </c>
      <c r="S370">
        <f>2*Q370*R370</f>
        <v>1110.1530623993599</v>
      </c>
      <c r="T370">
        <f>$G$4</f>
        <v>-6.8129961863403325</v>
      </c>
      <c r="U370">
        <f>M370-2711*T370</f>
        <v>343.84284916864272</v>
      </c>
      <c r="V370">
        <f>U370/(2*Q370*R370)</f>
        <v>0.30972562326270531</v>
      </c>
      <c r="W370">
        <f>V370*16.02</f>
        <v>4.961804484668539</v>
      </c>
    </row>
    <row r="371" spans="11:23" x14ac:dyDescent="0.2">
      <c r="L371">
        <v>520.19853499999999</v>
      </c>
      <c r="M371">
        <v>-18126.049659</v>
      </c>
      <c r="N371">
        <v>48452.943149999999</v>
      </c>
      <c r="O371">
        <v>-0.58557899999999996</v>
      </c>
      <c r="P371">
        <v>87.290448999999995</v>
      </c>
      <c r="Q371">
        <v>17.902213</v>
      </c>
      <c r="R371">
        <v>31.006073000000001</v>
      </c>
      <c r="S371">
        <f>2*Q371*R371</f>
        <v>1110.154646279098</v>
      </c>
      <c r="T371">
        <f>$G$4</f>
        <v>-6.8129961863403325</v>
      </c>
      <c r="U371">
        <f>M371-2711*T371</f>
        <v>343.983002168643</v>
      </c>
      <c r="V371">
        <f>U371/(2*Q371*R371)</f>
        <v>0.30985142774618818</v>
      </c>
      <c r="W371">
        <f>V371*16.02</f>
        <v>4.9638198724939349</v>
      </c>
    </row>
    <row r="372" spans="11:23" x14ac:dyDescent="0.2">
      <c r="L372">
        <v>520.12362599999994</v>
      </c>
      <c r="M372">
        <v>-18126.189812000001</v>
      </c>
      <c r="N372">
        <v>48488.186149000001</v>
      </c>
      <c r="O372">
        <v>-0.520092</v>
      </c>
      <c r="P372">
        <v>87.354067000000001</v>
      </c>
      <c r="Q372">
        <v>17.902239999999999</v>
      </c>
      <c r="R372">
        <v>31.005981999999999</v>
      </c>
      <c r="S372">
        <f>2*Q372*R372</f>
        <v>1110.1530623993599</v>
      </c>
      <c r="T372">
        <f>$G$4</f>
        <v>-6.8129961863403325</v>
      </c>
      <c r="U372">
        <f>M372-2711*T372</f>
        <v>343.84284916864272</v>
      </c>
      <c r="V372">
        <f>U372/(2*Q372*R372)</f>
        <v>0.30972562326270531</v>
      </c>
      <c r="W372">
        <f>V372*16.02</f>
        <v>4.961804484668539</v>
      </c>
    </row>
    <row r="373" spans="11:23" x14ac:dyDescent="0.2">
      <c r="L373">
        <v>520.12362599999994</v>
      </c>
      <c r="M373">
        <v>-18126.189812000001</v>
      </c>
      <c r="N373">
        <v>48488.186149000001</v>
      </c>
      <c r="O373">
        <v>-0.520092</v>
      </c>
      <c r="P373">
        <v>87.354067000000001</v>
      </c>
      <c r="Q373">
        <v>17.902239999999999</v>
      </c>
      <c r="R373">
        <v>31.005981999999999</v>
      </c>
      <c r="S373">
        <f>2*Q373*R373</f>
        <v>1110.1530623993599</v>
      </c>
      <c r="T373">
        <f>$G$4</f>
        <v>-6.8129961863403325</v>
      </c>
      <c r="U373">
        <f>M373-2711*T373</f>
        <v>343.84284916864272</v>
      </c>
      <c r="V373">
        <f>U373/(2*Q373*R373)</f>
        <v>0.30972562326270531</v>
      </c>
      <c r="W373">
        <f>V373*16.02</f>
        <v>4.961804484668539</v>
      </c>
    </row>
    <row r="374" spans="11:23" x14ac:dyDescent="0.2">
      <c r="L374">
        <v>520.12362599999994</v>
      </c>
      <c r="M374">
        <v>-18126.189812000001</v>
      </c>
      <c r="N374">
        <v>48488.186149000001</v>
      </c>
      <c r="O374">
        <v>-0.520092</v>
      </c>
      <c r="P374">
        <v>87.354067000000001</v>
      </c>
      <c r="Q374">
        <v>17.902239999999999</v>
      </c>
      <c r="R374">
        <v>31.005981999999999</v>
      </c>
      <c r="S374">
        <f>2*Q374*R374</f>
        <v>1110.1530623993599</v>
      </c>
      <c r="T374">
        <f>$G$4</f>
        <v>-6.8129961863403325</v>
      </c>
      <c r="U374">
        <f>M374-2711*T374</f>
        <v>343.84284916864272</v>
      </c>
      <c r="V374">
        <f>U374/(2*Q374*R374)</f>
        <v>0.30972562326270531</v>
      </c>
      <c r="W374">
        <f>V374*16.02</f>
        <v>4.961804484668539</v>
      </c>
    </row>
    <row r="375" spans="11:23" x14ac:dyDescent="0.2">
      <c r="W375" s="1">
        <f>AVERAGE(W370:W374)</f>
        <v>4.9622075622336181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AI330"/>
  <sheetViews>
    <sheetView topLeftCell="A123" workbookViewId="0">
      <selection activeCell="V129" sqref="V129:V138"/>
    </sheetView>
  </sheetViews>
  <sheetFormatPr baseColWidth="10" defaultRowHeight="16" x14ac:dyDescent="0.2"/>
  <cols>
    <col min="3" max="5" width="12.1640625" bestFit="1" customWidth="1"/>
  </cols>
  <sheetData>
    <row r="2" spans="2:9" x14ac:dyDescent="0.2">
      <c r="C2" t="s">
        <v>32</v>
      </c>
    </row>
    <row r="3" spans="2:9" x14ac:dyDescent="0.2">
      <c r="C3" t="s">
        <v>5</v>
      </c>
      <c r="D3" t="s">
        <v>7</v>
      </c>
      <c r="E3" t="s">
        <v>6</v>
      </c>
      <c r="F3" t="s">
        <v>8</v>
      </c>
      <c r="G3" t="s">
        <v>12</v>
      </c>
      <c r="H3" t="s">
        <v>14</v>
      </c>
      <c r="I3" t="s">
        <v>13</v>
      </c>
    </row>
    <row r="4" spans="2:9" x14ac:dyDescent="0.2">
      <c r="B4">
        <v>800</v>
      </c>
      <c r="C4">
        <v>-9306.8025730000008</v>
      </c>
      <c r="D4">
        <v>39825.505864999999</v>
      </c>
      <c r="E4">
        <f>C4/2000</f>
        <v>-4.6534012865000003</v>
      </c>
      <c r="F4">
        <f>D4/2000</f>
        <v>19.912752932499998</v>
      </c>
      <c r="G4">
        <f>C4-2000*(I4*$E$41+(1-I4)*E$27)</f>
        <v>71.295241780000651</v>
      </c>
      <c r="H4">
        <f>G4/2000</f>
        <v>3.5647620890000328E-2</v>
      </c>
      <c r="I4">
        <f>442/2000</f>
        <v>0.221</v>
      </c>
    </row>
    <row r="5" spans="2:9" x14ac:dyDescent="0.2">
      <c r="C5">
        <v>-9302.2398880000001</v>
      </c>
      <c r="D5">
        <v>39842.483719999997</v>
      </c>
      <c r="E5">
        <f t="shared" ref="E5:F13" si="0">C5/2000</f>
        <v>-4.6511199440000004</v>
      </c>
      <c r="F5">
        <f t="shared" si="0"/>
        <v>19.921241859999999</v>
      </c>
      <c r="G5">
        <f t="shared" ref="G5:G12" si="1">C5-2000*(I5*$E$41+(1-I5)*E$27)</f>
        <v>73.167852190001213</v>
      </c>
      <c r="H5">
        <f t="shared" ref="H5:H13" si="2">G5/2000</f>
        <v>3.6583926095000607E-2</v>
      </c>
      <c r="I5">
        <f>441/2000</f>
        <v>0.2205</v>
      </c>
    </row>
    <row r="6" spans="2:9" x14ac:dyDescent="0.2">
      <c r="C6">
        <v>-9276.6714790000005</v>
      </c>
      <c r="D6">
        <v>39934.394353999996</v>
      </c>
      <c r="E6">
        <f t="shared" si="0"/>
        <v>-4.6383357395000004</v>
      </c>
      <c r="F6">
        <f t="shared" si="0"/>
        <v>19.967197176999999</v>
      </c>
      <c r="G6">
        <f t="shared" si="1"/>
        <v>74.525589880000553</v>
      </c>
      <c r="H6">
        <f t="shared" si="2"/>
        <v>3.7262794940000274E-2</v>
      </c>
      <c r="I6">
        <f>432/2000</f>
        <v>0.216</v>
      </c>
    </row>
    <row r="7" spans="2:9" x14ac:dyDescent="0.2">
      <c r="C7">
        <v>-9319.7235519999995</v>
      </c>
      <c r="D7">
        <v>39812.427554000002</v>
      </c>
      <c r="E7">
        <f t="shared" si="0"/>
        <v>-4.6598617759999996</v>
      </c>
      <c r="F7">
        <f t="shared" si="0"/>
        <v>19.906213777000001</v>
      </c>
      <c r="G7">
        <f t="shared" si="1"/>
        <v>74.514710320001541</v>
      </c>
      <c r="H7">
        <f t="shared" si="2"/>
        <v>3.7257355160000769E-2</v>
      </c>
      <c r="I7">
        <f>448/2000</f>
        <v>0.224</v>
      </c>
    </row>
    <row r="8" spans="2:9" x14ac:dyDescent="0.2">
      <c r="C8">
        <v>-9314.6335249999993</v>
      </c>
      <c r="D8">
        <v>39829.625033999997</v>
      </c>
      <c r="E8">
        <f t="shared" si="0"/>
        <v>-4.6573167624999998</v>
      </c>
      <c r="F8">
        <f t="shared" si="0"/>
        <v>19.914812516999998</v>
      </c>
      <c r="G8">
        <f t="shared" si="1"/>
        <v>76.91466273000151</v>
      </c>
      <c r="H8">
        <f t="shared" si="2"/>
        <v>3.8457331365000756E-2</v>
      </c>
      <c r="I8">
        <f>447/2000</f>
        <v>0.2235</v>
      </c>
    </row>
    <row r="9" spans="2:9" x14ac:dyDescent="0.2">
      <c r="C9">
        <v>-9313.1455719999994</v>
      </c>
      <c r="D9">
        <v>39821.214890000003</v>
      </c>
      <c r="E9">
        <f t="shared" si="0"/>
        <v>-4.6565727859999999</v>
      </c>
      <c r="F9">
        <f t="shared" si="0"/>
        <v>19.910607445</v>
      </c>
      <c r="G9">
        <f t="shared" si="1"/>
        <v>73.0224665500009</v>
      </c>
      <c r="H9">
        <f t="shared" si="2"/>
        <v>3.651123327500045E-2</v>
      </c>
      <c r="I9">
        <f>445/2000</f>
        <v>0.2225</v>
      </c>
    </row>
    <row r="10" spans="2:9" x14ac:dyDescent="0.2">
      <c r="C10">
        <v>-9418.8026840000002</v>
      </c>
      <c r="D10">
        <v>39546.948965000003</v>
      </c>
      <c r="E10">
        <f t="shared" si="0"/>
        <v>-4.7094013420000005</v>
      </c>
      <c r="F10">
        <f t="shared" si="0"/>
        <v>19.773474482500003</v>
      </c>
      <c r="G10">
        <f t="shared" si="1"/>
        <v>77.65841274000195</v>
      </c>
      <c r="H10">
        <f t="shared" si="2"/>
        <v>3.8829206370000972E-2</v>
      </c>
      <c r="I10">
        <f>486/2000</f>
        <v>0.24299999999999999</v>
      </c>
    </row>
    <row r="11" spans="2:9" x14ac:dyDescent="0.2">
      <c r="C11">
        <v>-9335.1075380000002</v>
      </c>
      <c r="D11">
        <v>39770.491970000003</v>
      </c>
      <c r="E11">
        <f t="shared" si="0"/>
        <v>-4.6675537690000004</v>
      </c>
      <c r="F11">
        <f t="shared" si="0"/>
        <v>19.885245985000001</v>
      </c>
      <c r="G11">
        <f t="shared" si="1"/>
        <v>77.961246450000544</v>
      </c>
      <c r="H11">
        <f t="shared" si="2"/>
        <v>3.8980623225000274E-2</v>
      </c>
      <c r="I11">
        <f>455/2000</f>
        <v>0.22750000000000001</v>
      </c>
    </row>
    <row r="12" spans="2:9" x14ac:dyDescent="0.2">
      <c r="C12">
        <v>-9352.1301789999998</v>
      </c>
      <c r="D12">
        <v>39714.899395</v>
      </c>
      <c r="E12">
        <f t="shared" si="0"/>
        <v>-4.6760650894999998</v>
      </c>
      <c r="F12">
        <f t="shared" si="0"/>
        <v>19.857449697500002</v>
      </c>
      <c r="G12">
        <f t="shared" si="1"/>
        <v>79.769127580002532</v>
      </c>
      <c r="H12">
        <f t="shared" si="2"/>
        <v>3.9884563790001264E-2</v>
      </c>
      <c r="I12">
        <f>462/2000</f>
        <v>0.23100000000000001</v>
      </c>
    </row>
    <row r="13" spans="2:9" x14ac:dyDescent="0.2">
      <c r="C13">
        <v>-9263.8331170000001</v>
      </c>
      <c r="D13">
        <v>39938.199430000001</v>
      </c>
      <c r="E13">
        <f t="shared" si="0"/>
        <v>-4.6319165585000004</v>
      </c>
      <c r="F13">
        <f t="shared" si="0"/>
        <v>19.969099714999999</v>
      </c>
      <c r="G13">
        <f>C13-2000*(I13*$E$41+(1-I13)*E$27)</f>
        <v>71.223504340001455</v>
      </c>
      <c r="H13">
        <f t="shared" si="2"/>
        <v>3.5611752170000725E-2</v>
      </c>
      <c r="I13">
        <f>426/2000</f>
        <v>0.21299999999999999</v>
      </c>
    </row>
    <row r="15" spans="2:9" x14ac:dyDescent="0.2">
      <c r="C15" t="s">
        <v>29</v>
      </c>
    </row>
    <row r="16" spans="2:9" x14ac:dyDescent="0.2">
      <c r="B16">
        <v>800</v>
      </c>
      <c r="C16" t="s">
        <v>5</v>
      </c>
      <c r="D16" t="s">
        <v>7</v>
      </c>
      <c r="E16" t="s">
        <v>6</v>
      </c>
      <c r="F16" t="s">
        <v>8</v>
      </c>
      <c r="G16" t="s">
        <v>9</v>
      </c>
    </row>
    <row r="17" spans="2:35" x14ac:dyDescent="0.2">
      <c r="C17">
        <v>-8187.6806260000003</v>
      </c>
      <c r="D17">
        <v>43544.009789999996</v>
      </c>
      <c r="E17">
        <f>C17/2000</f>
        <v>-4.0938403130000003</v>
      </c>
      <c r="F17">
        <f>D17/2000</f>
        <v>21.772004894999998</v>
      </c>
      <c r="G17">
        <f>(F17*2)^(1/3)</f>
        <v>3.5181104751618117</v>
      </c>
    </row>
    <row r="18" spans="2:35" x14ac:dyDescent="0.2">
      <c r="C18">
        <v>-8188.3992859999998</v>
      </c>
      <c r="D18">
        <v>43557.890557999999</v>
      </c>
      <c r="E18">
        <f t="shared" ref="E18:E26" si="3">C18/2000</f>
        <v>-4.0941996429999996</v>
      </c>
      <c r="F18">
        <f t="shared" ref="F18:F26" si="4">D18/2000</f>
        <v>21.778945278999998</v>
      </c>
      <c r="G18">
        <f t="shared" ref="G18:G26" si="5">(F18*2)^(1/3)</f>
        <v>3.5184842647096048</v>
      </c>
    </row>
    <row r="19" spans="2:35" x14ac:dyDescent="0.2">
      <c r="C19">
        <v>-8190.3256819999997</v>
      </c>
      <c r="D19">
        <v>43556.268297000002</v>
      </c>
      <c r="E19">
        <f t="shared" si="3"/>
        <v>-4.0951628409999996</v>
      </c>
      <c r="F19">
        <f t="shared" si="4"/>
        <v>21.778134148500001</v>
      </c>
      <c r="G19">
        <f t="shared" si="5"/>
        <v>3.5184405836023753</v>
      </c>
    </row>
    <row r="20" spans="2:35" x14ac:dyDescent="0.2">
      <c r="C20">
        <v>-8189.7406609999998</v>
      </c>
      <c r="D20">
        <v>43559.323049999999</v>
      </c>
      <c r="E20">
        <f t="shared" si="3"/>
        <v>-4.0948703305</v>
      </c>
      <c r="F20">
        <f t="shared" si="4"/>
        <v>21.779661524999998</v>
      </c>
      <c r="G20">
        <f t="shared" si="5"/>
        <v>3.518522835182488</v>
      </c>
      <c r="J20" t="s">
        <v>16</v>
      </c>
      <c r="V20" t="s">
        <v>25</v>
      </c>
      <c r="W20" t="s">
        <v>24</v>
      </c>
    </row>
    <row r="21" spans="2:35" x14ac:dyDescent="0.2">
      <c r="C21">
        <v>-8187.4967310000002</v>
      </c>
      <c r="D21">
        <v>43545.151812999997</v>
      </c>
      <c r="E21">
        <f t="shared" si="3"/>
        <v>-4.0937483654999998</v>
      </c>
      <c r="F21">
        <f t="shared" si="4"/>
        <v>21.772575906499998</v>
      </c>
      <c r="G21">
        <f t="shared" si="5"/>
        <v>3.5181412312326965</v>
      </c>
      <c r="J21" t="s">
        <v>18</v>
      </c>
      <c r="K21" t="s">
        <v>5</v>
      </c>
      <c r="L21" t="s">
        <v>7</v>
      </c>
      <c r="M21" t="s">
        <v>19</v>
      </c>
      <c r="N21" t="s">
        <v>20</v>
      </c>
      <c r="O21" t="s">
        <v>21</v>
      </c>
      <c r="P21" t="s">
        <v>22</v>
      </c>
      <c r="Q21" t="s">
        <v>4</v>
      </c>
      <c r="R21" t="s">
        <v>10</v>
      </c>
      <c r="S21" t="s">
        <v>13</v>
      </c>
      <c r="T21" t="s">
        <v>26</v>
      </c>
      <c r="U21" t="s">
        <v>12</v>
      </c>
      <c r="V21" t="s">
        <v>23</v>
      </c>
      <c r="W21" t="s">
        <v>23</v>
      </c>
      <c r="AG21" t="s">
        <v>32</v>
      </c>
      <c r="AH21">
        <v>800</v>
      </c>
      <c r="AI21">
        <v>1000</v>
      </c>
    </row>
    <row r="22" spans="2:35" x14ac:dyDescent="0.2">
      <c r="C22">
        <v>-8190.7937979999997</v>
      </c>
      <c r="D22">
        <v>43570.058401000002</v>
      </c>
      <c r="E22">
        <f t="shared" si="3"/>
        <v>-4.0953968989999998</v>
      </c>
      <c r="F22">
        <f t="shared" si="4"/>
        <v>21.785029200500002</v>
      </c>
      <c r="G22">
        <f t="shared" si="5"/>
        <v>3.5188118622866389</v>
      </c>
      <c r="I22" t="s">
        <v>17</v>
      </c>
      <c r="J22">
        <v>693.94192799999996</v>
      </c>
      <c r="K22">
        <v>-17507.478397999999</v>
      </c>
      <c r="L22">
        <v>75465.948539999998</v>
      </c>
      <c r="M22">
        <v>-0.75961599999999996</v>
      </c>
      <c r="N22">
        <v>30.607465999999999</v>
      </c>
      <c r="O22">
        <v>90.659251999999995</v>
      </c>
      <c r="P22">
        <v>27.196476000000001</v>
      </c>
      <c r="Q22">
        <v>2940</v>
      </c>
      <c r="R22">
        <v>836</v>
      </c>
      <c r="S22">
        <f>R22/(R22+Q22)</f>
        <v>0.22139830508474576</v>
      </c>
      <c r="T22">
        <f>-4.0853-2.5639*S22</f>
        <v>-4.6529431144067797</v>
      </c>
      <c r="U22">
        <f>K22-(SUM(Q22:R22)*T22)</f>
        <v>62.034802000001946</v>
      </c>
      <c r="V22">
        <f>U22/(2*N22*P22)</f>
        <v>3.7261934260790053E-2</v>
      </c>
      <c r="W22">
        <f>V22*16.02</f>
        <v>0.59693618685785665</v>
      </c>
      <c r="AG22" t="s">
        <v>17</v>
      </c>
      <c r="AH22" s="1">
        <v>0.58278863997256292</v>
      </c>
      <c r="AI22" s="12">
        <v>0.61756022687230505</v>
      </c>
    </row>
    <row r="23" spans="2:35" x14ac:dyDescent="0.2">
      <c r="C23">
        <v>-8188.896866</v>
      </c>
      <c r="D23">
        <v>43553.402118999998</v>
      </c>
      <c r="E23">
        <f t="shared" si="3"/>
        <v>-4.0944484330000002</v>
      </c>
      <c r="F23">
        <f t="shared" si="4"/>
        <v>21.776701059499999</v>
      </c>
      <c r="G23">
        <f t="shared" si="5"/>
        <v>3.5183634060525284</v>
      </c>
      <c r="J23">
        <v>694.10965999999996</v>
      </c>
      <c r="K23">
        <v>-17499.382683</v>
      </c>
      <c r="L23">
        <v>75515.394518000001</v>
      </c>
      <c r="M23">
        <v>-0.67106500000000002</v>
      </c>
      <c r="N23">
        <v>30.577404000000001</v>
      </c>
      <c r="O23">
        <v>90.625494000000003</v>
      </c>
      <c r="P23">
        <v>27.251193000000001</v>
      </c>
      <c r="Q23">
        <v>2944</v>
      </c>
      <c r="R23">
        <v>832</v>
      </c>
      <c r="S23">
        <f>R23/(R23+Q23)</f>
        <v>0.22033898305084745</v>
      </c>
      <c r="T23">
        <f>-4.0853-2.5639*S23</f>
        <v>-4.650227118644068</v>
      </c>
      <c r="U23">
        <f>K23-(SUM(Q23:R23)*T23)</f>
        <v>59.874917000001005</v>
      </c>
      <c r="V23">
        <f>U23/(2*N23*P23)</f>
        <v>3.5927648890560403E-2</v>
      </c>
      <c r="W23">
        <f>V23*16.02</f>
        <v>0.57556093522677765</v>
      </c>
      <c r="AG23" s="9" t="s">
        <v>27</v>
      </c>
      <c r="AH23" s="1">
        <v>0.56793755941912116</v>
      </c>
      <c r="AI23" s="12">
        <v>0.61612820111448774</v>
      </c>
    </row>
    <row r="24" spans="2:35" ht="17" thickBot="1" x14ac:dyDescent="0.25">
      <c r="C24">
        <v>-8188.4809580000001</v>
      </c>
      <c r="D24">
        <v>43556.346983000003</v>
      </c>
      <c r="E24">
        <f t="shared" si="3"/>
        <v>-4.0942404789999998</v>
      </c>
      <c r="F24">
        <f t="shared" si="4"/>
        <v>21.778173491500002</v>
      </c>
      <c r="G24">
        <f t="shared" si="5"/>
        <v>3.5184427023318552</v>
      </c>
      <c r="J24">
        <v>694.03900399999998</v>
      </c>
      <c r="K24">
        <v>-17507.591763</v>
      </c>
      <c r="L24">
        <v>75462.929241999998</v>
      </c>
      <c r="M24">
        <v>-0.79363700000000004</v>
      </c>
      <c r="N24">
        <v>30.60089</v>
      </c>
      <c r="O24">
        <v>90.518694999999994</v>
      </c>
      <c r="P24">
        <v>27.243462999999998</v>
      </c>
      <c r="Q24">
        <v>2940</v>
      </c>
      <c r="R24">
        <v>836</v>
      </c>
      <c r="S24">
        <f>R24/(R24+Q24)</f>
        <v>0.22139830508474576</v>
      </c>
      <c r="T24">
        <f>-4.0853-2.5639*S24</f>
        <v>-4.6529431144067797</v>
      </c>
      <c r="U24">
        <f>K24-(SUM(Q24:R24)*T24)</f>
        <v>61.921437000000878</v>
      </c>
      <c r="V24">
        <f>U24/(2*N24*P24)</f>
        <v>3.7137670761755726E-2</v>
      </c>
      <c r="W24">
        <f>V24*16.02</f>
        <v>0.59494548560332672</v>
      </c>
      <c r="AG24" s="13" t="s">
        <v>28</v>
      </c>
      <c r="AH24" s="1">
        <v>0.62778922542236193</v>
      </c>
      <c r="AI24" s="14">
        <v>0.70431986248352785</v>
      </c>
    </row>
    <row r="25" spans="2:35" ht="17" thickBot="1" x14ac:dyDescent="0.25">
      <c r="C25">
        <v>-8189.2378630000003</v>
      </c>
      <c r="D25">
        <v>43558.800710000003</v>
      </c>
      <c r="E25">
        <f t="shared" si="3"/>
        <v>-4.0946189315000003</v>
      </c>
      <c r="F25">
        <f t="shared" si="4"/>
        <v>21.779400355</v>
      </c>
      <c r="G25">
        <f t="shared" si="5"/>
        <v>3.5185087710477609</v>
      </c>
      <c r="J25">
        <v>694.04927499999997</v>
      </c>
      <c r="K25">
        <v>-17483.588033</v>
      </c>
      <c r="L25">
        <v>75526.758853000007</v>
      </c>
      <c r="M25">
        <v>-0.76167200000000002</v>
      </c>
      <c r="N25">
        <v>30.631191999999999</v>
      </c>
      <c r="O25">
        <v>90.600131000000005</v>
      </c>
      <c r="P25">
        <v>27.215047999999999</v>
      </c>
      <c r="Q25">
        <v>2951</v>
      </c>
      <c r="R25">
        <v>825</v>
      </c>
      <c r="S25">
        <f>R25/(R25+Q25)</f>
        <v>0.21848516949152541</v>
      </c>
      <c r="T25">
        <f>-4.0853-2.5639*S25</f>
        <v>-4.6454741260593222</v>
      </c>
      <c r="U25">
        <f>K25-(SUM(Q25:R25)*T25)</f>
        <v>57.722267000001011</v>
      </c>
      <c r="V25">
        <f>U25/(2*N25*P25)</f>
        <v>3.4621061667041902E-2</v>
      </c>
      <c r="W25">
        <f>V25*16.02</f>
        <v>0.55462940790601123</v>
      </c>
    </row>
    <row r="26" spans="2:35" x14ac:dyDescent="0.2">
      <c r="C26">
        <v>-8189.7959890000002</v>
      </c>
      <c r="D26">
        <v>43569.226376999999</v>
      </c>
      <c r="E26">
        <f t="shared" si="3"/>
        <v>-4.0948979945000001</v>
      </c>
      <c r="F26">
        <f t="shared" si="4"/>
        <v>21.7846131885</v>
      </c>
      <c r="G26">
        <f t="shared" si="5"/>
        <v>3.5187894634599766</v>
      </c>
      <c r="J26">
        <v>694.10877800000003</v>
      </c>
      <c r="K26">
        <v>-17459.193604</v>
      </c>
      <c r="L26">
        <v>75609.807279999994</v>
      </c>
      <c r="M26">
        <v>-0.72544699999999995</v>
      </c>
      <c r="N26">
        <v>30.640630999999999</v>
      </c>
      <c r="O26">
        <v>90.688919999999996</v>
      </c>
      <c r="P26">
        <v>27.209907999999999</v>
      </c>
      <c r="Q26">
        <v>2959</v>
      </c>
      <c r="R26">
        <v>817</v>
      </c>
      <c r="S26">
        <f>R26/(R26+Q26)</f>
        <v>0.21636652542372881</v>
      </c>
      <c r="T26">
        <f>-4.0853-2.5639*S26</f>
        <v>-4.640042134533898</v>
      </c>
      <c r="U26">
        <f>K26-(SUM(Q26:R26)*T26)</f>
        <v>61.60549600000013</v>
      </c>
      <c r="V26">
        <f>U26/(2*N26*P26)</f>
        <v>3.6945766808292278E-2</v>
      </c>
      <c r="W26">
        <f>V26*16.02</f>
        <v>0.59187118426884233</v>
      </c>
      <c r="Y26" s="6" t="s">
        <v>34</v>
      </c>
      <c r="Z26" s="7"/>
      <c r="AA26" s="7"/>
      <c r="AB26" s="7"/>
      <c r="AC26" s="7"/>
      <c r="AD26" s="7"/>
      <c r="AE26" s="8"/>
      <c r="AG26" t="s">
        <v>29</v>
      </c>
      <c r="AH26">
        <v>800</v>
      </c>
      <c r="AI26">
        <v>1000</v>
      </c>
    </row>
    <row r="27" spans="2:35" x14ac:dyDescent="0.2">
      <c r="C27">
        <f>AVERAGE(C17:C26)</f>
        <v>-8189.0848460000007</v>
      </c>
      <c r="D27">
        <f>AVERAGE(D17:D26)</f>
        <v>43557.047809799995</v>
      </c>
      <c r="E27">
        <f>AVERAGE(E17:E26)</f>
        <v>-4.0945424230000009</v>
      </c>
      <c r="F27">
        <f>AVERAGE(F17:F26)</f>
        <v>21.778523904900002</v>
      </c>
      <c r="G27">
        <f>AVERAGE(G17:G26)</f>
        <v>3.5184615595067741</v>
      </c>
      <c r="W27" s="1">
        <f>AVERAGE(W22:W26)</f>
        <v>0.58278863997256292</v>
      </c>
      <c r="Y27" s="9"/>
      <c r="Z27" s="10" t="s">
        <v>32</v>
      </c>
      <c r="AA27" s="10"/>
      <c r="AB27" s="10"/>
      <c r="AC27" s="10" t="s">
        <v>29</v>
      </c>
      <c r="AD27" s="10" t="s">
        <v>30</v>
      </c>
      <c r="AE27" s="11" t="s">
        <v>61</v>
      </c>
      <c r="AG27" t="s">
        <v>17</v>
      </c>
      <c r="AH27" s="1">
        <v>0.47340373055181895</v>
      </c>
      <c r="AI27" s="12">
        <v>0.6589683883469275</v>
      </c>
    </row>
    <row r="28" spans="2:35" x14ac:dyDescent="0.2">
      <c r="I28" t="s">
        <v>27</v>
      </c>
      <c r="J28">
        <v>743.78895</v>
      </c>
      <c r="K28">
        <v>-13366.867593999999</v>
      </c>
      <c r="L28">
        <v>57532.275750000001</v>
      </c>
      <c r="M28">
        <v>-1.211768</v>
      </c>
      <c r="N28">
        <v>32.395353999999998</v>
      </c>
      <c r="O28">
        <v>130.27361500000001</v>
      </c>
      <c r="P28">
        <v>13.632438</v>
      </c>
      <c r="Q28">
        <v>2243</v>
      </c>
      <c r="R28">
        <v>637</v>
      </c>
      <c r="S28">
        <f>R28/(R28+Q28)</f>
        <v>0.22118055555555555</v>
      </c>
      <c r="T28">
        <f>-4.0853-2.5639*S28</f>
        <v>-4.6523848263888894</v>
      </c>
      <c r="U28">
        <f>K28-(SUM(Q28:R28)*T28)</f>
        <v>32.000706000002538</v>
      </c>
      <c r="V28">
        <f>U28/(2*N28*P28)</f>
        <v>3.6230414519389728E-2</v>
      </c>
      <c r="W28">
        <f>V28*16.02</f>
        <v>0.58041124060062343</v>
      </c>
      <c r="Y28" s="9" t="s">
        <v>17</v>
      </c>
      <c r="Z28" s="12">
        <v>0.61756022687230505</v>
      </c>
      <c r="AA28" s="12"/>
      <c r="AB28" s="12"/>
      <c r="AC28" s="12">
        <v>0.6589683883469275</v>
      </c>
      <c r="AD28" s="12">
        <v>1.6509298751377071</v>
      </c>
      <c r="AE28" s="11">
        <f>AC28-AD28</f>
        <v>-0.99196148679077956</v>
      </c>
      <c r="AG28" s="9" t="s">
        <v>27</v>
      </c>
      <c r="AH28" s="1">
        <v>0.41052044705238649</v>
      </c>
      <c r="AI28" s="12">
        <v>0.44525043611822995</v>
      </c>
    </row>
    <row r="29" spans="2:35" ht="17" thickBot="1" x14ac:dyDescent="0.25">
      <c r="C29" t="s">
        <v>30</v>
      </c>
      <c r="J29">
        <v>743.90809999999999</v>
      </c>
      <c r="K29">
        <v>-13326.570632000001</v>
      </c>
      <c r="L29">
        <v>57644.212031000003</v>
      </c>
      <c r="M29">
        <v>-1.046951</v>
      </c>
      <c r="N29">
        <v>32.423710999999997</v>
      </c>
      <c r="O29">
        <v>130.41170500000001</v>
      </c>
      <c r="P29">
        <v>13.632567999999999</v>
      </c>
      <c r="Q29">
        <v>2259</v>
      </c>
      <c r="R29">
        <v>621</v>
      </c>
      <c r="S29">
        <f>R29/(R29+Q29)</f>
        <v>0.21562500000000001</v>
      </c>
      <c r="T29">
        <f>-4.0853-2.5639*S29</f>
        <v>-4.6381409375000002</v>
      </c>
      <c r="U29">
        <f>K29-(SUM(Q29:R29)*T29)</f>
        <v>31.275267999999414</v>
      </c>
      <c r="V29">
        <f>U29/(2*N29*P29)</f>
        <v>3.5377786099621999E-2</v>
      </c>
      <c r="W29">
        <f>V29*16.02</f>
        <v>0.56675213331594443</v>
      </c>
      <c r="Y29" s="9" t="s">
        <v>27</v>
      </c>
      <c r="Z29" s="12">
        <v>0.61612820111448774</v>
      </c>
      <c r="AA29" s="12"/>
      <c r="AB29" s="12"/>
      <c r="AC29" s="12">
        <v>0.44525043611822995</v>
      </c>
      <c r="AD29" s="12">
        <v>1.567892244649546</v>
      </c>
      <c r="AE29" s="11">
        <f>AC29-AD29</f>
        <v>-1.1226418085313161</v>
      </c>
      <c r="AG29" s="13" t="s">
        <v>28</v>
      </c>
      <c r="AH29" s="1">
        <v>0.49137460359161345</v>
      </c>
      <c r="AI29" s="14">
        <v>0.6045250476861147</v>
      </c>
    </row>
    <row r="30" spans="2:35" ht="17" thickBot="1" x14ac:dyDescent="0.25">
      <c r="B30">
        <v>800</v>
      </c>
      <c r="C30" t="s">
        <v>5</v>
      </c>
      <c r="D30" t="s">
        <v>7</v>
      </c>
      <c r="E30" t="s">
        <v>6</v>
      </c>
      <c r="F30" t="s">
        <v>8</v>
      </c>
      <c r="G30" t="s">
        <v>9</v>
      </c>
      <c r="J30">
        <v>743.66586800000005</v>
      </c>
      <c r="K30">
        <v>-13365.797982</v>
      </c>
      <c r="L30">
        <v>57515.395949999998</v>
      </c>
      <c r="M30">
        <v>-1.3197760000000001</v>
      </c>
      <c r="N30">
        <v>32.400705000000002</v>
      </c>
      <c r="O30">
        <v>130.28543500000001</v>
      </c>
      <c r="P30">
        <v>13.624973000000001</v>
      </c>
      <c r="Q30">
        <v>2245</v>
      </c>
      <c r="R30">
        <v>635</v>
      </c>
      <c r="S30">
        <f>R30/(R30+Q30)</f>
        <v>0.2204861111111111</v>
      </c>
      <c r="T30">
        <f>-4.0853-2.5639*S30</f>
        <v>-4.6506043402777779</v>
      </c>
      <c r="U30">
        <f>K30-(SUM(Q30:R30)*T30)</f>
        <v>27.942517999999836</v>
      </c>
      <c r="V30">
        <f>U30/(2*N30*P30)</f>
        <v>3.164793903722956E-2</v>
      </c>
      <c r="W30">
        <f>V30*16.02</f>
        <v>0.5069999833764175</v>
      </c>
      <c r="Y30" s="13" t="s">
        <v>28</v>
      </c>
      <c r="Z30" s="14">
        <v>0.70431986248352785</v>
      </c>
      <c r="AA30" s="14"/>
      <c r="AB30" s="14"/>
      <c r="AC30" s="14">
        <v>0.6045250476861147</v>
      </c>
      <c r="AD30" s="14">
        <v>1.6235614441851876</v>
      </c>
      <c r="AE30" s="15">
        <f>AC30-AD30</f>
        <v>-1.019036396499073</v>
      </c>
    </row>
    <row r="31" spans="2:35" x14ac:dyDescent="0.2">
      <c r="C31">
        <v>-13569.036531</v>
      </c>
      <c r="D31">
        <v>31764.081126000001</v>
      </c>
      <c r="E31">
        <f>C31/2000</f>
        <v>-6.7845182655</v>
      </c>
      <c r="F31">
        <f>D31/2000</f>
        <v>15.882040563</v>
      </c>
      <c r="G31">
        <f>(F31*2)^(1/3)</f>
        <v>3.1669808126657628</v>
      </c>
      <c r="J31">
        <v>743.90804900000001</v>
      </c>
      <c r="K31">
        <v>-13334.567546</v>
      </c>
      <c r="L31">
        <v>57610.992445999997</v>
      </c>
      <c r="M31">
        <v>-1.2744409999999999</v>
      </c>
      <c r="N31">
        <v>32.428508999999998</v>
      </c>
      <c r="O31">
        <v>130.227621</v>
      </c>
      <c r="P31">
        <v>13.641953000000001</v>
      </c>
      <c r="Q31">
        <v>2255</v>
      </c>
      <c r="R31">
        <v>625</v>
      </c>
      <c r="S31">
        <f>R31/(R31+Q31)</f>
        <v>0.2170138888888889</v>
      </c>
      <c r="T31">
        <f>-4.0853-2.5639*S31</f>
        <v>-4.6417019097222223</v>
      </c>
      <c r="U31">
        <f>K31-(SUM(Q31:R31)*T31)</f>
        <v>33.533954000000449</v>
      </c>
      <c r="V31">
        <f>U31/(2*N31*P31)</f>
        <v>3.7901049723572389E-2</v>
      </c>
      <c r="W31">
        <f>V31*16.02</f>
        <v>0.60717481657162964</v>
      </c>
      <c r="AG31" t="s">
        <v>30</v>
      </c>
      <c r="AH31">
        <v>800</v>
      </c>
      <c r="AI31">
        <v>1000</v>
      </c>
    </row>
    <row r="32" spans="2:35" ht="17" thickBot="1" x14ac:dyDescent="0.25">
      <c r="C32">
        <v>-13569.157214000001</v>
      </c>
      <c r="D32">
        <v>31763.883364000001</v>
      </c>
      <c r="E32">
        <f t="shared" ref="E32:E40" si="6">C32/2000</f>
        <v>-6.7845786070000003</v>
      </c>
      <c r="F32">
        <f t="shared" ref="F32:F40" si="7">D32/2000</f>
        <v>15.881941682000001</v>
      </c>
      <c r="G32">
        <f t="shared" ref="G32:G40" si="8">(F32*2)^(1/3)</f>
        <v>3.1669742401501297</v>
      </c>
      <c r="J32">
        <v>743.85763099999997</v>
      </c>
      <c r="K32">
        <v>-13346.476086000001</v>
      </c>
      <c r="L32">
        <v>57576.201430000001</v>
      </c>
      <c r="M32">
        <v>-1.166639</v>
      </c>
      <c r="N32">
        <v>32.442875999999998</v>
      </c>
      <c r="O32">
        <v>130.39770100000001</v>
      </c>
      <c r="P32">
        <v>13.609897</v>
      </c>
      <c r="Q32">
        <v>2251</v>
      </c>
      <c r="R32">
        <v>629</v>
      </c>
      <c r="S32">
        <f>R32/(R32+Q32)</f>
        <v>0.21840277777777778</v>
      </c>
      <c r="T32">
        <f>-4.0853-2.5639*S32</f>
        <v>-4.6452628819444444</v>
      </c>
      <c r="U32">
        <f>K32-(SUM(Q32:R32)*T32)</f>
        <v>31.881013999998686</v>
      </c>
      <c r="V32">
        <f>U32/(2*N32*P32)</f>
        <v>3.6101724296566218E-2</v>
      </c>
      <c r="W32">
        <f>V32*16.02</f>
        <v>0.57834962323099082</v>
      </c>
      <c r="AG32" t="s">
        <v>17</v>
      </c>
      <c r="AH32" s="1">
        <v>1.6166045715023087</v>
      </c>
      <c r="AI32" s="12">
        <v>1.6509298751377071</v>
      </c>
    </row>
    <row r="33" spans="3:35" x14ac:dyDescent="0.2">
      <c r="C33">
        <v>-13569.355439999999</v>
      </c>
      <c r="D33">
        <v>31763.396919999999</v>
      </c>
      <c r="E33">
        <f t="shared" si="6"/>
        <v>-6.7846777199999995</v>
      </c>
      <c r="F33">
        <f t="shared" si="7"/>
        <v>15.881698459999999</v>
      </c>
      <c r="G33">
        <f t="shared" si="8"/>
        <v>3.166958073324599</v>
      </c>
      <c r="W33" s="1">
        <f>AVERAGE(W28:W32)</f>
        <v>0.56793755941912116</v>
      </c>
      <c r="Y33" s="6" t="s">
        <v>68</v>
      </c>
      <c r="Z33" s="7"/>
      <c r="AA33" s="7"/>
      <c r="AB33" s="7"/>
      <c r="AC33" s="7"/>
      <c r="AD33" s="7"/>
      <c r="AE33" s="8"/>
      <c r="AG33" s="9" t="s">
        <v>27</v>
      </c>
      <c r="AH33" s="1">
        <v>1.551869770910125</v>
      </c>
      <c r="AI33" s="12">
        <v>1.567892244649546</v>
      </c>
    </row>
    <row r="34" spans="3:35" ht="17" thickBot="1" x14ac:dyDescent="0.25">
      <c r="C34">
        <v>-13569.286969999999</v>
      </c>
      <c r="D34">
        <v>31763.916251999999</v>
      </c>
      <c r="E34">
        <f t="shared" si="6"/>
        <v>-6.7846434849999993</v>
      </c>
      <c r="F34">
        <f t="shared" si="7"/>
        <v>15.881958125999999</v>
      </c>
      <c r="G34">
        <f t="shared" si="8"/>
        <v>3.1669753331673327</v>
      </c>
      <c r="I34" t="s">
        <v>28</v>
      </c>
      <c r="J34">
        <v>744.01494700000001</v>
      </c>
      <c r="K34">
        <v>-11506.838027</v>
      </c>
      <c r="L34">
        <v>49255.813074999998</v>
      </c>
      <c r="M34">
        <v>-1.429613</v>
      </c>
      <c r="N34">
        <v>34.842281999999997</v>
      </c>
      <c r="O34">
        <v>138.36603400000001</v>
      </c>
      <c r="P34">
        <v>10.217003</v>
      </c>
      <c r="Q34">
        <v>1913</v>
      </c>
      <c r="R34">
        <v>559</v>
      </c>
      <c r="S34">
        <f>R34/(R34+Q34)</f>
        <v>0.22613268608414239</v>
      </c>
      <c r="T34">
        <f>-4.0853-2.5639*S34</f>
        <v>-4.6650815938511325</v>
      </c>
      <c r="U34">
        <f>K34-(SUM(Q34:R34)*T34)</f>
        <v>25.243672999999035</v>
      </c>
      <c r="V34">
        <f>U34/(2*N34*P34)</f>
        <v>3.5456220354744515E-2</v>
      </c>
      <c r="W34">
        <f>V34*16.02</f>
        <v>0.56800865008300716</v>
      </c>
      <c r="Y34" s="9"/>
      <c r="Z34" s="10" t="s">
        <v>32</v>
      </c>
      <c r="AA34" s="10" t="s">
        <v>72</v>
      </c>
      <c r="AB34" s="10" t="s">
        <v>73</v>
      </c>
      <c r="AC34" s="10" t="s">
        <v>29</v>
      </c>
      <c r="AD34" s="10" t="s">
        <v>30</v>
      </c>
      <c r="AE34" s="11" t="s">
        <v>61</v>
      </c>
      <c r="AG34" s="13" t="s">
        <v>28</v>
      </c>
      <c r="AH34" s="1">
        <v>1.6229690429764296</v>
      </c>
      <c r="AI34" s="14">
        <v>1.6235614441851876</v>
      </c>
    </row>
    <row r="35" spans="3:35" x14ac:dyDescent="0.2">
      <c r="C35">
        <v>-13569.356605000001</v>
      </c>
      <c r="D35">
        <v>31763.580844</v>
      </c>
      <c r="E35">
        <f t="shared" si="6"/>
        <v>-6.7846783025000006</v>
      </c>
      <c r="F35">
        <f t="shared" si="7"/>
        <v>15.881790422</v>
      </c>
      <c r="G35">
        <f t="shared" si="8"/>
        <v>3.1669641860049054</v>
      </c>
      <c r="J35">
        <v>743.70349699999997</v>
      </c>
      <c r="K35">
        <v>-11465.225608000001</v>
      </c>
      <c r="L35">
        <v>49376.021988</v>
      </c>
      <c r="M35">
        <v>-1.299534</v>
      </c>
      <c r="N35">
        <v>34.898766999999999</v>
      </c>
      <c r="O35">
        <v>138.27444</v>
      </c>
      <c r="P35">
        <v>10.232129</v>
      </c>
      <c r="Q35">
        <v>1928</v>
      </c>
      <c r="R35">
        <v>544</v>
      </c>
      <c r="S35">
        <f>R35/(R35+Q35)</f>
        <v>0.22006472491909385</v>
      </c>
      <c r="T35">
        <f>-4.0853-2.5639*S35</f>
        <v>-4.6495239482200645</v>
      </c>
      <c r="U35">
        <f>K35-(SUM(Q35:R35)*T35)</f>
        <v>28.397591999999349</v>
      </c>
      <c r="V35">
        <f>U35/(2*N35*P35)</f>
        <v>3.9762659981264839E-2</v>
      </c>
      <c r="W35">
        <f>V35*16.02</f>
        <v>0.63699781289986268</v>
      </c>
      <c r="Y35" s="9" t="s">
        <v>17</v>
      </c>
      <c r="Z35" s="1">
        <v>0.58278863997256292</v>
      </c>
      <c r="AA35" s="1">
        <v>0.53424397234263099</v>
      </c>
      <c r="AB35" s="1"/>
      <c r="AC35" s="1">
        <v>0.47340373055181895</v>
      </c>
      <c r="AD35" s="1">
        <v>1.6166045715023087</v>
      </c>
      <c r="AE35" s="11">
        <f>AC35-AD35</f>
        <v>-1.1432008409504899</v>
      </c>
    </row>
    <row r="36" spans="3:35" x14ac:dyDescent="0.2">
      <c r="C36">
        <v>-13569.602022999999</v>
      </c>
      <c r="D36">
        <v>31762.803389000001</v>
      </c>
      <c r="E36">
        <f t="shared" si="6"/>
        <v>-6.7848010114999999</v>
      </c>
      <c r="F36">
        <f t="shared" si="7"/>
        <v>15.881401694500001</v>
      </c>
      <c r="G36">
        <f t="shared" si="8"/>
        <v>3.1669383472700567</v>
      </c>
      <c r="J36">
        <v>744.01898600000004</v>
      </c>
      <c r="K36">
        <v>-11468.154146000001</v>
      </c>
      <c r="L36">
        <v>49377.237787999999</v>
      </c>
      <c r="M36">
        <v>-1.3809560000000001</v>
      </c>
      <c r="N36">
        <v>34.881163000000001</v>
      </c>
      <c r="O36">
        <v>138.61864399999999</v>
      </c>
      <c r="P36">
        <v>10.212135</v>
      </c>
      <c r="Q36">
        <v>1928</v>
      </c>
      <c r="R36">
        <v>544</v>
      </c>
      <c r="S36">
        <f>R36/(R36+Q36)</f>
        <v>0.22006472491909385</v>
      </c>
      <c r="T36">
        <f>-4.0853-2.5639*S36</f>
        <v>-4.6495239482200645</v>
      </c>
      <c r="U36">
        <f>K36-(SUM(Q36:R36)*T36)</f>
        <v>25.469053999999232</v>
      </c>
      <c r="V36">
        <f>U36/(2*N36*P36)</f>
        <v>3.5749939777037908E-2</v>
      </c>
      <c r="W36">
        <f>V36*16.02</f>
        <v>0.57271403522814723</v>
      </c>
      <c r="Y36" s="9" t="s">
        <v>27</v>
      </c>
      <c r="Z36" s="1">
        <v>0.56793755941912116</v>
      </c>
      <c r="AA36" s="1">
        <v>0.46777135472130665</v>
      </c>
      <c r="AB36" s="1"/>
      <c r="AC36" s="1">
        <v>0.41052044705238649</v>
      </c>
      <c r="AD36" s="1">
        <v>1.551869770910125</v>
      </c>
      <c r="AE36" s="11">
        <f>AC36-AD36</f>
        <v>-1.1413493238577386</v>
      </c>
    </row>
    <row r="37" spans="3:35" ht="17" thickBot="1" x14ac:dyDescent="0.25">
      <c r="C37">
        <v>-13569.428381</v>
      </c>
      <c r="D37">
        <v>31763.144306999999</v>
      </c>
      <c r="E37">
        <f t="shared" si="6"/>
        <v>-6.7847141904999999</v>
      </c>
      <c r="F37">
        <f t="shared" si="7"/>
        <v>15.881572153499999</v>
      </c>
      <c r="G37">
        <f t="shared" si="8"/>
        <v>3.1669496777395527</v>
      </c>
      <c r="J37">
        <v>743.796289</v>
      </c>
      <c r="K37">
        <v>-11420.970724999999</v>
      </c>
      <c r="L37">
        <v>49487.185182000001</v>
      </c>
      <c r="M37">
        <v>-1.384639</v>
      </c>
      <c r="N37">
        <v>34.942838999999999</v>
      </c>
      <c r="O37">
        <v>138.73551599999999</v>
      </c>
      <c r="P37">
        <v>10.208190999999999</v>
      </c>
      <c r="Q37">
        <v>1944</v>
      </c>
      <c r="R37">
        <v>528</v>
      </c>
      <c r="S37">
        <f>R37/(R37+Q37)</f>
        <v>0.21359223300970873</v>
      </c>
      <c r="T37">
        <f>-4.0853-2.5639*S37</f>
        <v>-4.6329291262135923</v>
      </c>
      <c r="U37">
        <f>K37-(SUM(Q37:R37)*T37)</f>
        <v>31.630075000000943</v>
      </c>
      <c r="V37">
        <f>U37/(2*N37*P37)</f>
        <v>4.4336688390817176E-2</v>
      </c>
      <c r="W37">
        <f>V37*16.02</f>
        <v>0.71027374802089116</v>
      </c>
      <c r="Y37" s="13" t="s">
        <v>28</v>
      </c>
      <c r="Z37" s="1">
        <v>0.62778922542236193</v>
      </c>
      <c r="AA37" s="1">
        <v>0.50501285775380056</v>
      </c>
      <c r="AB37" s="1"/>
      <c r="AC37" s="1">
        <v>0.49137460359161345</v>
      </c>
      <c r="AD37" s="1">
        <v>1.6229690429764296</v>
      </c>
      <c r="AE37" s="15">
        <f>AC37-AD37</f>
        <v>-1.1315944393848163</v>
      </c>
    </row>
    <row r="38" spans="3:35" x14ac:dyDescent="0.2">
      <c r="C38">
        <v>-13569.20974</v>
      </c>
      <c r="D38">
        <v>31763.583210000001</v>
      </c>
      <c r="E38">
        <f t="shared" si="6"/>
        <v>-6.7846048699999999</v>
      </c>
      <c r="F38">
        <f t="shared" si="7"/>
        <v>15.881791605</v>
      </c>
      <c r="G38">
        <f t="shared" si="8"/>
        <v>3.1669642646383265</v>
      </c>
      <c r="J38">
        <v>743.76909899999998</v>
      </c>
      <c r="K38">
        <v>-11487.784517</v>
      </c>
      <c r="L38">
        <v>49339.300153999997</v>
      </c>
      <c r="M38">
        <v>-1.3983829999999999</v>
      </c>
      <c r="N38">
        <v>34.868549999999999</v>
      </c>
      <c r="O38">
        <v>138.67798199999999</v>
      </c>
      <c r="P38">
        <v>10.203628999999999</v>
      </c>
      <c r="Q38">
        <v>1919</v>
      </c>
      <c r="R38">
        <v>553</v>
      </c>
      <c r="S38">
        <f>R38/(R38+Q38)</f>
        <v>0.22370550161812297</v>
      </c>
      <c r="T38">
        <f>-4.0853-2.5639*S38</f>
        <v>-4.6588585355987053</v>
      </c>
      <c r="U38">
        <f>K38-(SUM(Q38:R38)*T38)</f>
        <v>28.913782999999967</v>
      </c>
      <c r="V38">
        <f>U38/(2*N38*P38)</f>
        <v>4.0633700429457041E-2</v>
      </c>
      <c r="W38">
        <f>V38*16.02</f>
        <v>0.65095188087990175</v>
      </c>
    </row>
    <row r="39" spans="3:35" x14ac:dyDescent="0.2">
      <c r="C39">
        <v>-13569.099029000001</v>
      </c>
      <c r="D39">
        <v>31763.872343999999</v>
      </c>
      <c r="E39">
        <f t="shared" si="6"/>
        <v>-6.7845495145000001</v>
      </c>
      <c r="F39">
        <f t="shared" si="7"/>
        <v>15.881936172</v>
      </c>
      <c r="G39">
        <f t="shared" si="8"/>
        <v>3.1669738739054467</v>
      </c>
      <c r="W39" s="1">
        <f>AVERAGE(W34:W38)</f>
        <v>0.62778922542236193</v>
      </c>
    </row>
    <row r="40" spans="3:35" x14ac:dyDescent="0.2">
      <c r="C40">
        <v>-13568.808327000001</v>
      </c>
      <c r="D40">
        <v>31764.932835</v>
      </c>
      <c r="E40">
        <f t="shared" si="6"/>
        <v>-6.7844041635000005</v>
      </c>
      <c r="F40">
        <f t="shared" si="7"/>
        <v>15.8824664175</v>
      </c>
      <c r="G40">
        <f t="shared" si="8"/>
        <v>3.1670091184528566</v>
      </c>
      <c r="I40" t="s">
        <v>55</v>
      </c>
      <c r="J40">
        <v>694.073846</v>
      </c>
      <c r="K40">
        <v>-18149.825883000001</v>
      </c>
      <c r="L40">
        <v>77837.675010999999</v>
      </c>
      <c r="M40">
        <v>-0.70774400000000004</v>
      </c>
      <c r="N40">
        <v>30.899732</v>
      </c>
      <c r="O40">
        <v>184.213717</v>
      </c>
      <c r="P40">
        <v>13.674597</v>
      </c>
      <c r="Q40">
        <v>3036</v>
      </c>
      <c r="R40">
        <v>868</v>
      </c>
      <c r="S40">
        <f>R40/(R40+Q40)</f>
        <v>0.2223360655737705</v>
      </c>
      <c r="T40">
        <f>-4.0853-2.5639*S40</f>
        <v>-4.6553474385245899</v>
      </c>
      <c r="U40">
        <f>K40-(SUM(Q40:R40)*T40)</f>
        <v>24.650516999998217</v>
      </c>
      <c r="V40">
        <f>U40/(2*N40*P40)</f>
        <v>2.9169352423760855E-2</v>
      </c>
      <c r="W40">
        <f>V40*16.02</f>
        <v>0.4672930258286489</v>
      </c>
    </row>
    <row r="41" spans="3:35" x14ac:dyDescent="0.2">
      <c r="C41">
        <f>AVERAGE(C31:C40)</f>
        <v>-13569.234026000002</v>
      </c>
      <c r="D41">
        <f>AVERAGE(D31:D40)</f>
        <v>31763.719459099997</v>
      </c>
      <c r="E41">
        <f>AVERAGE(E31:E40)</f>
        <v>-6.7846170130000001</v>
      </c>
      <c r="F41">
        <f>AVERAGE(F31:F40)</f>
        <v>15.881859729550001</v>
      </c>
      <c r="G41">
        <f>AVERAGE(G31:G40)</f>
        <v>3.1669687927318972</v>
      </c>
      <c r="J41">
        <v>694.210644</v>
      </c>
      <c r="K41">
        <v>-18072.522939999999</v>
      </c>
      <c r="L41">
        <v>78044.316070000001</v>
      </c>
      <c r="M41">
        <v>-0.73314599999999996</v>
      </c>
      <c r="N41">
        <v>30.965796999999998</v>
      </c>
      <c r="O41">
        <v>184.44269399999999</v>
      </c>
      <c r="P41">
        <v>13.664662</v>
      </c>
      <c r="Q41">
        <v>3063</v>
      </c>
      <c r="R41">
        <v>841</v>
      </c>
      <c r="S41">
        <f>R41/(R41+Q41)</f>
        <v>0.21542008196721313</v>
      </c>
      <c r="T41">
        <f>-4.0853-2.5639*S41</f>
        <v>-4.637615548155738</v>
      </c>
      <c r="U41">
        <f>K41-(SUM(Q41:R41)*T41)</f>
        <v>32.72816000000239</v>
      </c>
      <c r="V41">
        <f>U41/(2*N41*P41)</f>
        <v>3.8673229275189631E-2</v>
      </c>
      <c r="W41">
        <f>V41*16.02</f>
        <v>0.61954513298853786</v>
      </c>
    </row>
    <row r="42" spans="3:35" x14ac:dyDescent="0.2">
      <c r="J42">
        <v>694.01198999999997</v>
      </c>
      <c r="K42">
        <v>-18161.684201</v>
      </c>
      <c r="L42">
        <v>77796.238821000006</v>
      </c>
      <c r="M42">
        <v>-0.70999900000000005</v>
      </c>
      <c r="N42">
        <v>30.910753</v>
      </c>
      <c r="O42">
        <v>184.322146</v>
      </c>
      <c r="P42">
        <v>13.654408</v>
      </c>
      <c r="Q42">
        <v>3029</v>
      </c>
      <c r="R42">
        <v>875</v>
      </c>
      <c r="S42">
        <f>R42/(R42+Q42)</f>
        <v>0.22412909836065573</v>
      </c>
      <c r="T42">
        <f>-4.0853-2.5639*S42</f>
        <v>-4.659944595286885</v>
      </c>
      <c r="U42">
        <f>K42-(SUM(Q42:R42)*T42)</f>
        <v>30.739498999999341</v>
      </c>
      <c r="V42">
        <f>U42/(2*N42*P42)</f>
        <v>3.6415336619931037E-2</v>
      </c>
      <c r="W42">
        <f>V42*16.02</f>
        <v>0.58337369265129524</v>
      </c>
    </row>
    <row r="43" spans="3:35" x14ac:dyDescent="0.2">
      <c r="J43">
        <v>694.11578299999996</v>
      </c>
      <c r="K43">
        <v>-18044.515403000001</v>
      </c>
      <c r="L43">
        <v>78123.672902999999</v>
      </c>
      <c r="M43">
        <v>-0.67961099999999997</v>
      </c>
      <c r="N43">
        <v>30.969044</v>
      </c>
      <c r="O43">
        <v>184.695606</v>
      </c>
      <c r="P43">
        <v>13.658398</v>
      </c>
      <c r="Q43">
        <v>3075</v>
      </c>
      <c r="R43">
        <v>829</v>
      </c>
      <c r="S43">
        <f>R43/(R43+Q43)</f>
        <v>0.21234631147540983</v>
      </c>
      <c r="T43">
        <f>-4.0853-2.5639*S43</f>
        <v>-4.629734707991803</v>
      </c>
      <c r="U43">
        <f>K43-(SUM(Q43:R43)*T43)</f>
        <v>29.968896999998833</v>
      </c>
      <c r="V43">
        <f>U43/(2*N43*P43)</f>
        <v>3.5425272580679804E-2</v>
      </c>
      <c r="W43">
        <f>V43*16.02</f>
        <v>0.56751286674249046</v>
      </c>
    </row>
    <row r="44" spans="3:35" x14ac:dyDescent="0.2">
      <c r="J44">
        <v>693.99573599999997</v>
      </c>
      <c r="K44">
        <v>-18071.312354999998</v>
      </c>
      <c r="L44">
        <v>78031.601018000001</v>
      </c>
      <c r="M44">
        <v>-0.61955499999999997</v>
      </c>
      <c r="N44">
        <v>30.946361</v>
      </c>
      <c r="O44">
        <v>184.50162800000001</v>
      </c>
      <c r="P44">
        <v>13.666648</v>
      </c>
      <c r="Q44">
        <v>3066</v>
      </c>
      <c r="R44">
        <v>838</v>
      </c>
      <c r="S44">
        <f>R44/(R44+Q44)</f>
        <v>0.21465163934426229</v>
      </c>
      <c r="T44">
        <f>-4.0853-2.5639*S44</f>
        <v>-4.6356453381147542</v>
      </c>
      <c r="U44">
        <f>K44-(SUM(Q44:R44)*T44)</f>
        <v>26.247045000003709</v>
      </c>
      <c r="V44">
        <f>U44/(2*N44*P44)</f>
        <v>3.1029789107543816E-2</v>
      </c>
      <c r="W44">
        <f>V44*16.02</f>
        <v>0.4970972215028519</v>
      </c>
    </row>
    <row r="45" spans="3:35" x14ac:dyDescent="0.2">
      <c r="W45" s="1">
        <f>AVERAGE(W40:W44)</f>
        <v>0.54696438794276481</v>
      </c>
    </row>
    <row r="46" spans="3:35" x14ac:dyDescent="0.2">
      <c r="I46" t="s">
        <v>111</v>
      </c>
      <c r="J46">
        <v>693.96765200000004</v>
      </c>
      <c r="K46">
        <v>-17792.221173000002</v>
      </c>
      <c r="L46">
        <v>76195.703261999995</v>
      </c>
      <c r="M46">
        <v>-0.84787999999999997</v>
      </c>
      <c r="N46">
        <v>30.610638000000002</v>
      </c>
      <c r="O46">
        <v>182.48479800000001</v>
      </c>
      <c r="P46">
        <v>13.640565</v>
      </c>
      <c r="Q46">
        <v>2966</v>
      </c>
      <c r="R46">
        <v>858</v>
      </c>
      <c r="S46">
        <f>R46/(R46+Q46)</f>
        <v>0.22437238493723849</v>
      </c>
      <c r="T46">
        <f>-4.0853-2.5639*S46</f>
        <v>-4.6605683577405861</v>
      </c>
      <c r="U46">
        <f>K46-(SUM(Q46:R46)*T46)</f>
        <v>29.792226999998093</v>
      </c>
      <c r="V46">
        <f>U46/(2*N46*P46)</f>
        <v>3.5675349123439837E-2</v>
      </c>
      <c r="W46">
        <f>V46*16.02</f>
        <v>0.57151909295750614</v>
      </c>
    </row>
    <row r="47" spans="3:35" x14ac:dyDescent="0.2">
      <c r="J47">
        <v>693.98563799999999</v>
      </c>
      <c r="K47">
        <v>-17700.835278999999</v>
      </c>
      <c r="L47">
        <v>76401.168195999999</v>
      </c>
      <c r="M47">
        <v>-0.79730400000000001</v>
      </c>
      <c r="N47">
        <v>30.66112</v>
      </c>
      <c r="O47">
        <v>182.49013299999999</v>
      </c>
      <c r="P47">
        <v>13.65443</v>
      </c>
      <c r="Q47">
        <v>2996</v>
      </c>
      <c r="R47">
        <v>826</v>
      </c>
      <c r="S47">
        <f>R47/(R47+Q47)</f>
        <v>0.21611721611721613</v>
      </c>
      <c r="T47">
        <f>-4.0853-2.5639*S47</f>
        <v>-4.6394029304029303</v>
      </c>
      <c r="U47">
        <f>K47-(SUM(Q47:R47)*T47)</f>
        <v>30.962720999999874</v>
      </c>
      <c r="V47">
        <f>U47/(2*N47*P47)</f>
        <v>3.6978350409278604E-2</v>
      </c>
      <c r="W47">
        <f>V47*16.02</f>
        <v>0.59239317355664323</v>
      </c>
    </row>
    <row r="48" spans="3:35" x14ac:dyDescent="0.2">
      <c r="J48">
        <v>693.97019</v>
      </c>
      <c r="K48">
        <v>-17786.932947000001</v>
      </c>
      <c r="L48">
        <v>76231.721323999998</v>
      </c>
      <c r="M48">
        <v>-0.71556500000000001</v>
      </c>
      <c r="N48">
        <v>30.625308</v>
      </c>
      <c r="O48">
        <v>182.44008500000001</v>
      </c>
      <c r="P48">
        <v>13.643834</v>
      </c>
      <c r="Q48">
        <v>2966</v>
      </c>
      <c r="R48">
        <v>858</v>
      </c>
      <c r="S48">
        <f>R48/(R48+Q48)</f>
        <v>0.22437238493723849</v>
      </c>
      <c r="T48">
        <f>-4.0853-2.5639*S48</f>
        <v>-4.6605683577405861</v>
      </c>
      <c r="U48">
        <f>K48-(SUM(Q48:R48)*T48)</f>
        <v>35.08045299999867</v>
      </c>
      <c r="V48">
        <f>U48/(2*N48*P48)</f>
        <v>4.1977667692586214E-2</v>
      </c>
      <c r="W48">
        <f>V48*16.02</f>
        <v>0.67248223643523108</v>
      </c>
    </row>
    <row r="49" spans="5:23" x14ac:dyDescent="0.2">
      <c r="J49">
        <v>694.11109299999998</v>
      </c>
      <c r="K49">
        <v>-17676.224439000001</v>
      </c>
      <c r="L49">
        <v>76525.658228</v>
      </c>
      <c r="M49">
        <v>-0.64745299999999995</v>
      </c>
      <c r="N49">
        <v>30.647013000000001</v>
      </c>
      <c r="O49">
        <v>182.67845399999999</v>
      </c>
      <c r="P49">
        <v>13.668881000000001</v>
      </c>
      <c r="Q49">
        <v>3010</v>
      </c>
      <c r="R49">
        <v>814</v>
      </c>
      <c r="S49">
        <f>R49/(R49+Q49)</f>
        <v>0.21286610878661089</v>
      </c>
      <c r="T49">
        <f>-4.0853-2.5639*S49</f>
        <v>-4.6310674163179915</v>
      </c>
      <c r="U49">
        <f>K49-(SUM(Q49:R49)*T49)</f>
        <v>32.977360999997472</v>
      </c>
      <c r="V49">
        <f>U49/(2*N49*P49)</f>
        <v>3.9360878925644473E-2</v>
      </c>
      <c r="W49">
        <f>V49*16.02</f>
        <v>0.63056128038882442</v>
      </c>
    </row>
    <row r="50" spans="5:23" x14ac:dyDescent="0.2">
      <c r="J50">
        <v>694.132339</v>
      </c>
      <c r="K50">
        <v>-17711.532659</v>
      </c>
      <c r="L50">
        <v>76454.116997999998</v>
      </c>
      <c r="M50">
        <v>-0.70156399999999997</v>
      </c>
      <c r="N50">
        <v>30.667307000000001</v>
      </c>
      <c r="O50">
        <v>182.57436100000001</v>
      </c>
      <c r="P50">
        <v>13.654835</v>
      </c>
      <c r="Q50">
        <v>2997</v>
      </c>
      <c r="R50">
        <v>827</v>
      </c>
      <c r="S50">
        <f>R50/(R50+Q50)</f>
        <v>0.21626569037656904</v>
      </c>
      <c r="T50">
        <f>-4.0853-2.5639*S50</f>
        <v>-4.6397836035564852</v>
      </c>
      <c r="U50">
        <f>K50-(SUM(Q50:R50)*T50)</f>
        <v>30.999841000000742</v>
      </c>
      <c r="V50">
        <f>U50/(2*N50*P50)</f>
        <v>3.7014115278132517E-2</v>
      </c>
      <c r="W50">
        <f>V50*16.02</f>
        <v>0.59296612675568294</v>
      </c>
    </row>
    <row r="51" spans="5:23" x14ac:dyDescent="0.2">
      <c r="W51" s="1">
        <f>AVERAGE(W46:W50)</f>
        <v>0.61198438201877747</v>
      </c>
    </row>
    <row r="52" spans="5:23" x14ac:dyDescent="0.2">
      <c r="E52" s="4"/>
      <c r="W52" s="1"/>
    </row>
    <row r="53" spans="5:23" x14ac:dyDescent="0.2">
      <c r="I53" t="s">
        <v>29</v>
      </c>
    </row>
    <row r="54" spans="5:23" x14ac:dyDescent="0.2">
      <c r="J54" t="s">
        <v>18</v>
      </c>
      <c r="K54" t="s">
        <v>5</v>
      </c>
      <c r="L54" t="s">
        <v>7</v>
      </c>
      <c r="M54" t="s">
        <v>19</v>
      </c>
      <c r="N54" t="s">
        <v>20</v>
      </c>
      <c r="O54" t="s">
        <v>21</v>
      </c>
      <c r="P54" t="s">
        <v>22</v>
      </c>
      <c r="Q54" t="s">
        <v>26</v>
      </c>
      <c r="R54" t="s">
        <v>12</v>
      </c>
      <c r="S54" t="s">
        <v>23</v>
      </c>
      <c r="T54" t="s">
        <v>23</v>
      </c>
    </row>
    <row r="55" spans="5:23" x14ac:dyDescent="0.2">
      <c r="I55" t="s">
        <v>55</v>
      </c>
      <c r="J55">
        <v>694.21815000000004</v>
      </c>
      <c r="K55">
        <v>-15959.464486000001</v>
      </c>
      <c r="L55">
        <v>84970.822738000003</v>
      </c>
      <c r="M55">
        <v>-0.73262099999999997</v>
      </c>
      <c r="N55">
        <v>31.857336</v>
      </c>
      <c r="O55">
        <v>189.27273</v>
      </c>
      <c r="P55">
        <v>14.092028000000001</v>
      </c>
      <c r="Q55">
        <f>$E$27</f>
        <v>-4.0945424230000009</v>
      </c>
      <c r="R55">
        <f>K55-3904*Q55</f>
        <v>25.629133392003496</v>
      </c>
      <c r="S55">
        <f>R55/(2*N55*P55)</f>
        <v>2.8544403529127276E-2</v>
      </c>
      <c r="T55">
        <f>S55*16.02</f>
        <v>0.45728134453661895</v>
      </c>
    </row>
    <row r="56" spans="5:23" x14ac:dyDescent="0.2">
      <c r="J56">
        <v>694.05543699999998</v>
      </c>
      <c r="K56">
        <v>-15957.787425</v>
      </c>
      <c r="L56">
        <v>84948.590966000003</v>
      </c>
      <c r="M56">
        <v>-0.78722000000000003</v>
      </c>
      <c r="N56">
        <v>31.846442</v>
      </c>
      <c r="O56">
        <v>189.22928400000001</v>
      </c>
      <c r="P56">
        <v>14.096401999999999</v>
      </c>
      <c r="Q56">
        <f>$E$27</f>
        <v>-4.0945424230000009</v>
      </c>
      <c r="R56">
        <f>K56-3904*Q56</f>
        <v>27.306194392003817</v>
      </c>
      <c r="S56">
        <f>R56/(2*N56*P56)</f>
        <v>3.0413190840662324E-2</v>
      </c>
      <c r="T56">
        <f>S56*16.02</f>
        <v>0.48721931726741041</v>
      </c>
    </row>
    <row r="57" spans="5:23" x14ac:dyDescent="0.2">
      <c r="J57">
        <v>694.19859699999995</v>
      </c>
      <c r="K57">
        <v>-15959.680888000001</v>
      </c>
      <c r="L57">
        <v>84951.272125000003</v>
      </c>
      <c r="M57">
        <v>-0.86640499999999998</v>
      </c>
      <c r="N57">
        <v>31.847829000000001</v>
      </c>
      <c r="O57">
        <v>189.237112</v>
      </c>
      <c r="P57">
        <v>14.095651</v>
      </c>
      <c r="Q57">
        <f>$E$27</f>
        <v>-4.0945424230000009</v>
      </c>
      <c r="R57">
        <f>K57-3904*Q57</f>
        <v>25.412731392003479</v>
      </c>
      <c r="S57">
        <f>R57/(2*N57*P57)</f>
        <v>2.8304558127493627E-2</v>
      </c>
      <c r="T57">
        <f>S57*16.02</f>
        <v>0.45343902120244789</v>
      </c>
    </row>
    <row r="58" spans="5:23" x14ac:dyDescent="0.2">
      <c r="J58">
        <v>694.13601100000005</v>
      </c>
      <c r="K58">
        <v>-15957.591955</v>
      </c>
      <c r="L58">
        <v>84947.458757</v>
      </c>
      <c r="M58">
        <v>-0.704569</v>
      </c>
      <c r="N58">
        <v>31.841439000000001</v>
      </c>
      <c r="O58">
        <v>189.19291699999999</v>
      </c>
      <c r="P58">
        <v>14.101134</v>
      </c>
      <c r="Q58">
        <f>$E$27</f>
        <v>-4.0945424230000009</v>
      </c>
      <c r="R58">
        <f>K58-3904*Q58</f>
        <v>27.501664392004386</v>
      </c>
      <c r="S58">
        <f>R58/(2*N58*P58)</f>
        <v>3.0625434307944604E-2</v>
      </c>
      <c r="T58">
        <f>S58*16.02</f>
        <v>0.49061945761327252</v>
      </c>
    </row>
    <row r="59" spans="5:23" x14ac:dyDescent="0.2">
      <c r="J59">
        <v>694.13282700000002</v>
      </c>
      <c r="K59">
        <v>-15959.155642</v>
      </c>
      <c r="L59">
        <v>84949.843659000006</v>
      </c>
      <c r="M59">
        <v>-0.72891499999999998</v>
      </c>
      <c r="N59">
        <v>31.850297000000001</v>
      </c>
      <c r="O59">
        <v>189.15882500000001</v>
      </c>
      <c r="P59">
        <v>14.100152</v>
      </c>
      <c r="Q59">
        <f>$E$27</f>
        <v>-4.0945424230000009</v>
      </c>
      <c r="R59">
        <f>K59-3904*Q59</f>
        <v>25.937977392004541</v>
      </c>
      <c r="S59">
        <f>R59/(2*N59*P59)</f>
        <v>2.8878114292600423E-2</v>
      </c>
      <c r="T59">
        <f>S59*16.02</f>
        <v>0.46262739096745875</v>
      </c>
    </row>
    <row r="60" spans="5:23" x14ac:dyDescent="0.2">
      <c r="T60" s="1">
        <f>AVERAGE(T55:T59)</f>
        <v>0.47023730631744165</v>
      </c>
    </row>
    <row r="61" spans="5:23" x14ac:dyDescent="0.2">
      <c r="I61" t="s">
        <v>133</v>
      </c>
      <c r="J61">
        <v>743.63818700000002</v>
      </c>
      <c r="K61">
        <v>-12952.695890999999</v>
      </c>
      <c r="L61">
        <v>68990.520030999993</v>
      </c>
      <c r="M61">
        <v>-1.0238400000000001</v>
      </c>
      <c r="N61">
        <v>24.870598000000001</v>
      </c>
      <c r="O61">
        <v>196.76854900000001</v>
      </c>
      <c r="P61">
        <v>14.097709</v>
      </c>
      <c r="Q61">
        <f>$E$27</f>
        <v>-4.0945424230000009</v>
      </c>
      <c r="R61">
        <f>K61-3168*Q61</f>
        <v>18.814505064003242</v>
      </c>
      <c r="S61">
        <f>R61/(2*N61*P61)</f>
        <v>2.6830454713763129E-2</v>
      </c>
      <c r="T61">
        <f>S61*16.02</f>
        <v>0.42982388451448533</v>
      </c>
    </row>
    <row r="62" spans="5:23" x14ac:dyDescent="0.2">
      <c r="J62">
        <v>743.536203</v>
      </c>
      <c r="K62">
        <v>-12949.693743</v>
      </c>
      <c r="L62">
        <v>68963.640297999998</v>
      </c>
      <c r="M62">
        <v>-1.242675</v>
      </c>
      <c r="N62">
        <v>24.892945000000001</v>
      </c>
      <c r="O62">
        <v>196.494033</v>
      </c>
      <c r="P62">
        <v>14.099252</v>
      </c>
      <c r="Q62">
        <f>$E$27</f>
        <v>-4.0945424230000009</v>
      </c>
      <c r="R62">
        <f t="shared" ref="R62:R65" si="9">K62-3168*Q62</f>
        <v>21.816653064002821</v>
      </c>
      <c r="S62">
        <f>R62/(2*N62*P62)</f>
        <v>3.1080341160481327E-2</v>
      </c>
      <c r="T62">
        <f>S62*16.02</f>
        <v>0.49790706539091084</v>
      </c>
    </row>
    <row r="63" spans="5:23" x14ac:dyDescent="0.2">
      <c r="J63">
        <v>743.72921099999996</v>
      </c>
      <c r="K63">
        <v>-12948.244648</v>
      </c>
      <c r="L63">
        <v>68959.249406000003</v>
      </c>
      <c r="M63">
        <v>-1.0784050000000001</v>
      </c>
      <c r="N63">
        <v>24.891624</v>
      </c>
      <c r="O63">
        <v>196.56028900000001</v>
      </c>
      <c r="P63">
        <v>14.094341999999999</v>
      </c>
      <c r="Q63">
        <f>$E$27</f>
        <v>-4.0945424230000009</v>
      </c>
      <c r="R63">
        <f t="shared" si="9"/>
        <v>23.265748064002764</v>
      </c>
      <c r="S63">
        <f>R63/(2*N63*P63)</f>
        <v>3.3158050428127417E-2</v>
      </c>
      <c r="T63">
        <f>S63*16.02</f>
        <v>0.53119196785860123</v>
      </c>
    </row>
    <row r="64" spans="5:23" x14ac:dyDescent="0.2">
      <c r="J64">
        <v>743.99200199999996</v>
      </c>
      <c r="K64">
        <v>-12949.785835000001</v>
      </c>
      <c r="L64">
        <v>68979.214626000001</v>
      </c>
      <c r="M64">
        <v>-1.19065</v>
      </c>
      <c r="N64">
        <v>24.888953000000001</v>
      </c>
      <c r="O64">
        <v>196.70572300000001</v>
      </c>
      <c r="P64">
        <v>14.089513999999999</v>
      </c>
      <c r="Q64">
        <f>$E$27</f>
        <v>-4.0945424230000009</v>
      </c>
      <c r="R64">
        <f t="shared" si="9"/>
        <v>21.724561064002046</v>
      </c>
      <c r="S64">
        <f>R64/(2*N64*P64)</f>
        <v>3.0975503486905594E-2</v>
      </c>
      <c r="T64">
        <f>S64*16.02</f>
        <v>0.49622756586022759</v>
      </c>
    </row>
    <row r="65" spans="9:22" x14ac:dyDescent="0.2">
      <c r="J65">
        <v>743.724335</v>
      </c>
      <c r="K65">
        <v>-12950.902196999999</v>
      </c>
      <c r="L65">
        <v>68980.004916000005</v>
      </c>
      <c r="M65">
        <v>-1.2055579999999999</v>
      </c>
      <c r="N65">
        <v>24.879321999999998</v>
      </c>
      <c r="O65">
        <v>196.758803</v>
      </c>
      <c r="P65">
        <v>14.091340000000001</v>
      </c>
      <c r="Q65">
        <f>$E$27</f>
        <v>-4.0945424230000009</v>
      </c>
      <c r="R65">
        <f t="shared" si="9"/>
        <v>20.608199064003202</v>
      </c>
      <c r="S65">
        <f>R65/(2*N65*P65)</f>
        <v>2.939132805895427E-2</v>
      </c>
      <c r="T65">
        <f>S65*16.02</f>
        <v>0.47084907550444738</v>
      </c>
    </row>
    <row r="66" spans="9:22" x14ac:dyDescent="0.2">
      <c r="T66" s="1">
        <f>AVERAGE(T61:T65)</f>
        <v>0.48519991182573446</v>
      </c>
      <c r="V66" s="1">
        <v>0.47023730631744165</v>
      </c>
    </row>
    <row r="67" spans="9:22" x14ac:dyDescent="0.2">
      <c r="I67" t="s">
        <v>28</v>
      </c>
      <c r="J67">
        <v>743.82693500000005</v>
      </c>
      <c r="K67">
        <v>-30416.230514999999</v>
      </c>
      <c r="L67">
        <v>162009.92528200001</v>
      </c>
      <c r="M67">
        <v>-0.484796</v>
      </c>
      <c r="N67">
        <v>35.88353</v>
      </c>
      <c r="O67">
        <v>213.80330499999999</v>
      </c>
      <c r="P67">
        <v>21.117018999999999</v>
      </c>
      <c r="Q67">
        <f>$E$27</f>
        <v>-4.0945424230000009</v>
      </c>
      <c r="R67">
        <f>K67-7440*Q67</f>
        <v>47.165112120008416</v>
      </c>
      <c r="S67">
        <f>R67/(2*N67*P67)</f>
        <v>3.1121685178162245E-2</v>
      </c>
      <c r="T67">
        <f>S67*16.02</f>
        <v>0.49856939655415916</v>
      </c>
      <c r="V67" s="1">
        <v>0.48519991182573446</v>
      </c>
    </row>
    <row r="68" spans="9:22" x14ac:dyDescent="0.2">
      <c r="J68">
        <v>743.55129999999997</v>
      </c>
      <c r="K68">
        <v>-30416.653189000001</v>
      </c>
      <c r="L68">
        <v>162014.54156099999</v>
      </c>
      <c r="M68">
        <v>-0.36005199999999998</v>
      </c>
      <c r="N68">
        <v>35.881976999999999</v>
      </c>
      <c r="O68">
        <v>213.732382</v>
      </c>
      <c r="P68">
        <v>21.125540000000001</v>
      </c>
      <c r="Q68">
        <f>$E$27</f>
        <v>-4.0945424230000009</v>
      </c>
      <c r="R68">
        <f>K68-7440*Q68</f>
        <v>46.742438120007137</v>
      </c>
      <c r="S68">
        <f>R68/(2*N68*P68)</f>
        <v>3.0831679561736047E-2</v>
      </c>
      <c r="T68">
        <f>S68*16.02</f>
        <v>0.49392350657901146</v>
      </c>
      <c r="V68" s="1">
        <v>0.49137460359161345</v>
      </c>
    </row>
    <row r="69" spans="9:22" x14ac:dyDescent="0.2">
      <c r="J69">
        <v>743.85441100000003</v>
      </c>
      <c r="K69">
        <v>-30415.958619000001</v>
      </c>
      <c r="L69">
        <v>162001.68765599999</v>
      </c>
      <c r="M69">
        <v>-0.466026</v>
      </c>
      <c r="N69">
        <v>35.889276000000002</v>
      </c>
      <c r="O69">
        <v>213.61834400000001</v>
      </c>
      <c r="P69">
        <v>21.130839999999999</v>
      </c>
      <c r="Q69">
        <f>$E$27</f>
        <v>-4.0945424230000009</v>
      </c>
      <c r="R69">
        <f>K69-7440*Q69</f>
        <v>47.437008120006794</v>
      </c>
      <c r="S69">
        <f>R69/(2*N69*P69)</f>
        <v>3.1275613346651306E-2</v>
      </c>
      <c r="T69">
        <f>S69*16.02</f>
        <v>0.50103532581335386</v>
      </c>
      <c r="V69" s="1">
        <v>0.51654036543498949</v>
      </c>
    </row>
    <row r="70" spans="9:22" x14ac:dyDescent="0.2">
      <c r="J70">
        <v>743.71838400000001</v>
      </c>
      <c r="K70">
        <v>-30418.141017999998</v>
      </c>
      <c r="L70">
        <v>162027.06071799999</v>
      </c>
      <c r="M70">
        <v>-0.47675499999999998</v>
      </c>
      <c r="N70">
        <v>35.886997000000001</v>
      </c>
      <c r="O70">
        <v>213.70186100000001</v>
      </c>
      <c r="P70">
        <v>21.127234999999999</v>
      </c>
      <c r="Q70">
        <f>$E$27</f>
        <v>-4.0945424230000009</v>
      </c>
      <c r="R70">
        <f>K70-7440*Q70</f>
        <v>45.254609120009263</v>
      </c>
      <c r="S70">
        <f>R70/(2*N70*P70)</f>
        <v>2.9843725794203961E-2</v>
      </c>
      <c r="T70">
        <f>S70*16.02</f>
        <v>0.47809648722314746</v>
      </c>
      <c r="V70" s="1">
        <v>0.41052044705238649</v>
      </c>
    </row>
    <row r="71" spans="9:22" x14ac:dyDescent="0.2">
      <c r="J71">
        <v>743.70457499999998</v>
      </c>
      <c r="K71">
        <v>-30417.482801999999</v>
      </c>
      <c r="L71">
        <v>162025.05244</v>
      </c>
      <c r="M71">
        <v>-0.40482099999999999</v>
      </c>
      <c r="N71">
        <v>35.877040000000001</v>
      </c>
      <c r="O71">
        <v>213.786474</v>
      </c>
      <c r="P71">
        <v>21.124473999999999</v>
      </c>
      <c r="Q71">
        <f>$E$27</f>
        <v>-4.0945424230000009</v>
      </c>
      <c r="R71">
        <f>K71-7440*Q71</f>
        <v>45.912825120009074</v>
      </c>
      <c r="S71">
        <f>R71/(2*N71*P71)</f>
        <v>3.0290156166566509E-2</v>
      </c>
      <c r="T71">
        <f>S71*16.02</f>
        <v>0.48524830178839545</v>
      </c>
      <c r="V71" s="1">
        <v>0.53992327752051117</v>
      </c>
    </row>
    <row r="72" spans="9:22" x14ac:dyDescent="0.2">
      <c r="T72" s="1">
        <f>AVERAGE(T67:T71)</f>
        <v>0.49137460359161345</v>
      </c>
      <c r="V72" s="1">
        <v>0.47340373055181895</v>
      </c>
    </row>
    <row r="73" spans="9:22" x14ac:dyDescent="0.2">
      <c r="I73" t="s">
        <v>134</v>
      </c>
      <c r="J73">
        <v>743.94126000000006</v>
      </c>
      <c r="K73">
        <v>-13208.342721999999</v>
      </c>
      <c r="L73">
        <v>70397.592558000004</v>
      </c>
      <c r="M73">
        <v>-0.969167</v>
      </c>
      <c r="N73">
        <v>29.034220999999999</v>
      </c>
      <c r="O73">
        <v>172.01539199999999</v>
      </c>
      <c r="P73">
        <v>14.095535</v>
      </c>
      <c r="Q73">
        <f>$E$27</f>
        <v>-4.0945424230000009</v>
      </c>
      <c r="R73">
        <f>K73-3232*Q73</f>
        <v>25.21838913600368</v>
      </c>
      <c r="S73">
        <f>R73/(2*N73*P73)</f>
        <v>3.0810277059698736E-2</v>
      </c>
      <c r="T73">
        <f>S73*16.02</f>
        <v>0.49358063849637374</v>
      </c>
      <c r="V73" s="1">
        <v>0.60865712058281507</v>
      </c>
    </row>
    <row r="74" spans="9:22" x14ac:dyDescent="0.2">
      <c r="J74">
        <v>743.81196599999998</v>
      </c>
      <c r="K74">
        <v>-13207.219846</v>
      </c>
      <c r="L74">
        <v>70382.036865000002</v>
      </c>
      <c r="M74">
        <v>-0.85376099999999999</v>
      </c>
      <c r="N74">
        <v>29.047405000000001</v>
      </c>
      <c r="O74">
        <v>172.124697</v>
      </c>
      <c r="P74">
        <v>14.077078999999999</v>
      </c>
      <c r="Q74">
        <f>$E$27</f>
        <v>-4.0945424230000009</v>
      </c>
      <c r="R74">
        <f t="shared" ref="R74:R77" si="10">K74-3232*Q74</f>
        <v>26.34126513600313</v>
      </c>
      <c r="S74">
        <f>R74/(2*N74*P74)</f>
        <v>3.2209704920220197E-2</v>
      </c>
      <c r="T74">
        <f>S74*16.02</f>
        <v>0.5159994728219276</v>
      </c>
      <c r="V74" s="1">
        <v>0.54051821569315961</v>
      </c>
    </row>
    <row r="75" spans="9:22" x14ac:dyDescent="0.2">
      <c r="J75">
        <v>743.86134600000003</v>
      </c>
      <c r="K75">
        <v>-13205.540056</v>
      </c>
      <c r="L75">
        <v>70375.112280999994</v>
      </c>
      <c r="M75">
        <v>-0.93061000000000005</v>
      </c>
      <c r="N75">
        <v>29.007142999999999</v>
      </c>
      <c r="O75">
        <v>172.243098</v>
      </c>
      <c r="P75">
        <v>14.085538</v>
      </c>
      <c r="Q75">
        <f>$E$27</f>
        <v>-4.0945424230000009</v>
      </c>
      <c r="R75">
        <f t="shared" si="10"/>
        <v>28.02105513600327</v>
      </c>
      <c r="S75">
        <f>R75/(2*N75*P75)</f>
        <v>3.4290679683040448E-2</v>
      </c>
      <c r="T75">
        <f>S75*16.02</f>
        <v>0.54933668852230799</v>
      </c>
      <c r="V75" s="1">
        <v>0.51944731562533586</v>
      </c>
    </row>
    <row r="76" spans="9:22" x14ac:dyDescent="0.2">
      <c r="J76">
        <v>743.662869</v>
      </c>
      <c r="K76">
        <v>-13208.058300000001</v>
      </c>
      <c r="L76">
        <v>70390.497545000006</v>
      </c>
      <c r="M76">
        <v>-0.97817500000000002</v>
      </c>
      <c r="N76">
        <v>29.016289</v>
      </c>
      <c r="O76">
        <v>172.17726200000001</v>
      </c>
      <c r="P76">
        <v>14.089573</v>
      </c>
      <c r="Q76">
        <f>$E$27</f>
        <v>-4.0945424230000009</v>
      </c>
      <c r="R76">
        <f t="shared" si="10"/>
        <v>25.502811136002492</v>
      </c>
      <c r="S76">
        <f>R76/(2*N76*P76)</f>
        <v>3.1190214347614525E-2</v>
      </c>
      <c r="T76">
        <f>S76*16.02</f>
        <v>0.4996672338487847</v>
      </c>
    </row>
    <row r="77" spans="9:22" x14ac:dyDescent="0.2">
      <c r="J77">
        <v>743.965554</v>
      </c>
      <c r="K77">
        <v>-13206.824044000001</v>
      </c>
      <c r="L77">
        <v>70366.630128000004</v>
      </c>
      <c r="M77">
        <v>-1.1498710000000001</v>
      </c>
      <c r="N77">
        <v>29.022534</v>
      </c>
      <c r="O77">
        <v>172.20688100000001</v>
      </c>
      <c r="P77">
        <v>14.079332000000001</v>
      </c>
      <c r="Q77">
        <f>$E$27</f>
        <v>-4.0945424230000009</v>
      </c>
      <c r="R77">
        <f t="shared" si="10"/>
        <v>26.737067136002224</v>
      </c>
      <c r="S77">
        <f>R77/(2*N77*P77)</f>
        <v>3.2716466509709941E-2</v>
      </c>
      <c r="T77">
        <f>S77*16.02</f>
        <v>0.52411779348555321</v>
      </c>
    </row>
    <row r="78" spans="9:22" x14ac:dyDescent="0.2">
      <c r="T78" s="1">
        <f>AVERAGE(T73:T77)</f>
        <v>0.51654036543498949</v>
      </c>
    </row>
    <row r="79" spans="9:22" x14ac:dyDescent="0.2">
      <c r="I79" t="s">
        <v>27</v>
      </c>
      <c r="J79">
        <v>743.93674299999998</v>
      </c>
      <c r="K79">
        <v>-19628.616226999999</v>
      </c>
      <c r="L79">
        <v>104533.52553</v>
      </c>
      <c r="M79">
        <v>-0.73586600000000002</v>
      </c>
      <c r="N79">
        <v>33.398187</v>
      </c>
      <c r="O79">
        <v>222.54345499999999</v>
      </c>
      <c r="P79">
        <v>14.064316</v>
      </c>
      <c r="Q79">
        <f>$E$27</f>
        <v>-4.0945424230000009</v>
      </c>
      <c r="R79">
        <f>K79-4800*Q79</f>
        <v>25.187403400006588</v>
      </c>
      <c r="S79">
        <f>R79/(2*N79*P79)</f>
        <v>2.681093097092823E-2</v>
      </c>
      <c r="T79">
        <f>S79*16.02</f>
        <v>0.42951111415427023</v>
      </c>
    </row>
    <row r="80" spans="9:22" x14ac:dyDescent="0.2">
      <c r="J80">
        <v>743.75975200000005</v>
      </c>
      <c r="K80">
        <v>-19629.742880999998</v>
      </c>
      <c r="L80">
        <v>104553.66847</v>
      </c>
      <c r="M80">
        <v>-0.65563700000000003</v>
      </c>
      <c r="N80">
        <v>33.391969000000003</v>
      </c>
      <c r="O80">
        <v>222.64542800000001</v>
      </c>
      <c r="P80">
        <v>14.063200999999999</v>
      </c>
      <c r="Q80">
        <f>$E$27</f>
        <v>-4.0945424230000009</v>
      </c>
      <c r="R80">
        <f>K80-4800*Q80</f>
        <v>24.060749400006898</v>
      </c>
      <c r="S80">
        <f>R80/(2*N80*P80)</f>
        <v>2.5618455405696787E-2</v>
      </c>
      <c r="T80">
        <f>S80*16.02</f>
        <v>0.41040765559926251</v>
      </c>
    </row>
    <row r="81" spans="9:28" x14ac:dyDescent="0.2">
      <c r="J81">
        <v>743.77809600000001</v>
      </c>
      <c r="K81">
        <v>-19631.474053999998</v>
      </c>
      <c r="L81">
        <v>104580.07435</v>
      </c>
      <c r="M81">
        <v>-0.77499200000000001</v>
      </c>
      <c r="N81">
        <v>33.400354999999998</v>
      </c>
      <c r="O81">
        <v>222.55747099999999</v>
      </c>
      <c r="P81">
        <v>14.068778</v>
      </c>
      <c r="Q81">
        <f>$E$27</f>
        <v>-4.0945424230000009</v>
      </c>
      <c r="R81">
        <f>K81-4800*Q81</f>
        <v>22.329576400006772</v>
      </c>
      <c r="S81">
        <f>R81/(2*N81*P81)</f>
        <v>2.3759813604445588E-2</v>
      </c>
      <c r="T81">
        <f>S81*16.02</f>
        <v>0.38063221394321833</v>
      </c>
    </row>
    <row r="82" spans="9:28" x14ac:dyDescent="0.2">
      <c r="J82">
        <v>743.701052</v>
      </c>
      <c r="K82">
        <v>-19629.250158999999</v>
      </c>
      <c r="L82">
        <v>104562.44502299999</v>
      </c>
      <c r="M82">
        <v>-0.63695199999999996</v>
      </c>
      <c r="N82">
        <v>33.397643000000002</v>
      </c>
      <c r="O82">
        <v>222.58989099999999</v>
      </c>
      <c r="P82">
        <v>14.065502</v>
      </c>
      <c r="Q82">
        <f>$E$27</f>
        <v>-4.0945424230000009</v>
      </c>
      <c r="R82">
        <f>K82-4800*Q82</f>
        <v>24.553471400005947</v>
      </c>
      <c r="S82">
        <f>R82/(2*N82*P82)</f>
        <v>2.6134358925618148E-2</v>
      </c>
      <c r="T82">
        <f>S82*16.02</f>
        <v>0.41867242998840271</v>
      </c>
    </row>
    <row r="83" spans="9:28" x14ac:dyDescent="0.2">
      <c r="J83">
        <v>743.74975500000005</v>
      </c>
      <c r="K83">
        <v>-19629.559277</v>
      </c>
      <c r="L83">
        <v>104558.25360500001</v>
      </c>
      <c r="M83">
        <v>-0.61100600000000005</v>
      </c>
      <c r="N83">
        <v>33.398108999999998</v>
      </c>
      <c r="O83">
        <v>222.56875099999999</v>
      </c>
      <c r="P83">
        <v>14.066077999999999</v>
      </c>
      <c r="Q83">
        <f>$E$27</f>
        <v>-4.0945424230000009</v>
      </c>
      <c r="R83">
        <f>K83-4800*Q83</f>
        <v>24.244353400004911</v>
      </c>
      <c r="S83">
        <f>R83/(2*N83*P83)</f>
        <v>2.5803921446740243E-2</v>
      </c>
      <c r="T83">
        <f>S83*16.02</f>
        <v>0.41337882157677869</v>
      </c>
    </row>
    <row r="84" spans="9:28" x14ac:dyDescent="0.2">
      <c r="T84" s="1">
        <f>AVERAGE(T79:T83)</f>
        <v>0.41052044705238649</v>
      </c>
    </row>
    <row r="85" spans="9:28" x14ac:dyDescent="0.2">
      <c r="I85" t="s">
        <v>172</v>
      </c>
      <c r="J85">
        <v>743.89662499999997</v>
      </c>
      <c r="K85">
        <v>-15041.649939000001</v>
      </c>
      <c r="L85">
        <v>80157.365881999998</v>
      </c>
      <c r="M85">
        <v>-0.89333300000000004</v>
      </c>
      <c r="N85">
        <v>26.803213</v>
      </c>
      <c r="O85">
        <v>212.256168</v>
      </c>
      <c r="P85">
        <v>14.089561</v>
      </c>
      <c r="Q85">
        <f>$E$27</f>
        <v>-4.0945424230000009</v>
      </c>
      <c r="R85">
        <f>K85-3680*Q85</f>
        <v>26.266177640001843</v>
      </c>
      <c r="S85">
        <f>R85/(2*N85*P85)</f>
        <v>3.4776235017864435E-2</v>
      </c>
      <c r="T85">
        <f>S85*16.02</f>
        <v>0.55711528498618823</v>
      </c>
    </row>
    <row r="86" spans="9:28" x14ac:dyDescent="0.2">
      <c r="J86">
        <v>743.70079099999998</v>
      </c>
      <c r="K86">
        <v>-15043.189533999999</v>
      </c>
      <c r="L86">
        <v>80138.870079</v>
      </c>
      <c r="M86">
        <v>-0.69210199999999999</v>
      </c>
      <c r="N86">
        <v>26.796710999999998</v>
      </c>
      <c r="O86">
        <v>212.38846699999999</v>
      </c>
      <c r="P86">
        <v>14.080940999999999</v>
      </c>
      <c r="Q86">
        <f>$E$27</f>
        <v>-4.0945424230000009</v>
      </c>
      <c r="R86">
        <f t="shared" ref="R86:R89" si="11">K86-3680*Q86</f>
        <v>24.726582640003471</v>
      </c>
      <c r="S86">
        <f>R86/(2*N86*P86)</f>
        <v>3.2765811733762237E-2</v>
      </c>
      <c r="T86">
        <f>S86*16.02</f>
        <v>0.52490830397487098</v>
      </c>
    </row>
    <row r="87" spans="9:28" x14ac:dyDescent="0.2">
      <c r="J87">
        <v>743.60042799999997</v>
      </c>
      <c r="K87">
        <v>-15043.526886</v>
      </c>
      <c r="L87">
        <v>80143.308092000007</v>
      </c>
      <c r="M87">
        <v>-0.97496899999999997</v>
      </c>
      <c r="N87">
        <v>26.784369999999999</v>
      </c>
      <c r="O87">
        <v>212.395174</v>
      </c>
      <c r="P87">
        <v>14.087761</v>
      </c>
      <c r="Q87">
        <f>$E$27</f>
        <v>-4.0945424230000009</v>
      </c>
      <c r="R87">
        <f t="shared" si="11"/>
        <v>24.389230640003007</v>
      </c>
      <c r="S87">
        <f>R87/(2*N87*P87)</f>
        <v>3.2318016186175726E-2</v>
      </c>
      <c r="T87">
        <f>S87*16.02</f>
        <v>0.51773461930253506</v>
      </c>
    </row>
    <row r="88" spans="9:28" x14ac:dyDescent="0.2">
      <c r="J88">
        <v>743.70582200000001</v>
      </c>
      <c r="K88">
        <v>-15043.584338000001</v>
      </c>
      <c r="L88">
        <v>80150.883228999999</v>
      </c>
      <c r="M88">
        <v>-0.85033999999999998</v>
      </c>
      <c r="N88">
        <v>26.804019</v>
      </c>
      <c r="O88">
        <v>212.28278700000001</v>
      </c>
      <c r="P88">
        <v>14.086224</v>
      </c>
      <c r="Q88">
        <f>$E$27</f>
        <v>-4.0945424230000009</v>
      </c>
      <c r="R88">
        <f t="shared" si="11"/>
        <v>24.331778640002085</v>
      </c>
      <c r="S88">
        <f>R88/(2*N88*P88)</f>
        <v>3.2221767062027895E-2</v>
      </c>
      <c r="T88">
        <f>S88*16.02</f>
        <v>0.51619270833368691</v>
      </c>
      <c r="Z88" t="s">
        <v>32</v>
      </c>
      <c r="AA88" t="s">
        <v>29</v>
      </c>
      <c r="AB88" t="s">
        <v>30</v>
      </c>
    </row>
    <row r="89" spans="9:28" x14ac:dyDescent="0.2">
      <c r="J89">
        <v>743.72500300000002</v>
      </c>
      <c r="K89">
        <v>-15040.432876999999</v>
      </c>
      <c r="L89">
        <v>80126.572585000002</v>
      </c>
      <c r="M89">
        <v>-0.94334600000000002</v>
      </c>
      <c r="N89">
        <v>26.797346999999998</v>
      </c>
      <c r="O89">
        <v>212.442431</v>
      </c>
      <c r="P89">
        <v>14.074878</v>
      </c>
      <c r="Q89">
        <f>$E$27</f>
        <v>-4.0945424230000009</v>
      </c>
      <c r="R89">
        <f t="shared" si="11"/>
        <v>27.483239640003376</v>
      </c>
      <c r="S89">
        <f>R89/(2*N89*P89)</f>
        <v>3.6433550000329239E-2</v>
      </c>
      <c r="T89">
        <f>S89*16.02</f>
        <v>0.58366547100527444</v>
      </c>
      <c r="Y89" t="s">
        <v>17</v>
      </c>
      <c r="Z89" s="20">
        <v>1.5517365761252533</v>
      </c>
      <c r="AA89" s="20">
        <v>1.2121254441008973</v>
      </c>
      <c r="AB89" s="1">
        <v>4.7538273401141842</v>
      </c>
    </row>
    <row r="90" spans="9:28" x14ac:dyDescent="0.2">
      <c r="T90" s="1">
        <f>AVERAGE(T85:T89)</f>
        <v>0.53992327752051117</v>
      </c>
      <c r="Y90" t="s">
        <v>27</v>
      </c>
      <c r="Z90" s="20">
        <v>1.6047990747544656</v>
      </c>
      <c r="AA90" s="20">
        <v>1.2207595440044074</v>
      </c>
      <c r="AB90" s="1">
        <v>4.8121998602234983</v>
      </c>
    </row>
    <row r="91" spans="9:28" x14ac:dyDescent="0.2">
      <c r="I91" t="s">
        <v>17</v>
      </c>
      <c r="J91">
        <v>743.70110899999997</v>
      </c>
      <c r="K91">
        <v>-31134.259486999999</v>
      </c>
      <c r="L91">
        <v>165808.82589400001</v>
      </c>
      <c r="M91">
        <v>-0.44064300000000001</v>
      </c>
      <c r="N91">
        <v>31.471323000000002</v>
      </c>
      <c r="O91">
        <v>186.9973</v>
      </c>
      <c r="P91">
        <v>28.174605</v>
      </c>
      <c r="Q91">
        <f>$E$27</f>
        <v>-4.0945424230000009</v>
      </c>
      <c r="R91">
        <f>K91-7616*Q91</f>
        <v>49.775606568007788</v>
      </c>
      <c r="S91">
        <f>R91/(2*N91*P91)</f>
        <v>2.806814613835077E-2</v>
      </c>
      <c r="T91">
        <f>S91*16.02</f>
        <v>0.44965170113637931</v>
      </c>
      <c r="Y91" t="s">
        <v>28</v>
      </c>
      <c r="Z91" s="20">
        <v>1.5901741775817031</v>
      </c>
      <c r="AA91" s="20">
        <v>1.2532842134072641</v>
      </c>
      <c r="AB91" s="1">
        <v>4.8467911389346003</v>
      </c>
    </row>
    <row r="92" spans="9:28" x14ac:dyDescent="0.2">
      <c r="J92">
        <v>743.73373900000001</v>
      </c>
      <c r="K92">
        <v>-31131.114495000002</v>
      </c>
      <c r="L92">
        <v>165824.81806699999</v>
      </c>
      <c r="M92">
        <v>-0.46809000000000001</v>
      </c>
      <c r="N92">
        <v>31.477229000000001</v>
      </c>
      <c r="O92">
        <v>187.01033899999999</v>
      </c>
      <c r="P92">
        <v>28.170062999999999</v>
      </c>
      <c r="Q92">
        <f>$E$27</f>
        <v>-4.0945424230000009</v>
      </c>
      <c r="R92">
        <f>K92-7616*Q92</f>
        <v>52.920598568005516</v>
      </c>
      <c r="S92">
        <f>R92/(2*N92*P92)</f>
        <v>2.9840798506353003E-2</v>
      </c>
      <c r="T92">
        <f>S92*16.02</f>
        <v>0.47804959207177511</v>
      </c>
      <c r="Y92" t="s">
        <v>55</v>
      </c>
      <c r="Z92">
        <v>1.5956999501879825</v>
      </c>
      <c r="AA92">
        <v>1.2426699928597111</v>
      </c>
      <c r="AB92" s="1">
        <v>4.8620866949765151</v>
      </c>
    </row>
    <row r="93" spans="9:28" x14ac:dyDescent="0.2">
      <c r="J93">
        <v>743.64847199999997</v>
      </c>
      <c r="K93">
        <v>-31131.240560999999</v>
      </c>
      <c r="L93">
        <v>165807.83059</v>
      </c>
      <c r="M93">
        <v>-0.511849</v>
      </c>
      <c r="N93">
        <v>31.474174000000001</v>
      </c>
      <c r="O93">
        <v>187.041459</v>
      </c>
      <c r="P93">
        <v>28.165239</v>
      </c>
      <c r="Q93">
        <f>$E$27</f>
        <v>-4.0945424230000009</v>
      </c>
      <c r="R93">
        <f>K93-7616*Q93</f>
        <v>52.794532568008435</v>
      </c>
      <c r="S93">
        <f>R93/(2*N93*P93)</f>
        <v>2.9777701433426909E-2</v>
      </c>
      <c r="T93">
        <f>S93*16.02</f>
        <v>0.47703877696349906</v>
      </c>
      <c r="Y93">
        <v>100</v>
      </c>
      <c r="Z93" s="20">
        <v>1.5576808499878863</v>
      </c>
      <c r="AA93" s="20">
        <v>1.2325829072111127</v>
      </c>
      <c r="AB93" s="1">
        <v>4.8444544838373629</v>
      </c>
    </row>
    <row r="94" spans="9:28" x14ac:dyDescent="0.2">
      <c r="J94">
        <v>743.81220599999995</v>
      </c>
      <c r="K94">
        <v>-31130.983164000001</v>
      </c>
      <c r="L94">
        <v>165818.637953</v>
      </c>
      <c r="M94">
        <v>-0.41458400000000001</v>
      </c>
      <c r="N94">
        <v>31.476776999999998</v>
      </c>
      <c r="O94">
        <v>187.009309</v>
      </c>
      <c r="P94">
        <v>28.169573</v>
      </c>
      <c r="Q94">
        <f>$E$27</f>
        <v>-4.0945424230000009</v>
      </c>
      <c r="R94">
        <f>K94-7616*Q94</f>
        <v>53.051929568006017</v>
      </c>
      <c r="S94">
        <f>R94/(2*N94*P94)</f>
        <v>2.9915803197474677E-2</v>
      </c>
      <c r="T94">
        <f>S94*16.02</f>
        <v>0.47925116722354433</v>
      </c>
      <c r="Y94">
        <v>110</v>
      </c>
      <c r="Z94" s="20">
        <v>1.3836882189355035</v>
      </c>
      <c r="AA94" s="20">
        <v>1.0584171184492379</v>
      </c>
      <c r="AB94" s="1">
        <v>4.5804504923295521</v>
      </c>
    </row>
    <row r="95" spans="9:28" x14ac:dyDescent="0.2">
      <c r="J95">
        <v>743.57860100000005</v>
      </c>
      <c r="K95">
        <v>-31130.564046</v>
      </c>
      <c r="L95">
        <v>165824.97764299999</v>
      </c>
      <c r="M95">
        <v>-0.41531400000000002</v>
      </c>
      <c r="N95">
        <v>31.477798</v>
      </c>
      <c r="O95">
        <v>187.01262299999999</v>
      </c>
      <c r="P95">
        <v>28.169236999999999</v>
      </c>
      <c r="Q95">
        <f>$E$27</f>
        <v>-4.0945424230000009</v>
      </c>
      <c r="R95">
        <f>K95-7616*Q95</f>
        <v>53.471047568007634</v>
      </c>
      <c r="S95">
        <f>R95/(2*N95*P95)</f>
        <v>3.0151524055174593E-2</v>
      </c>
      <c r="T95">
        <f>S95*16.02</f>
        <v>0.48302741536389698</v>
      </c>
      <c r="Y95">
        <v>111</v>
      </c>
      <c r="Z95" s="20">
        <v>1.6267068610608917</v>
      </c>
      <c r="AA95" s="20">
        <v>1.2445777221215129</v>
      </c>
      <c r="AB95" s="1">
        <v>4.9499576332028132</v>
      </c>
    </row>
    <row r="96" spans="9:28" x14ac:dyDescent="0.2">
      <c r="T96" s="1">
        <f>AVERAGE(T91:T95)</f>
        <v>0.47340373055181895</v>
      </c>
    </row>
    <row r="97" spans="9:20" x14ac:dyDescent="0.2">
      <c r="I97" t="s">
        <v>173</v>
      </c>
      <c r="J97">
        <v>743.68582800000001</v>
      </c>
      <c r="K97">
        <v>-26522.741904999999</v>
      </c>
      <c r="L97">
        <v>141291.114149</v>
      </c>
      <c r="M97">
        <v>-0.52347600000000005</v>
      </c>
      <c r="N97">
        <v>41.019525000000002</v>
      </c>
      <c r="O97">
        <v>244.705049</v>
      </c>
      <c r="P97">
        <v>14.076081</v>
      </c>
      <c r="Q97">
        <f>$E$27</f>
        <v>-4.0945424230000009</v>
      </c>
      <c r="R97">
        <f>K97-6488*Q97</f>
        <v>42.649335424008314</v>
      </c>
      <c r="S97">
        <f>R97/(2*N97*P97)</f>
        <v>3.6932600499372192E-2</v>
      </c>
      <c r="T97">
        <f>S97*16.02</f>
        <v>0.59166025999994254</v>
      </c>
    </row>
    <row r="98" spans="9:20" x14ac:dyDescent="0.2">
      <c r="J98">
        <v>743.75571300000001</v>
      </c>
      <c r="K98">
        <v>-26518.702533</v>
      </c>
      <c r="L98">
        <v>141274.51540800001</v>
      </c>
      <c r="M98">
        <v>-0.45347399999999999</v>
      </c>
      <c r="N98">
        <v>41.018996999999999</v>
      </c>
      <c r="O98">
        <v>244.67447799999999</v>
      </c>
      <c r="P98">
        <v>14.076371999999999</v>
      </c>
      <c r="Q98">
        <f>$E$27</f>
        <v>-4.0945424230000009</v>
      </c>
      <c r="R98">
        <f t="shared" ref="R98:R101" si="12">K98-6488*Q98</f>
        <v>46.688707424007589</v>
      </c>
      <c r="S98">
        <f>R98/(2*N98*P98)</f>
        <v>4.0430217967751314E-2</v>
      </c>
      <c r="T98">
        <f>S98*16.02</f>
        <v>0.64769209184337606</v>
      </c>
    </row>
    <row r="99" spans="9:20" x14ac:dyDescent="0.2">
      <c r="J99">
        <v>743.85920699999997</v>
      </c>
      <c r="K99">
        <v>-26522.528880999998</v>
      </c>
      <c r="L99">
        <v>141276.36180799999</v>
      </c>
      <c r="M99">
        <v>-0.50920399999999999</v>
      </c>
      <c r="N99">
        <v>41.024026999999997</v>
      </c>
      <c r="O99">
        <v>244.59711999999999</v>
      </c>
      <c r="P99">
        <v>14.079279</v>
      </c>
      <c r="Q99">
        <f>$E$27</f>
        <v>-4.0945424230000009</v>
      </c>
      <c r="R99">
        <f t="shared" si="12"/>
        <v>42.862359424008901</v>
      </c>
      <c r="S99">
        <f>R99/(2*N99*P99)</f>
        <v>3.7104567492004845E-2</v>
      </c>
      <c r="T99">
        <f>S99*16.02</f>
        <v>0.59441517122191756</v>
      </c>
    </row>
    <row r="100" spans="9:20" x14ac:dyDescent="0.2">
      <c r="J100">
        <v>743.75668499999995</v>
      </c>
      <c r="K100">
        <v>-26522.270231999999</v>
      </c>
      <c r="L100">
        <v>141265.41536300001</v>
      </c>
      <c r="M100">
        <v>-0.27393800000000001</v>
      </c>
      <c r="N100">
        <v>41.026308999999998</v>
      </c>
      <c r="O100">
        <v>244.579543</v>
      </c>
      <c r="P100">
        <v>14.078416000000001</v>
      </c>
      <c r="Q100">
        <f>$E$27</f>
        <v>-4.0945424230000009</v>
      </c>
      <c r="R100">
        <f t="shared" si="12"/>
        <v>43.121008424008323</v>
      </c>
      <c r="S100">
        <f>R100/(2*N100*P100)</f>
        <v>3.7328683395522089E-2</v>
      </c>
      <c r="T100">
        <f>S100*16.02</f>
        <v>0.59800550799626384</v>
      </c>
    </row>
    <row r="101" spans="9:20" x14ac:dyDescent="0.2">
      <c r="J101">
        <v>743.79504199999997</v>
      </c>
      <c r="K101">
        <v>-26521.312175999999</v>
      </c>
      <c r="L101">
        <v>141296.970955</v>
      </c>
      <c r="M101">
        <v>-0.486155</v>
      </c>
      <c r="N101">
        <v>41.028241000000001</v>
      </c>
      <c r="O101">
        <v>244.722487</v>
      </c>
      <c r="P101">
        <v>14.072673</v>
      </c>
      <c r="Q101">
        <f>$E$27</f>
        <v>-4.0945424230000009</v>
      </c>
      <c r="R101">
        <f t="shared" si="12"/>
        <v>44.079064424007811</v>
      </c>
      <c r="S101">
        <f>R101/(2*N101*P101)</f>
        <v>3.817182096458021E-2</v>
      </c>
      <c r="T101">
        <f>S101*16.02</f>
        <v>0.6115125718525749</v>
      </c>
    </row>
    <row r="102" spans="9:20" x14ac:dyDescent="0.2">
      <c r="T102" s="1">
        <f>AVERAGE(T97:T101)</f>
        <v>0.60865712058281507</v>
      </c>
    </row>
    <row r="103" spans="9:20" x14ac:dyDescent="0.2">
      <c r="I103" t="s">
        <v>174</v>
      </c>
      <c r="J103">
        <v>743.69384400000001</v>
      </c>
      <c r="K103">
        <v>-13472.212669</v>
      </c>
      <c r="L103">
        <v>71762.147341000004</v>
      </c>
      <c r="M103">
        <v>-0.89442699999999997</v>
      </c>
      <c r="N103">
        <v>25.357184</v>
      </c>
      <c r="O103">
        <v>200.98148499999999</v>
      </c>
      <c r="P103">
        <v>14.081184</v>
      </c>
      <c r="Q103">
        <f>$E$27</f>
        <v>-4.0945424230000009</v>
      </c>
      <c r="R103">
        <f>K103-3296*Q103</f>
        <v>23.399157208003089</v>
      </c>
      <c r="S103">
        <f>R103/(2*N103*P103)</f>
        <v>3.2766497735361173E-2</v>
      </c>
      <c r="T103">
        <f>S103*16.02</f>
        <v>0.52491929372048596</v>
      </c>
    </row>
    <row r="104" spans="9:20" x14ac:dyDescent="0.2">
      <c r="J104">
        <v>743.56220599999995</v>
      </c>
      <c r="K104">
        <v>-13472.367848</v>
      </c>
      <c r="L104">
        <v>71757.065889000005</v>
      </c>
      <c r="M104">
        <v>-0.77600000000000002</v>
      </c>
      <c r="N104">
        <v>25.358526999999999</v>
      </c>
      <c r="O104">
        <v>201.01261600000001</v>
      </c>
      <c r="P104">
        <v>14.077264</v>
      </c>
      <c r="Q104">
        <f>$E$27</f>
        <v>-4.0945424230000009</v>
      </c>
      <c r="R104">
        <f t="shared" ref="R104:R107" si="13">K104-3296*Q104</f>
        <v>23.243978208003682</v>
      </c>
      <c r="S104">
        <f>R104/(2*N104*P104)</f>
        <v>3.2556535670607019E-2</v>
      </c>
      <c r="T104">
        <f>S104*16.02</f>
        <v>0.52155570144312446</v>
      </c>
    </row>
    <row r="105" spans="9:20" x14ac:dyDescent="0.2">
      <c r="J105">
        <v>743.602351</v>
      </c>
      <c r="K105">
        <v>-13471.262214</v>
      </c>
      <c r="L105">
        <v>71756.351934999999</v>
      </c>
      <c r="M105">
        <v>-0.85495900000000002</v>
      </c>
      <c r="N105">
        <v>25.345773999999999</v>
      </c>
      <c r="O105">
        <v>200.93597500000001</v>
      </c>
      <c r="P105">
        <v>14.089581000000001</v>
      </c>
      <c r="Q105">
        <f>$E$27</f>
        <v>-4.0945424230000009</v>
      </c>
      <c r="R105">
        <f t="shared" si="13"/>
        <v>24.349612208003236</v>
      </c>
      <c r="S105">
        <f>R105/(2*N105*P105)</f>
        <v>3.4092466085922014E-2</v>
      </c>
      <c r="T105">
        <f>S105*16.02</f>
        <v>0.54616130669647067</v>
      </c>
    </row>
    <row r="106" spans="9:20" x14ac:dyDescent="0.2">
      <c r="J106">
        <v>743.69527600000004</v>
      </c>
      <c r="K106">
        <v>-13470.483851000001</v>
      </c>
      <c r="L106">
        <v>71773.576795000001</v>
      </c>
      <c r="M106">
        <v>-0.99616099999999996</v>
      </c>
      <c r="N106">
        <v>25.364353999999999</v>
      </c>
      <c r="O106">
        <v>201.16038900000001</v>
      </c>
      <c r="P106">
        <v>14.066928000000001</v>
      </c>
      <c r="Q106">
        <f>$E$27</f>
        <v>-4.0945424230000009</v>
      </c>
      <c r="R106">
        <f t="shared" si="13"/>
        <v>25.127975208002681</v>
      </c>
      <c r="S106">
        <f>R106/(2*N106*P106)</f>
        <v>3.5213113685182262E-2</v>
      </c>
      <c r="T106">
        <f>S106*16.02</f>
        <v>0.56411408123661988</v>
      </c>
    </row>
    <row r="107" spans="9:20" x14ac:dyDescent="0.2">
      <c r="J107">
        <v>743.90845200000001</v>
      </c>
      <c r="K107">
        <v>-13471.287189999999</v>
      </c>
      <c r="L107">
        <v>71750.480936000007</v>
      </c>
      <c r="M107">
        <v>-1.0110600000000001</v>
      </c>
      <c r="N107">
        <v>25.346848999999999</v>
      </c>
      <c r="O107">
        <v>201.00775400000001</v>
      </c>
      <c r="P107">
        <v>14.082799</v>
      </c>
      <c r="Q107">
        <f>$E$27</f>
        <v>-4.0945424230000009</v>
      </c>
      <c r="R107">
        <f t="shared" si="13"/>
        <v>24.324636208004449</v>
      </c>
      <c r="S107">
        <f>R107/(2*N107*P107)</f>
        <v>3.4072452894450544E-2</v>
      </c>
      <c r="T107">
        <f>S107*16.02</f>
        <v>0.54584069536909774</v>
      </c>
    </row>
    <row r="108" spans="9:20" x14ac:dyDescent="0.2">
      <c r="T108" s="1">
        <f>AVERAGE(T103:T107)</f>
        <v>0.54051821569315961</v>
      </c>
    </row>
    <row r="109" spans="9:20" x14ac:dyDescent="0.2">
      <c r="I109" t="s">
        <v>175</v>
      </c>
      <c r="J109">
        <v>743.68596600000001</v>
      </c>
      <c r="K109">
        <v>-19425.050012</v>
      </c>
      <c r="L109">
        <v>103456.853399</v>
      </c>
      <c r="M109">
        <v>-0.84725300000000003</v>
      </c>
      <c r="N109">
        <v>35.156581000000003</v>
      </c>
      <c r="O109">
        <v>208.93149199999999</v>
      </c>
      <c r="P109">
        <v>14.084759999999999</v>
      </c>
      <c r="Q109">
        <f>$E$27</f>
        <v>-4.0945424230000009</v>
      </c>
      <c r="R109">
        <f>K109-4752*Q109</f>
        <v>32.215582096003345</v>
      </c>
      <c r="S109">
        <f>R109/(2*N109*P109)</f>
        <v>3.2529688389385136E-2</v>
      </c>
      <c r="T109">
        <f>S109*16.02</f>
        <v>0.52112560799794982</v>
      </c>
    </row>
    <row r="110" spans="9:20" x14ac:dyDescent="0.2">
      <c r="J110">
        <v>743.88669800000002</v>
      </c>
      <c r="K110">
        <v>-19425.767215</v>
      </c>
      <c r="L110">
        <v>103459.764528</v>
      </c>
      <c r="M110">
        <v>-0.789053</v>
      </c>
      <c r="N110">
        <v>35.163030999999997</v>
      </c>
      <c r="O110">
        <v>208.995959</v>
      </c>
      <c r="P110">
        <v>14.078226000000001</v>
      </c>
      <c r="Q110">
        <f>$E$27</f>
        <v>-4.0945424230000009</v>
      </c>
      <c r="R110">
        <f t="shared" ref="R110:R113" si="14">K110-4752*Q110</f>
        <v>31.498379096003191</v>
      </c>
      <c r="S110">
        <f>R110/(2*N110*P110)</f>
        <v>3.1814417329017929E-2</v>
      </c>
      <c r="T110">
        <f>S110*16.02</f>
        <v>0.50966696561086722</v>
      </c>
    </row>
    <row r="111" spans="9:20" x14ac:dyDescent="0.2">
      <c r="J111">
        <v>743.86350000000004</v>
      </c>
      <c r="K111">
        <v>-19424.394204</v>
      </c>
      <c r="L111">
        <v>103439.235956</v>
      </c>
      <c r="M111">
        <v>-0.81582500000000002</v>
      </c>
      <c r="N111">
        <v>35.145012000000001</v>
      </c>
      <c r="O111">
        <v>208.99356800000001</v>
      </c>
      <c r="P111">
        <v>14.082811</v>
      </c>
      <c r="Q111">
        <f>$E$27</f>
        <v>-4.0945424230000009</v>
      </c>
      <c r="R111">
        <f t="shared" si="14"/>
        <v>32.87139009600287</v>
      </c>
      <c r="S111">
        <f>R111/(2*N111*P111)</f>
        <v>3.3207411805659566E-2</v>
      </c>
      <c r="T111">
        <f>S111*16.02</f>
        <v>0.53198273712666622</v>
      </c>
    </row>
    <row r="112" spans="9:20" x14ac:dyDescent="0.2">
      <c r="J112">
        <v>743.77077099999997</v>
      </c>
      <c r="K112">
        <v>-19427.537700000001</v>
      </c>
      <c r="L112">
        <v>103488.453777</v>
      </c>
      <c r="M112">
        <v>-0.59626299999999999</v>
      </c>
      <c r="N112">
        <v>35.142539999999997</v>
      </c>
      <c r="O112">
        <v>208.95600200000001</v>
      </c>
      <c r="P112">
        <v>14.093037000000001</v>
      </c>
      <c r="Q112">
        <f>$E$27</f>
        <v>-4.0945424230000009</v>
      </c>
      <c r="R112">
        <f t="shared" si="14"/>
        <v>29.727894096002274</v>
      </c>
      <c r="S112">
        <f>R112/(2*N112*P112)</f>
        <v>3.0012101706706432E-2</v>
      </c>
      <c r="T112">
        <f>S112*16.02</f>
        <v>0.48079386934143703</v>
      </c>
    </row>
    <row r="113" spans="9:20" x14ac:dyDescent="0.2">
      <c r="J113">
        <v>743.91949299999999</v>
      </c>
      <c r="K113">
        <v>-19423.058182000001</v>
      </c>
      <c r="L113">
        <v>103432.82950000001</v>
      </c>
      <c r="M113">
        <v>-0.59557000000000004</v>
      </c>
      <c r="N113">
        <v>35.168798000000002</v>
      </c>
      <c r="O113">
        <v>209.00434100000001</v>
      </c>
      <c r="P113">
        <v>14.07169</v>
      </c>
      <c r="Q113">
        <f>$E$27</f>
        <v>-4.0945424230000009</v>
      </c>
      <c r="R113">
        <f t="shared" si="14"/>
        <v>34.207412096002372</v>
      </c>
      <c r="S113">
        <f>R113/(2*N113*P113)</f>
        <v>3.4561011114217166E-2</v>
      </c>
      <c r="T113">
        <f>S113*16.02</f>
        <v>0.55366739804975895</v>
      </c>
    </row>
    <row r="114" spans="9:20" x14ac:dyDescent="0.2">
      <c r="T114" s="1">
        <f>AVERAGE(T109:T113)</f>
        <v>0.51944731562533586</v>
      </c>
    </row>
    <row r="115" spans="9:20" x14ac:dyDescent="0.2">
      <c r="I115" t="s">
        <v>111</v>
      </c>
      <c r="J115">
        <v>694.18698300000005</v>
      </c>
      <c r="K115">
        <v>-15625.812368999999</v>
      </c>
      <c r="L115">
        <v>83219.690789999993</v>
      </c>
      <c r="M115">
        <v>-0.83207799999999998</v>
      </c>
      <c r="N115">
        <v>31.564041</v>
      </c>
      <c r="O115">
        <v>187.315201</v>
      </c>
      <c r="P115">
        <v>14.075424</v>
      </c>
      <c r="Q115">
        <f>$E$27</f>
        <v>-4.0945424230000009</v>
      </c>
      <c r="R115">
        <f>K115-3824*Q115</f>
        <v>31.717856552004378</v>
      </c>
      <c r="S115">
        <f>R115/(2*N115*P115)</f>
        <v>3.5696016194593866E-2</v>
      </c>
      <c r="T115">
        <f>S115*16.02</f>
        <v>0.57185017943739369</v>
      </c>
    </row>
    <row r="116" spans="9:20" x14ac:dyDescent="0.2">
      <c r="J116">
        <v>694.02655100000004</v>
      </c>
      <c r="K116">
        <v>-15627.446415</v>
      </c>
      <c r="L116">
        <v>83227.444782000006</v>
      </c>
      <c r="M116">
        <v>-0.75026000000000004</v>
      </c>
      <c r="N116">
        <v>31.536774000000001</v>
      </c>
      <c r="O116">
        <v>187.391031</v>
      </c>
      <c r="P116">
        <v>14.083202999999999</v>
      </c>
      <c r="Q116">
        <f>$E$27</f>
        <v>-4.0945424230000009</v>
      </c>
      <c r="R116">
        <f>K116-3824*Q116</f>
        <v>30.083810552003342</v>
      </c>
      <c r="S116">
        <f>R116/(2*N116*P116)</f>
        <v>3.3867578350873048E-2</v>
      </c>
      <c r="T116">
        <f>S116*16.02</f>
        <v>0.5425586051809862</v>
      </c>
    </row>
    <row r="117" spans="9:20" x14ac:dyDescent="0.2">
      <c r="J117">
        <v>694.04308700000001</v>
      </c>
      <c r="K117">
        <v>-15624.904064</v>
      </c>
      <c r="L117">
        <v>83232.892909000002</v>
      </c>
      <c r="M117">
        <v>-0.74989700000000004</v>
      </c>
      <c r="N117">
        <v>31.552175999999999</v>
      </c>
      <c r="O117">
        <v>187.2568</v>
      </c>
      <c r="P117">
        <v>14.087344999999999</v>
      </c>
      <c r="Q117">
        <f>$E$27</f>
        <v>-4.0945424230000009</v>
      </c>
      <c r="R117">
        <f>K117-3824*Q117</f>
        <v>32.626161552003396</v>
      </c>
      <c r="S117">
        <f>R117/(2*N117*P117)</f>
        <v>3.6700968098429348E-2</v>
      </c>
      <c r="T117">
        <f>S117*16.02</f>
        <v>0.58794950893683817</v>
      </c>
    </row>
    <row r="118" spans="9:20" x14ac:dyDescent="0.2">
      <c r="J118">
        <v>694.20926099999997</v>
      </c>
      <c r="K118">
        <v>-15627.584312000001</v>
      </c>
      <c r="L118">
        <v>83238.279330000005</v>
      </c>
      <c r="M118">
        <v>-0.72956299999999996</v>
      </c>
      <c r="N118">
        <v>31.550650999999998</v>
      </c>
      <c r="O118">
        <v>187.324084</v>
      </c>
      <c r="P118">
        <v>14.083869999999999</v>
      </c>
      <c r="Q118">
        <f>$E$27</f>
        <v>-4.0945424230000009</v>
      </c>
      <c r="R118">
        <f>K118-3824*Q118</f>
        <v>29.945913552002821</v>
      </c>
      <c r="S118">
        <f>R118/(2*N118*P118)</f>
        <v>3.3695913798301058E-2</v>
      </c>
      <c r="T118">
        <f>S118*16.02</f>
        <v>0.5398085390487829</v>
      </c>
    </row>
    <row r="119" spans="9:20" x14ac:dyDescent="0.2">
      <c r="J119">
        <v>694.13957500000004</v>
      </c>
      <c r="K119">
        <v>-15626.104015999999</v>
      </c>
      <c r="L119">
        <v>83227.925921999995</v>
      </c>
      <c r="M119">
        <v>-0.77637400000000001</v>
      </c>
      <c r="N119">
        <v>31.549130000000002</v>
      </c>
      <c r="O119">
        <v>187.29953699999999</v>
      </c>
      <c r="P119">
        <v>14.084648</v>
      </c>
      <c r="Q119">
        <f>$E$27</f>
        <v>-4.0945424230000009</v>
      </c>
      <c r="R119">
        <f>K119-3824*Q119</f>
        <v>31.426209552004366</v>
      </c>
      <c r="S119">
        <f>R119/(2*N119*P119)</f>
        <v>3.536133243542567E-2</v>
      </c>
      <c r="T119">
        <f>S119*16.02</f>
        <v>0.5664885456155192</v>
      </c>
    </row>
    <row r="120" spans="9:20" x14ac:dyDescent="0.2">
      <c r="T120" s="1">
        <f>AVERAGE(T115:T119)</f>
        <v>0.56173107564390401</v>
      </c>
    </row>
    <row r="121" spans="9:20" x14ac:dyDescent="0.2">
      <c r="T121" s="1"/>
    </row>
    <row r="122" spans="9:20" x14ac:dyDescent="0.2">
      <c r="I122" t="s">
        <v>30</v>
      </c>
    </row>
    <row r="123" spans="9:20" x14ac:dyDescent="0.2">
      <c r="J123" t="s">
        <v>18</v>
      </c>
      <c r="K123" t="s">
        <v>5</v>
      </c>
      <c r="L123" t="s">
        <v>7</v>
      </c>
      <c r="M123" t="s">
        <v>19</v>
      </c>
      <c r="N123" t="s">
        <v>20</v>
      </c>
      <c r="O123" t="s">
        <v>21</v>
      </c>
      <c r="P123" t="s">
        <v>22</v>
      </c>
      <c r="Q123" t="s">
        <v>26</v>
      </c>
      <c r="R123" t="s">
        <v>12</v>
      </c>
      <c r="S123" t="s">
        <v>23</v>
      </c>
      <c r="T123" t="s">
        <v>23</v>
      </c>
    </row>
    <row r="124" spans="9:20" x14ac:dyDescent="0.2">
      <c r="I124" t="s">
        <v>55</v>
      </c>
      <c r="J124">
        <v>693.62662999999998</v>
      </c>
      <c r="K124">
        <v>-26418.309932</v>
      </c>
      <c r="L124">
        <v>62123.459472000002</v>
      </c>
      <c r="M124">
        <v>-0.83486199999999999</v>
      </c>
      <c r="N124">
        <v>28.670331999999998</v>
      </c>
      <c r="O124">
        <v>171.167813</v>
      </c>
      <c r="P124">
        <v>12.659044</v>
      </c>
      <c r="Q124">
        <f>$E$41</f>
        <v>-6.7846170130000001</v>
      </c>
      <c r="R124">
        <f>K124-3904*Q124</f>
        <v>68.834886751999875</v>
      </c>
      <c r="S124">
        <f>R124/(2*N124*P124)</f>
        <v>9.4829830682784874E-2</v>
      </c>
      <c r="T124">
        <f>S124*16.02</f>
        <v>1.5191738875382137</v>
      </c>
    </row>
    <row r="125" spans="9:20" x14ac:dyDescent="0.2">
      <c r="J125">
        <v>693.55434100000002</v>
      </c>
      <c r="K125">
        <v>-26418.990521</v>
      </c>
      <c r="L125">
        <v>62121.805834999999</v>
      </c>
      <c r="M125">
        <v>-0.77658099999999997</v>
      </c>
      <c r="N125">
        <v>28.669879000000002</v>
      </c>
      <c r="O125">
        <v>171.165347</v>
      </c>
      <c r="P125">
        <v>12.659089</v>
      </c>
      <c r="Q125">
        <f>$E$41</f>
        <v>-6.7846170130000001</v>
      </c>
      <c r="R125">
        <f>K125-3904*Q125</f>
        <v>68.154297752000275</v>
      </c>
      <c r="S125">
        <f>R125/(2*N125*P125)</f>
        <v>9.3893372475135392E-2</v>
      </c>
      <c r="T125">
        <f>S125*16.02</f>
        <v>1.5041718270516689</v>
      </c>
    </row>
    <row r="126" spans="9:20" x14ac:dyDescent="0.2">
      <c r="J126">
        <v>693.50443499999994</v>
      </c>
      <c r="K126">
        <v>-26419.36609</v>
      </c>
      <c r="L126">
        <v>62120.680375000004</v>
      </c>
      <c r="M126">
        <v>-0.80920400000000003</v>
      </c>
      <c r="N126">
        <v>28.670210999999998</v>
      </c>
      <c r="O126">
        <v>171.16220000000001</v>
      </c>
      <c r="P126">
        <v>12.658946</v>
      </c>
      <c r="Q126">
        <f>$E$41</f>
        <v>-6.7846170130000001</v>
      </c>
      <c r="R126">
        <f>K126-3904*Q126</f>
        <v>67.778728752000461</v>
      </c>
      <c r="S126">
        <f>R126/(2*N126*P126)</f>
        <v>9.3375940018867259E-2</v>
      </c>
      <c r="T126">
        <f>S126*16.02</f>
        <v>1.4958825591022535</v>
      </c>
    </row>
    <row r="127" spans="9:20" x14ac:dyDescent="0.2">
      <c r="J127">
        <v>693.71879300000001</v>
      </c>
      <c r="K127">
        <v>-26417.399517999998</v>
      </c>
      <c r="L127">
        <v>62126.516434999998</v>
      </c>
      <c r="M127">
        <v>-0.81535599999999997</v>
      </c>
      <c r="N127">
        <v>28.673106000000001</v>
      </c>
      <c r="O127">
        <v>171.16171600000001</v>
      </c>
      <c r="P127">
        <v>12.658893000000001</v>
      </c>
      <c r="Q127">
        <f>$E$41</f>
        <v>-6.7846170130000001</v>
      </c>
      <c r="R127">
        <f>K127-3904*Q127</f>
        <v>69.74530075200164</v>
      </c>
      <c r="S127">
        <f>R127/(2*N127*P127)</f>
        <v>9.60759055370905E-2</v>
      </c>
      <c r="T127">
        <f>S127*16.02</f>
        <v>1.5391360067041897</v>
      </c>
    </row>
    <row r="128" spans="9:20" x14ac:dyDescent="0.2">
      <c r="J128">
        <v>693.71188600000005</v>
      </c>
      <c r="K128">
        <v>-26419.015294000001</v>
      </c>
      <c r="L128">
        <v>62122.378486000001</v>
      </c>
      <c r="M128">
        <v>-0.90331799999999995</v>
      </c>
      <c r="N128">
        <v>28.669983999999999</v>
      </c>
      <c r="O128">
        <v>171.168746</v>
      </c>
      <c r="P128">
        <v>12.658909</v>
      </c>
      <c r="Q128">
        <f>$E$41</f>
        <v>-6.7846170130000001</v>
      </c>
      <c r="R128">
        <f>K128-3904*Q128</f>
        <v>68.12952475199927</v>
      </c>
      <c r="S128">
        <f>R128/(2*N128*P128)</f>
        <v>9.386023458683071E-2</v>
      </c>
      <c r="T128">
        <f>S128*16.02</f>
        <v>1.5036409580810279</v>
      </c>
    </row>
    <row r="129" spans="9:22" x14ac:dyDescent="0.2">
      <c r="T129" s="1">
        <f>AVERAGE(T124:T128)</f>
        <v>1.5124010476954708</v>
      </c>
      <c r="V129" s="1">
        <v>1.5124010476954708</v>
      </c>
    </row>
    <row r="130" spans="9:22" x14ac:dyDescent="0.2">
      <c r="I130" t="s">
        <v>133</v>
      </c>
      <c r="J130">
        <v>743.55985699999997</v>
      </c>
      <c r="K130">
        <v>-21436.612896999999</v>
      </c>
      <c r="L130">
        <v>50422.390089</v>
      </c>
      <c r="M130">
        <v>-1.3480380000000001</v>
      </c>
      <c r="N130">
        <v>22.390817999999999</v>
      </c>
      <c r="O130">
        <v>177.895399</v>
      </c>
      <c r="P130">
        <v>12.658693</v>
      </c>
      <c r="Q130">
        <f>$E$41</f>
        <v>-6.7846170130000001</v>
      </c>
      <c r="R130">
        <f>K130-3168*Q130</f>
        <v>57.053800183999556</v>
      </c>
      <c r="S130">
        <f>R130/(2*N130*P130)</f>
        <v>0.1006458226023372</v>
      </c>
      <c r="T130">
        <f>S130*16.02</f>
        <v>1.6123460780894419</v>
      </c>
      <c r="V130" s="1">
        <v>1.5902708418224023</v>
      </c>
    </row>
    <row r="131" spans="9:22" x14ac:dyDescent="0.2">
      <c r="J131">
        <v>743.32502799999997</v>
      </c>
      <c r="K131">
        <v>-21437.833972</v>
      </c>
      <c r="L131">
        <v>50420.390640999998</v>
      </c>
      <c r="M131">
        <v>-1.009341</v>
      </c>
      <c r="N131">
        <v>22.389198</v>
      </c>
      <c r="O131">
        <v>177.90437499999999</v>
      </c>
      <c r="P131">
        <v>12.658469</v>
      </c>
      <c r="Q131">
        <f>$E$41</f>
        <v>-6.7846170130000001</v>
      </c>
      <c r="R131">
        <f t="shared" ref="R131:R134" si="15">K131-3168*Q131</f>
        <v>55.832725183998264</v>
      </c>
      <c r="S131">
        <f>R131/(2*N131*P131)</f>
        <v>9.8500653334392202E-2</v>
      </c>
      <c r="T131">
        <f>S131*16.02</f>
        <v>1.577980466416963</v>
      </c>
      <c r="V131" s="1">
        <v>1.6229690429764296</v>
      </c>
    </row>
    <row r="132" spans="9:22" x14ac:dyDescent="0.2">
      <c r="J132">
        <v>743.18354299999999</v>
      </c>
      <c r="K132">
        <v>-21437.905445</v>
      </c>
      <c r="L132">
        <v>50419.791625999998</v>
      </c>
      <c r="M132">
        <v>-1.0130159999999999</v>
      </c>
      <c r="N132">
        <v>22.389692</v>
      </c>
      <c r="O132">
        <v>177.89940899999999</v>
      </c>
      <c r="P132">
        <v>12.658391999999999</v>
      </c>
      <c r="Q132">
        <f>$E$41</f>
        <v>-6.7846170130000001</v>
      </c>
      <c r="R132">
        <f t="shared" si="15"/>
        <v>55.761252183998295</v>
      </c>
      <c r="S132">
        <f>R132/(2*N132*P132)</f>
        <v>9.8372987833756642E-2</v>
      </c>
      <c r="T132">
        <f>S132*16.02</f>
        <v>1.5759352650967813</v>
      </c>
      <c r="V132" s="1">
        <v>1.8217240085850173</v>
      </c>
    </row>
    <row r="133" spans="9:22" x14ac:dyDescent="0.2">
      <c r="J133">
        <v>743.54904799999997</v>
      </c>
      <c r="K133">
        <v>-21437.155470000002</v>
      </c>
      <c r="L133">
        <v>50421.790352000004</v>
      </c>
      <c r="M133">
        <v>-1.254653</v>
      </c>
      <c r="N133">
        <v>22.389299000000001</v>
      </c>
      <c r="O133">
        <v>177.904304</v>
      </c>
      <c r="P133">
        <v>12.658768</v>
      </c>
      <c r="Q133">
        <f>$E$41</f>
        <v>-6.7846170130000001</v>
      </c>
      <c r="R133">
        <f t="shared" si="15"/>
        <v>56.511227183997107</v>
      </c>
      <c r="S133">
        <f>R133/(2*N133*P133)</f>
        <v>9.9694868770674752E-2</v>
      </c>
      <c r="T133">
        <f>S133*16.02</f>
        <v>1.5971117977062095</v>
      </c>
      <c r="V133" s="1">
        <v>1.551869770910125</v>
      </c>
    </row>
    <row r="134" spans="9:22" x14ac:dyDescent="0.2">
      <c r="J134">
        <v>743.45156099999997</v>
      </c>
      <c r="K134">
        <v>-21437.474097999999</v>
      </c>
      <c r="L134">
        <v>50420.599116999998</v>
      </c>
      <c r="M134">
        <v>-0.95090200000000003</v>
      </c>
      <c r="N134">
        <v>22.390886999999999</v>
      </c>
      <c r="O134">
        <v>177.88596200000001</v>
      </c>
      <c r="P134">
        <v>12.658875999999999</v>
      </c>
      <c r="Q134">
        <f>$E$41</f>
        <v>-6.7846170130000001</v>
      </c>
      <c r="R134">
        <f t="shared" si="15"/>
        <v>56.192599183999846</v>
      </c>
      <c r="S134">
        <f>R134/(2*N134*P134)</f>
        <v>9.9124881510775045E-2</v>
      </c>
      <c r="T134">
        <f>S134*16.02</f>
        <v>1.5879806018026161</v>
      </c>
      <c r="V134" s="1">
        <v>1.8537055712021815</v>
      </c>
    </row>
    <row r="135" spans="9:22" x14ac:dyDescent="0.2">
      <c r="T135" s="1">
        <f>AVERAGE(T130:T134)</f>
        <v>1.5902708418224023</v>
      </c>
      <c r="V135" s="1">
        <v>1.6166045715023087</v>
      </c>
    </row>
    <row r="136" spans="9:22" x14ac:dyDescent="0.2">
      <c r="I136" t="s">
        <v>28</v>
      </c>
      <c r="J136">
        <v>793.72470399999997</v>
      </c>
      <c r="K136">
        <v>-50353.817881000003</v>
      </c>
      <c r="L136">
        <v>118411.591147</v>
      </c>
      <c r="M136">
        <v>-9.7165000000000001E-2</v>
      </c>
      <c r="N136">
        <v>32.245381000000002</v>
      </c>
      <c r="O136">
        <v>193.55284900000001</v>
      </c>
      <c r="P136">
        <v>18.97261</v>
      </c>
      <c r="Q136">
        <f>$E$41</f>
        <v>-6.7846170130000001</v>
      </c>
      <c r="R136">
        <f>K136-7440*Q136</f>
        <v>123.73269571999845</v>
      </c>
      <c r="S136">
        <f>R136/(2*N136*P136)</f>
        <v>0.10112531488622531</v>
      </c>
      <c r="T136">
        <f>S136*16.02</f>
        <v>1.6200275444773293</v>
      </c>
      <c r="V136" s="1">
        <v>1.9372977166344842</v>
      </c>
    </row>
    <row r="137" spans="9:22" x14ac:dyDescent="0.2">
      <c r="J137">
        <v>794.09908700000005</v>
      </c>
      <c r="K137">
        <v>-50353.561562000003</v>
      </c>
      <c r="L137">
        <v>118411.72021699999</v>
      </c>
      <c r="M137">
        <v>2.1753999999999999E-2</v>
      </c>
      <c r="N137">
        <v>32.245393</v>
      </c>
      <c r="O137">
        <v>193.552919</v>
      </c>
      <c r="P137">
        <v>18.972617</v>
      </c>
      <c r="Q137">
        <f>$E$41</f>
        <v>-6.7846170130000001</v>
      </c>
      <c r="R137">
        <f>K137-7440*Q137</f>
        <v>123.98901471999852</v>
      </c>
      <c r="S137">
        <f>R137/(2*N137*P137)</f>
        <v>0.10133472636975441</v>
      </c>
      <c r="T137">
        <f>S137*16.02</f>
        <v>1.6233823164434655</v>
      </c>
      <c r="V137" s="1">
        <v>1.7683695370223009</v>
      </c>
    </row>
    <row r="138" spans="9:22" x14ac:dyDescent="0.2">
      <c r="J138">
        <v>794.12211300000001</v>
      </c>
      <c r="K138">
        <v>-50353.395069999999</v>
      </c>
      <c r="L138">
        <v>118412.674704</v>
      </c>
      <c r="M138">
        <v>0.24209</v>
      </c>
      <c r="N138">
        <v>32.245479000000003</v>
      </c>
      <c r="O138">
        <v>193.553439</v>
      </c>
      <c r="P138">
        <v>18.972667999999999</v>
      </c>
      <c r="Q138">
        <f>$E$41</f>
        <v>-6.7846170130000001</v>
      </c>
      <c r="R138">
        <f>K138-7440*Q138</f>
        <v>124.15550672000245</v>
      </c>
      <c r="S138">
        <f>R138/(2*N138*P138)</f>
        <v>0.10147025488602716</v>
      </c>
      <c r="T138">
        <f>S138*16.02</f>
        <v>1.6255534832741552</v>
      </c>
      <c r="V138" s="1">
        <v>1.7065861303660999</v>
      </c>
    </row>
    <row r="139" spans="9:22" x14ac:dyDescent="0.2">
      <c r="J139">
        <v>793.72625100000005</v>
      </c>
      <c r="K139">
        <v>-50353.852620999998</v>
      </c>
      <c r="L139">
        <v>118410.914059</v>
      </c>
      <c r="M139">
        <v>5.6441999999999999E-2</v>
      </c>
      <c r="N139">
        <v>32.245319000000002</v>
      </c>
      <c r="O139">
        <v>193.55247900000001</v>
      </c>
      <c r="P139">
        <v>18.972574000000002</v>
      </c>
      <c r="Q139">
        <f>$E$41</f>
        <v>-6.7846170130000001</v>
      </c>
      <c r="R139">
        <f>K139-7440*Q139</f>
        <v>123.69795572000294</v>
      </c>
      <c r="S139">
        <f>R139/(2*N139*P139)</f>
        <v>0.1010973084965871</v>
      </c>
      <c r="T139">
        <f>S139*16.02</f>
        <v>1.6195788821153254</v>
      </c>
    </row>
    <row r="140" spans="9:22" x14ac:dyDescent="0.2">
      <c r="J140">
        <v>793.79375600000003</v>
      </c>
      <c r="K140">
        <v>-50353.337782000002</v>
      </c>
      <c r="L140">
        <v>118412.737475</v>
      </c>
      <c r="M140">
        <v>-3.0647000000000001E-2</v>
      </c>
      <c r="N140">
        <v>32.245485000000002</v>
      </c>
      <c r="O140">
        <v>193.55347399999999</v>
      </c>
      <c r="P140">
        <v>18.972670999999998</v>
      </c>
      <c r="Q140">
        <f>$E$41</f>
        <v>-6.7846170130000001</v>
      </c>
      <c r="R140">
        <f>K140-7440*Q140</f>
        <v>124.21279471999878</v>
      </c>
      <c r="S140">
        <f>R140/(2*N140*P140)</f>
        <v>0.10151704048513563</v>
      </c>
      <c r="T140">
        <f>S140*16.02</f>
        <v>1.6263029885718727</v>
      </c>
    </row>
    <row r="141" spans="9:22" x14ac:dyDescent="0.2">
      <c r="T141" s="1">
        <f>AVERAGE(T136:T140)</f>
        <v>1.6229690429764296</v>
      </c>
    </row>
    <row r="142" spans="9:22" x14ac:dyDescent="0.2">
      <c r="I142" t="s">
        <v>134</v>
      </c>
      <c r="J142">
        <v>743.54583600000001</v>
      </c>
      <c r="K142">
        <v>-21852.232049999999</v>
      </c>
      <c r="L142">
        <v>51466.498038999998</v>
      </c>
      <c r="M142">
        <v>-1.534589</v>
      </c>
      <c r="N142">
        <v>26.104908000000002</v>
      </c>
      <c r="O142">
        <v>155.789244</v>
      </c>
      <c r="P142">
        <v>12.655086000000001</v>
      </c>
      <c r="Q142">
        <f>$E$41</f>
        <v>-6.7846170130000001</v>
      </c>
      <c r="R142">
        <f>K142-3232*Q142</f>
        <v>75.650136016000033</v>
      </c>
      <c r="S142">
        <f>R142/(2*N142*P142)</f>
        <v>0.11449656290938727</v>
      </c>
      <c r="T142">
        <f>S142*16.02</f>
        <v>1.834234937808384</v>
      </c>
    </row>
    <row r="143" spans="9:22" x14ac:dyDescent="0.2">
      <c r="J143">
        <v>743.52780700000005</v>
      </c>
      <c r="K143">
        <v>-21852.660158999999</v>
      </c>
      <c r="L143">
        <v>51466.573045999998</v>
      </c>
      <c r="M143">
        <v>-1.1174660000000001</v>
      </c>
      <c r="N143">
        <v>26.105633999999998</v>
      </c>
      <c r="O143">
        <v>155.79320100000001</v>
      </c>
      <c r="P143">
        <v>12.654431000000001</v>
      </c>
      <c r="Q143">
        <f>$E$41</f>
        <v>-6.7846170130000001</v>
      </c>
      <c r="R143">
        <f t="shared" ref="R143:R146" si="16">K143-3232*Q143</f>
        <v>75.222027015999629</v>
      </c>
      <c r="S143">
        <f>R143/(2*N143*P143)</f>
        <v>0.11385134603385072</v>
      </c>
      <c r="T143">
        <f>S143*16.02</f>
        <v>1.8238985634622884</v>
      </c>
    </row>
    <row r="144" spans="9:22" x14ac:dyDescent="0.2">
      <c r="J144">
        <v>743.37325399999997</v>
      </c>
      <c r="K144">
        <v>-21853.097730000001</v>
      </c>
      <c r="L144">
        <v>51465.129939999999</v>
      </c>
      <c r="M144">
        <v>-1.130307</v>
      </c>
      <c r="N144">
        <v>26.105785000000001</v>
      </c>
      <c r="O144">
        <v>155.78332700000001</v>
      </c>
      <c r="P144">
        <v>12.654805</v>
      </c>
      <c r="Q144">
        <f>$E$41</f>
        <v>-6.7846170130000001</v>
      </c>
      <c r="R144">
        <f t="shared" si="16"/>
        <v>74.784456015997421</v>
      </c>
      <c r="S144">
        <f>R144/(2*N144*P144)</f>
        <v>0.11318506611734397</v>
      </c>
      <c r="T144">
        <f>S144*16.02</f>
        <v>1.8132247591998503</v>
      </c>
    </row>
    <row r="145" spans="9:20" x14ac:dyDescent="0.2">
      <c r="J145">
        <v>743.38593200000003</v>
      </c>
      <c r="K145">
        <v>-21852.984446999999</v>
      </c>
      <c r="L145">
        <v>51465.500377999997</v>
      </c>
      <c r="M145">
        <v>-1.179144</v>
      </c>
      <c r="N145">
        <v>26.106548</v>
      </c>
      <c r="O145">
        <v>155.78314800000001</v>
      </c>
      <c r="P145">
        <v>12.654541</v>
      </c>
      <c r="Q145">
        <f>$E$41</f>
        <v>-6.7846170130000001</v>
      </c>
      <c r="R145">
        <f t="shared" si="16"/>
        <v>74.897739015999832</v>
      </c>
      <c r="S145">
        <f>R145/(2*N145*P145)</f>
        <v>0.11335556988995561</v>
      </c>
      <c r="T145">
        <f>S145*16.02</f>
        <v>1.8159562296370888</v>
      </c>
    </row>
    <row r="146" spans="9:20" x14ac:dyDescent="0.2">
      <c r="J146">
        <v>743.66995799999995</v>
      </c>
      <c r="K146">
        <v>-21852.764908000001</v>
      </c>
      <c r="L146">
        <v>51465.915897999999</v>
      </c>
      <c r="M146">
        <v>-1.3669910000000001</v>
      </c>
      <c r="N146">
        <v>26.106390000000001</v>
      </c>
      <c r="O146">
        <v>155.78667100000001</v>
      </c>
      <c r="P146">
        <v>12.654434</v>
      </c>
      <c r="Q146">
        <f>$E$41</f>
        <v>-6.7846170130000001</v>
      </c>
      <c r="R146">
        <f t="shared" si="16"/>
        <v>75.117278015997726</v>
      </c>
      <c r="S146">
        <f>R146/(2*N146*P146)</f>
        <v>0.11368948519459886</v>
      </c>
      <c r="T146">
        <f>S146*16.02</f>
        <v>1.8213055528174737</v>
      </c>
    </row>
    <row r="147" spans="9:20" x14ac:dyDescent="0.2">
      <c r="T147" s="1">
        <f>AVERAGE(T142:T146)</f>
        <v>1.8217240085850173</v>
      </c>
    </row>
    <row r="148" spans="9:20" x14ac:dyDescent="0.2">
      <c r="I148" t="s">
        <v>27</v>
      </c>
      <c r="J148">
        <v>743.39277300000003</v>
      </c>
      <c r="K148">
        <v>-32492.290139000001</v>
      </c>
      <c r="L148">
        <v>76341.131603999995</v>
      </c>
      <c r="M148">
        <v>-0.72638800000000003</v>
      </c>
      <c r="N148">
        <v>30.031323</v>
      </c>
      <c r="O148">
        <v>200.82477600000001</v>
      </c>
      <c r="P148">
        <v>12.658053000000001</v>
      </c>
      <c r="Q148">
        <f>$E$41</f>
        <v>-6.7846170130000001</v>
      </c>
      <c r="R148">
        <f>K148-4800*Q148</f>
        <v>73.871523400001024</v>
      </c>
      <c r="S148">
        <f>R148/(2*N148*P148)</f>
        <v>9.7164067002882881E-2</v>
      </c>
      <c r="T148">
        <f>S148*16.02</f>
        <v>1.5565683533861838</v>
      </c>
    </row>
    <row r="149" spans="9:20" x14ac:dyDescent="0.2">
      <c r="J149">
        <v>743.61359300000004</v>
      </c>
      <c r="K149">
        <v>-32492.832114000001</v>
      </c>
      <c r="L149">
        <v>76340.578546999997</v>
      </c>
      <c r="M149">
        <v>-0.86191700000000004</v>
      </c>
      <c r="N149">
        <v>30.030874000000001</v>
      </c>
      <c r="O149">
        <v>200.82528300000001</v>
      </c>
      <c r="P149">
        <v>12.658118</v>
      </c>
      <c r="Q149">
        <f>$E$41</f>
        <v>-6.7846170130000001</v>
      </c>
      <c r="R149">
        <f>K149-4800*Q149</f>
        <v>73.329548400000931</v>
      </c>
      <c r="S149">
        <f>R149/(2*N149*P149)</f>
        <v>9.6452147812750924E-2</v>
      </c>
      <c r="T149">
        <f>S149*16.02</f>
        <v>1.5451634079602699</v>
      </c>
    </row>
    <row r="150" spans="9:20" x14ac:dyDescent="0.2">
      <c r="J150">
        <v>743.624009</v>
      </c>
      <c r="K150">
        <v>-32492.480680000001</v>
      </c>
      <c r="L150">
        <v>76341.092313999994</v>
      </c>
      <c r="M150">
        <v>-0.75071299999999996</v>
      </c>
      <c r="N150">
        <v>30.030615000000001</v>
      </c>
      <c r="O150">
        <v>200.82755</v>
      </c>
      <c r="P150">
        <v>12.65817</v>
      </c>
      <c r="Q150">
        <f>$E$41</f>
        <v>-6.7846170130000001</v>
      </c>
      <c r="R150">
        <f>K150-4800*Q150</f>
        <v>73.680982400001085</v>
      </c>
      <c r="S150">
        <f>R150/(2*N150*P150)</f>
        <v>9.6914835256732654E-2</v>
      </c>
      <c r="T150">
        <f>S150*16.02</f>
        <v>1.5525756608128571</v>
      </c>
    </row>
    <row r="151" spans="9:20" x14ac:dyDescent="0.2">
      <c r="J151">
        <v>743.832719</v>
      </c>
      <c r="K151">
        <v>-32492.437116000001</v>
      </c>
      <c r="L151">
        <v>76341.316565000001</v>
      </c>
      <c r="M151">
        <v>-0.80802700000000005</v>
      </c>
      <c r="N151">
        <v>30.030791000000001</v>
      </c>
      <c r="O151">
        <v>200.82883100000001</v>
      </c>
      <c r="P151">
        <v>12.658052</v>
      </c>
      <c r="Q151">
        <f>$E$41</f>
        <v>-6.7846170130000001</v>
      </c>
      <c r="R151">
        <f>K151-4800*Q151</f>
        <v>73.72454640000069</v>
      </c>
      <c r="S151">
        <f>R151/(2*N151*P151)</f>
        <v>9.6972471971427013E-2</v>
      </c>
      <c r="T151">
        <f>S151*16.02</f>
        <v>1.5534990009822607</v>
      </c>
    </row>
    <row r="152" spans="9:20" x14ac:dyDescent="0.2">
      <c r="J152">
        <v>743.63214700000003</v>
      </c>
      <c r="K152">
        <v>-32492.530127999999</v>
      </c>
      <c r="L152">
        <v>76341.297198999993</v>
      </c>
      <c r="M152">
        <v>-0.81598899999999996</v>
      </c>
      <c r="N152">
        <v>30.030674000000001</v>
      </c>
      <c r="O152">
        <v>200.82921400000001</v>
      </c>
      <c r="P152">
        <v>12.658073999999999</v>
      </c>
      <c r="Q152">
        <f>$E$41</f>
        <v>-6.7846170130000001</v>
      </c>
      <c r="R152">
        <f>K152-4800*Q152</f>
        <v>73.631534400003147</v>
      </c>
      <c r="S152">
        <f>R152/(2*N152*P152)</f>
        <v>9.6850339039266778E-2</v>
      </c>
      <c r="T152">
        <f>S152*16.02</f>
        <v>1.5515424314090538</v>
      </c>
    </row>
    <row r="153" spans="9:20" x14ac:dyDescent="0.2">
      <c r="T153" s="1">
        <f>AVERAGE(T148:T152)</f>
        <v>1.551869770910125</v>
      </c>
    </row>
    <row r="154" spans="9:20" x14ac:dyDescent="0.2">
      <c r="I154" t="s">
        <v>172</v>
      </c>
      <c r="J154">
        <v>743.64922300000001</v>
      </c>
      <c r="K154">
        <v>-24896.701196000002</v>
      </c>
      <c r="L154">
        <v>58582.046395999998</v>
      </c>
      <c r="M154">
        <v>-1.0670729999999999</v>
      </c>
      <c r="N154">
        <v>24.117920999999999</v>
      </c>
      <c r="O154">
        <v>191.93167199999999</v>
      </c>
      <c r="P154">
        <v>12.655465</v>
      </c>
      <c r="Q154">
        <f>$E$41</f>
        <v>-6.7846170130000001</v>
      </c>
      <c r="R154">
        <f>K154-3680*Q154</f>
        <v>70.689411839997774</v>
      </c>
      <c r="S154">
        <f>R154/(2*N154*P154)</f>
        <v>0.11579942347421066</v>
      </c>
      <c r="T154">
        <f>S154*16.02</f>
        <v>1.8551067640568546</v>
      </c>
    </row>
    <row r="155" spans="9:20" x14ac:dyDescent="0.2">
      <c r="J155">
        <v>743.710735</v>
      </c>
      <c r="K155">
        <v>-24896.326206000002</v>
      </c>
      <c r="L155">
        <v>58583.822424999998</v>
      </c>
      <c r="M155">
        <v>-1.0346960000000001</v>
      </c>
      <c r="N155">
        <v>24.116802</v>
      </c>
      <c r="O155">
        <v>191.948983</v>
      </c>
      <c r="P155">
        <v>12.655295000000001</v>
      </c>
      <c r="Q155">
        <f>$E$41</f>
        <v>-6.7846170130000001</v>
      </c>
      <c r="R155">
        <f t="shared" ref="R155:R158" si="17">K155-3680*Q155</f>
        <v>71.064401839998027</v>
      </c>
      <c r="S155">
        <f>R155/(2*N155*P155)</f>
        <v>0.11642067639956004</v>
      </c>
      <c r="T155">
        <f>S155*16.02</f>
        <v>1.8650592359209517</v>
      </c>
    </row>
    <row r="156" spans="9:20" x14ac:dyDescent="0.2">
      <c r="J156">
        <v>743.50521400000002</v>
      </c>
      <c r="K156">
        <v>-24896.675877000001</v>
      </c>
      <c r="L156">
        <v>58582.729780000001</v>
      </c>
      <c r="M156">
        <v>-1.040127</v>
      </c>
      <c r="N156">
        <v>24.116882</v>
      </c>
      <c r="O156">
        <v>191.94595000000001</v>
      </c>
      <c r="P156">
        <v>12.655217</v>
      </c>
      <c r="Q156">
        <f>$E$41</f>
        <v>-6.7846170130000001</v>
      </c>
      <c r="R156">
        <f t="shared" si="17"/>
        <v>70.714730839998083</v>
      </c>
      <c r="S156">
        <f>R156/(2*N156*P156)</f>
        <v>0.11584816047114815</v>
      </c>
      <c r="T156">
        <f>S156*16.02</f>
        <v>1.8558875307477933</v>
      </c>
    </row>
    <row r="157" spans="9:20" x14ac:dyDescent="0.2">
      <c r="J157">
        <v>743.51364000000001</v>
      </c>
      <c r="K157">
        <v>-24896.89487</v>
      </c>
      <c r="L157">
        <v>58581.495032999999</v>
      </c>
      <c r="M157">
        <v>-0.70486199999999999</v>
      </c>
      <c r="N157">
        <v>24.117764000000001</v>
      </c>
      <c r="O157">
        <v>191.93034</v>
      </c>
      <c r="P157">
        <v>12.655516</v>
      </c>
      <c r="Q157">
        <f>$E$41</f>
        <v>-6.7846170130000001</v>
      </c>
      <c r="R157">
        <f t="shared" si="17"/>
        <v>70.495737839999492</v>
      </c>
      <c r="S157">
        <f>R157/(2*N157*P157)</f>
        <v>0.11548244398380865</v>
      </c>
      <c r="T157">
        <f>S157*16.02</f>
        <v>1.8500287526206145</v>
      </c>
    </row>
    <row r="158" spans="9:20" x14ac:dyDescent="0.2">
      <c r="J158">
        <v>743.55562399999997</v>
      </c>
      <c r="K158">
        <v>-24897.188127000001</v>
      </c>
      <c r="L158">
        <v>58580.157134000001</v>
      </c>
      <c r="M158">
        <v>-1.0583499999999999</v>
      </c>
      <c r="N158">
        <v>24.116517999999999</v>
      </c>
      <c r="O158">
        <v>191.93771000000001</v>
      </c>
      <c r="P158">
        <v>12.655395</v>
      </c>
      <c r="Q158">
        <f>$E$41</f>
        <v>-6.7846170130000001</v>
      </c>
      <c r="R158">
        <f t="shared" si="17"/>
        <v>70.202480839998316</v>
      </c>
      <c r="S158">
        <f>R158/(2*N158*P158)</f>
        <v>0.11500908693287719</v>
      </c>
      <c r="T158">
        <f>S158*16.02</f>
        <v>1.8424455726646924</v>
      </c>
    </row>
    <row r="159" spans="9:20" x14ac:dyDescent="0.2">
      <c r="T159" s="1">
        <f>AVERAGE(T154:T158)</f>
        <v>1.8537055712021815</v>
      </c>
    </row>
    <row r="160" spans="9:20" x14ac:dyDescent="0.2">
      <c r="I160" t="s">
        <v>17</v>
      </c>
      <c r="J160">
        <v>743.56772699999999</v>
      </c>
      <c r="K160">
        <v>-51527.008918</v>
      </c>
      <c r="L160">
        <v>121279.737047</v>
      </c>
      <c r="M160">
        <v>-0.585758</v>
      </c>
      <c r="N160">
        <v>28.323844999999999</v>
      </c>
      <c r="O160">
        <v>169.196493</v>
      </c>
      <c r="P160">
        <v>25.307237000000001</v>
      </c>
      <c r="Q160">
        <f>$E$41</f>
        <v>-6.7846170130000001</v>
      </c>
      <c r="R160">
        <f>K160-7616*Q160</f>
        <v>144.63425300800009</v>
      </c>
      <c r="S160">
        <f>R160/(2*N160*P160)</f>
        <v>0.10088909352124252</v>
      </c>
      <c r="T160">
        <f>S160*16.02</f>
        <v>1.6162432782103051</v>
      </c>
    </row>
    <row r="161" spans="9:20" x14ac:dyDescent="0.2">
      <c r="J161">
        <v>743.65141200000005</v>
      </c>
      <c r="K161">
        <v>-51527.667745999999</v>
      </c>
      <c r="L161">
        <v>121278.182019</v>
      </c>
      <c r="M161">
        <v>-0.37336599999999998</v>
      </c>
      <c r="N161">
        <v>28.323861999999998</v>
      </c>
      <c r="O161">
        <v>169.194365</v>
      </c>
      <c r="P161">
        <v>25.307214999999999</v>
      </c>
      <c r="Q161">
        <f>$E$41</f>
        <v>-6.7846170130000001</v>
      </c>
      <c r="R161">
        <f>K161-7616*Q161</f>
        <v>143.97542500800046</v>
      </c>
      <c r="S161">
        <f>R161/(2*N161*P161)</f>
        <v>0.10042955748974251</v>
      </c>
      <c r="T161">
        <f>S161*16.02</f>
        <v>1.6088815109856751</v>
      </c>
    </row>
    <row r="162" spans="9:20" x14ac:dyDescent="0.2">
      <c r="J162">
        <v>743.57119899999998</v>
      </c>
      <c r="K162">
        <v>-51527.161470999999</v>
      </c>
      <c r="L162">
        <v>121278.87856700001</v>
      </c>
      <c r="M162">
        <v>-0.57301000000000002</v>
      </c>
      <c r="N162">
        <v>28.323896000000001</v>
      </c>
      <c r="O162">
        <v>169.193354</v>
      </c>
      <c r="P162">
        <v>25.307480999999999</v>
      </c>
      <c r="Q162">
        <f>$E$41</f>
        <v>-6.7846170130000001</v>
      </c>
      <c r="R162">
        <f>K162-7616*Q162</f>
        <v>144.48170000800019</v>
      </c>
      <c r="S162">
        <f>R162/(2*N162*P162)</f>
        <v>0.10078152757929559</v>
      </c>
      <c r="T162">
        <f>S162*16.02</f>
        <v>1.6145200718203154</v>
      </c>
    </row>
    <row r="163" spans="9:20" x14ac:dyDescent="0.2">
      <c r="J163">
        <v>743.61821599999996</v>
      </c>
      <c r="K163">
        <v>-51525.810402000003</v>
      </c>
      <c r="L163">
        <v>121282.67073899999</v>
      </c>
      <c r="M163">
        <v>-0.41616300000000001</v>
      </c>
      <c r="N163">
        <v>28.324014999999999</v>
      </c>
      <c r="O163">
        <v>169.19882100000001</v>
      </c>
      <c r="P163">
        <v>25.307348999999999</v>
      </c>
      <c r="Q163">
        <f>$E$41</f>
        <v>-6.7846170130000001</v>
      </c>
      <c r="R163">
        <f>K163-7616*Q163</f>
        <v>145.83276900799683</v>
      </c>
      <c r="S163">
        <f>R163/(2*N163*P163)</f>
        <v>0.10172405322533305</v>
      </c>
      <c r="T163">
        <f>S163*16.02</f>
        <v>1.6296193326698354</v>
      </c>
    </row>
    <row r="164" spans="9:20" x14ac:dyDescent="0.2">
      <c r="J164">
        <v>743.557053</v>
      </c>
      <c r="K164">
        <v>-51527.231767999998</v>
      </c>
      <c r="L164">
        <v>121278.714903</v>
      </c>
      <c r="M164">
        <v>-0.49146600000000001</v>
      </c>
      <c r="N164">
        <v>28.323853</v>
      </c>
      <c r="O164">
        <v>169.19565399999999</v>
      </c>
      <c r="P164">
        <v>25.307141000000001</v>
      </c>
      <c r="Q164">
        <f>$E$41</f>
        <v>-6.7846170130000001</v>
      </c>
      <c r="R164">
        <f>K164-7616*Q164</f>
        <v>144.4114030080018</v>
      </c>
      <c r="S164">
        <f>R164/(2*N164*P164)</f>
        <v>0.10073399899035036</v>
      </c>
      <c r="T164">
        <f>S164*16.02</f>
        <v>1.6137586638254127</v>
      </c>
    </row>
    <row r="165" spans="9:20" x14ac:dyDescent="0.2">
      <c r="T165" s="1">
        <f>AVERAGE(T160:T164)</f>
        <v>1.6166045715023087</v>
      </c>
    </row>
    <row r="166" spans="9:20" x14ac:dyDescent="0.2">
      <c r="I166" t="s">
        <v>173</v>
      </c>
      <c r="J166">
        <v>743.57353699999999</v>
      </c>
      <c r="K166">
        <v>-43906.775168</v>
      </c>
      <c r="L166">
        <v>103253.812592</v>
      </c>
      <c r="M166">
        <v>-0.51219700000000001</v>
      </c>
      <c r="N166">
        <v>36.947012999999998</v>
      </c>
      <c r="O166">
        <v>220.845473</v>
      </c>
      <c r="P166">
        <v>12.654305000000001</v>
      </c>
      <c r="Q166">
        <f>$E$41</f>
        <v>-6.7846170130000001</v>
      </c>
      <c r="R166">
        <f>K166-6488*Q166</f>
        <v>111.82001234400377</v>
      </c>
      <c r="S166">
        <f>R166/(2*N166*P166)</f>
        <v>0.11958367861481169</v>
      </c>
      <c r="T166">
        <f>S166*16.02</f>
        <v>1.9157305314092832</v>
      </c>
    </row>
    <row r="167" spans="9:20" x14ac:dyDescent="0.2">
      <c r="J167">
        <v>743.62823200000003</v>
      </c>
      <c r="K167">
        <v>-43905.568166999998</v>
      </c>
      <c r="L167">
        <v>103254.757553</v>
      </c>
      <c r="M167">
        <v>-0.56126399999999999</v>
      </c>
      <c r="N167">
        <v>36.947259000000003</v>
      </c>
      <c r="O167">
        <v>220.84359499999999</v>
      </c>
      <c r="P167">
        <v>12.654444</v>
      </c>
      <c r="Q167">
        <f>$E$41</f>
        <v>-6.7846170130000001</v>
      </c>
      <c r="R167">
        <f t="shared" ref="R167:R170" si="18">K167-6488*Q167</f>
        <v>113.02701334400626</v>
      </c>
      <c r="S167">
        <f>R167/(2*N167*P167)</f>
        <v>0.1208723492147392</v>
      </c>
      <c r="T167">
        <f>S167*16.02</f>
        <v>1.936375034420122</v>
      </c>
    </row>
    <row r="168" spans="9:20" x14ac:dyDescent="0.2">
      <c r="J168">
        <v>743.58204999999998</v>
      </c>
      <c r="K168">
        <v>-43905.545379000003</v>
      </c>
      <c r="L168">
        <v>103255.316301</v>
      </c>
      <c r="M168">
        <v>-0.51558000000000004</v>
      </c>
      <c r="N168">
        <v>36.946702000000002</v>
      </c>
      <c r="O168">
        <v>220.84850700000001</v>
      </c>
      <c r="P168">
        <v>12.654423</v>
      </c>
      <c r="Q168">
        <f>$E$41</f>
        <v>-6.7846170130000001</v>
      </c>
      <c r="R168">
        <f t="shared" si="18"/>
        <v>113.04980134400103</v>
      </c>
      <c r="S168">
        <f>R168/(2*N168*P168)</f>
        <v>0.12089874219837557</v>
      </c>
      <c r="T168">
        <f>S168*16.02</f>
        <v>1.9367978500179766</v>
      </c>
    </row>
    <row r="169" spans="9:20" x14ac:dyDescent="0.2">
      <c r="J169">
        <v>743.53473599999995</v>
      </c>
      <c r="K169">
        <v>-43904.865986999997</v>
      </c>
      <c r="L169">
        <v>103259.398825</v>
      </c>
      <c r="M169">
        <v>-0.66430299999999998</v>
      </c>
      <c r="N169">
        <v>36.946272</v>
      </c>
      <c r="O169">
        <v>220.86285699999999</v>
      </c>
      <c r="P169">
        <v>12.654248000000001</v>
      </c>
      <c r="Q169">
        <f>$E$41</f>
        <v>-6.7846170130000001</v>
      </c>
      <c r="R169">
        <f t="shared" si="18"/>
        <v>113.72919334400649</v>
      </c>
      <c r="S169">
        <f>R169/(2*N169*P169)</f>
        <v>0.12162840129979961</v>
      </c>
      <c r="T169">
        <f>S169*16.02</f>
        <v>1.9484869888227898</v>
      </c>
    </row>
    <row r="170" spans="9:20" x14ac:dyDescent="0.2">
      <c r="J170">
        <v>743.53921500000001</v>
      </c>
      <c r="K170">
        <v>-43904.839269999997</v>
      </c>
      <c r="L170">
        <v>103264.734475</v>
      </c>
      <c r="M170">
        <v>-0.63144800000000001</v>
      </c>
      <c r="N170">
        <v>36.943368999999997</v>
      </c>
      <c r="O170">
        <v>220.89165700000001</v>
      </c>
      <c r="P170">
        <v>12.654246000000001</v>
      </c>
      <c r="Q170">
        <f>$E$41</f>
        <v>-6.7846170130000001</v>
      </c>
      <c r="R170">
        <f t="shared" si="18"/>
        <v>113.75591034400713</v>
      </c>
      <c r="S170">
        <f>R170/(2*N170*P170)</f>
        <v>0.1216665529651841</v>
      </c>
      <c r="T170">
        <f>S170*16.02</f>
        <v>1.9490981785022492</v>
      </c>
    </row>
    <row r="171" spans="9:20" x14ac:dyDescent="0.2">
      <c r="T171" s="1">
        <f>AVERAGE(T166:T170)</f>
        <v>1.9372977166344842</v>
      </c>
    </row>
    <row r="172" spans="9:20" x14ac:dyDescent="0.2">
      <c r="I172" t="s">
        <v>174</v>
      </c>
      <c r="J172">
        <v>743.28463799999997</v>
      </c>
      <c r="K172">
        <v>-22298.602561</v>
      </c>
      <c r="L172">
        <v>52473.749653999999</v>
      </c>
      <c r="M172">
        <v>-0.96716400000000002</v>
      </c>
      <c r="N172">
        <v>22.842321999999999</v>
      </c>
      <c r="O172">
        <v>181.55010899999999</v>
      </c>
      <c r="P172">
        <v>12.653347</v>
      </c>
      <c r="Q172">
        <f>$E$41</f>
        <v>-6.7846170130000001</v>
      </c>
      <c r="R172">
        <f>K172-3296*Q172</f>
        <v>63.495113847999164</v>
      </c>
      <c r="S172">
        <f>R172/(2*N172*P172)</f>
        <v>0.10984104173841583</v>
      </c>
      <c r="T172">
        <f>S172*16.02</f>
        <v>1.7596534886494215</v>
      </c>
    </row>
    <row r="173" spans="9:20" x14ac:dyDescent="0.2">
      <c r="J173">
        <v>743.521163</v>
      </c>
      <c r="K173">
        <v>-22298.182594000002</v>
      </c>
      <c r="L173">
        <v>52476.041788000002</v>
      </c>
      <c r="M173">
        <v>-1.4254119999999999</v>
      </c>
      <c r="N173">
        <v>22.841367999999999</v>
      </c>
      <c r="O173">
        <v>181.56233399999999</v>
      </c>
      <c r="P173">
        <v>12.653577</v>
      </c>
      <c r="Q173">
        <f>$E$41</f>
        <v>-6.7846170130000001</v>
      </c>
      <c r="R173">
        <f t="shared" ref="R173:R176" si="19">K173-3296*Q173</f>
        <v>63.91508084799716</v>
      </c>
      <c r="S173">
        <f>R173/(2*N173*P173)</f>
        <v>0.11057015640145126</v>
      </c>
      <c r="T173">
        <f>S173*16.02</f>
        <v>1.7713339055512491</v>
      </c>
    </row>
    <row r="174" spans="9:20" x14ac:dyDescent="0.2">
      <c r="J174">
        <v>743.53690500000005</v>
      </c>
      <c r="K174">
        <v>-22298.491306</v>
      </c>
      <c r="L174">
        <v>52472.382703000003</v>
      </c>
      <c r="M174">
        <v>-1.2416689999999999</v>
      </c>
      <c r="N174">
        <v>22.842948</v>
      </c>
      <c r="O174">
        <v>181.534751</v>
      </c>
      <c r="P174">
        <v>12.653741</v>
      </c>
      <c r="Q174">
        <f>$E$41</f>
        <v>-6.7846170130000001</v>
      </c>
      <c r="R174">
        <f t="shared" si="19"/>
        <v>63.606368847998965</v>
      </c>
      <c r="S174">
        <f>R174/(2*N174*P174)</f>
        <v>0.11002706180369608</v>
      </c>
      <c r="T174">
        <f>S174*16.02</f>
        <v>1.7626335300952112</v>
      </c>
    </row>
    <row r="175" spans="9:20" x14ac:dyDescent="0.2">
      <c r="J175">
        <v>743.35423000000003</v>
      </c>
      <c r="K175">
        <v>-22298.144606999998</v>
      </c>
      <c r="L175">
        <v>52476.431751999997</v>
      </c>
      <c r="M175">
        <v>-1.1260159999999999</v>
      </c>
      <c r="N175">
        <v>22.842711999999999</v>
      </c>
      <c r="O175">
        <v>181.550085</v>
      </c>
      <c r="P175">
        <v>12.653779999999999</v>
      </c>
      <c r="Q175">
        <f>$E$41</f>
        <v>-6.7846170130000001</v>
      </c>
      <c r="R175">
        <f t="shared" si="19"/>
        <v>63.953067848000501</v>
      </c>
      <c r="S175">
        <f>R175/(2*N175*P175)</f>
        <v>0.110627587882225</v>
      </c>
      <c r="T175">
        <f>S175*16.02</f>
        <v>1.7722539578732444</v>
      </c>
    </row>
    <row r="176" spans="9:20" x14ac:dyDescent="0.2">
      <c r="J176">
        <v>743.65151400000002</v>
      </c>
      <c r="K176">
        <v>-22298.007018</v>
      </c>
      <c r="L176">
        <v>52474.88422</v>
      </c>
      <c r="M176">
        <v>-0.97781600000000002</v>
      </c>
      <c r="N176">
        <v>22.844078</v>
      </c>
      <c r="O176">
        <v>181.53512499999999</v>
      </c>
      <c r="P176">
        <v>12.653693000000001</v>
      </c>
      <c r="Q176">
        <f>$E$41</f>
        <v>-6.7846170130000001</v>
      </c>
      <c r="R176">
        <f t="shared" si="19"/>
        <v>64.090656847998616</v>
      </c>
      <c r="S176">
        <f>R176/(2*N176*P176)</f>
        <v>0.11085972552698994</v>
      </c>
      <c r="T176">
        <f>S176*16.02</f>
        <v>1.7759728029423789</v>
      </c>
    </row>
    <row r="177" spans="9:23" x14ac:dyDescent="0.2">
      <c r="T177" s="1">
        <f>AVERAGE(T172:T176)</f>
        <v>1.7683695370223009</v>
      </c>
    </row>
    <row r="178" spans="9:23" x14ac:dyDescent="0.2">
      <c r="I178" t="s">
        <v>175</v>
      </c>
      <c r="J178">
        <v>743.67545600000005</v>
      </c>
      <c r="K178">
        <v>-32155.594412999999</v>
      </c>
      <c r="L178">
        <v>75618.180682999999</v>
      </c>
      <c r="M178">
        <v>-0.79346000000000005</v>
      </c>
      <c r="N178">
        <v>31.692468000000002</v>
      </c>
      <c r="O178">
        <v>188.53522899999999</v>
      </c>
      <c r="P178">
        <v>12.655454000000001</v>
      </c>
      <c r="Q178">
        <f>$E$41</f>
        <v>-6.7846170130000001</v>
      </c>
      <c r="R178">
        <f>K178-4752*Q178</f>
        <v>84.905632776000857</v>
      </c>
      <c r="S178">
        <f>R178/(2*N178*P178)</f>
        <v>0.10584557760905075</v>
      </c>
      <c r="T178">
        <f>S178*16.02</f>
        <v>1.6956461532969931</v>
      </c>
    </row>
    <row r="179" spans="9:23" x14ac:dyDescent="0.2">
      <c r="J179">
        <v>743.48853399999996</v>
      </c>
      <c r="K179">
        <v>-32155.823468999999</v>
      </c>
      <c r="L179">
        <v>75618.292812</v>
      </c>
      <c r="M179">
        <v>-0.62291600000000003</v>
      </c>
      <c r="N179">
        <v>31.691029</v>
      </c>
      <c r="O179">
        <v>188.54503199999999</v>
      </c>
      <c r="P179">
        <v>12.655389</v>
      </c>
      <c r="Q179">
        <f>$E$41</f>
        <v>-6.7846170130000001</v>
      </c>
      <c r="R179">
        <f t="shared" ref="R179:R182" si="20">K179-4752*Q179</f>
        <v>84.676576776000729</v>
      </c>
      <c r="S179">
        <f>R179/(2*N179*P179)</f>
        <v>0.10556536580116344</v>
      </c>
      <c r="T179">
        <f>S179*16.02</f>
        <v>1.6911571601346382</v>
      </c>
    </row>
    <row r="180" spans="9:23" x14ac:dyDescent="0.2">
      <c r="J180">
        <v>743.53154300000006</v>
      </c>
      <c r="K180">
        <v>-32155.426276999999</v>
      </c>
      <c r="L180">
        <v>75627.076018000007</v>
      </c>
      <c r="M180">
        <v>-0.598943</v>
      </c>
      <c r="N180">
        <v>31.687183999999998</v>
      </c>
      <c r="O180">
        <v>188.59438499999999</v>
      </c>
      <c r="P180">
        <v>12.655082</v>
      </c>
      <c r="Q180">
        <f>$E$41</f>
        <v>-6.7846170130000001</v>
      </c>
      <c r="R180">
        <f t="shared" si="20"/>
        <v>85.073768776001089</v>
      </c>
      <c r="S180">
        <f>R180/(2*N180*P180)</f>
        <v>0.10607598362254174</v>
      </c>
      <c r="T180">
        <f>S180*16.02</f>
        <v>1.6993372576331187</v>
      </c>
    </row>
    <row r="181" spans="9:23" x14ac:dyDescent="0.2">
      <c r="J181">
        <v>743.65373399999999</v>
      </c>
      <c r="K181">
        <v>-32155.356624</v>
      </c>
      <c r="L181">
        <v>75628.101127000002</v>
      </c>
      <c r="M181">
        <v>-0.64714300000000002</v>
      </c>
      <c r="N181">
        <v>31.687297999999998</v>
      </c>
      <c r="O181">
        <v>188.59619799999999</v>
      </c>
      <c r="P181">
        <v>12.655086000000001</v>
      </c>
      <c r="Q181">
        <f>$E$41</f>
        <v>-6.7846170130000001</v>
      </c>
      <c r="R181">
        <f t="shared" si="20"/>
        <v>85.143421775999741</v>
      </c>
      <c r="S181">
        <f>R181/(2*N181*P181)</f>
        <v>0.10616241640947287</v>
      </c>
      <c r="T181">
        <f>S181*16.02</f>
        <v>1.7007219108797553</v>
      </c>
    </row>
    <row r="182" spans="9:23" x14ac:dyDescent="0.2">
      <c r="J182">
        <v>743.77351199999998</v>
      </c>
      <c r="K182">
        <v>-32153.096161000001</v>
      </c>
      <c r="L182">
        <v>75638.472152000002</v>
      </c>
      <c r="M182">
        <v>-0.83514299999999997</v>
      </c>
      <c r="N182">
        <v>31.685072000000002</v>
      </c>
      <c r="O182">
        <v>188.64302599999999</v>
      </c>
      <c r="P182">
        <v>12.654569</v>
      </c>
      <c r="Q182">
        <f>$E$41</f>
        <v>-6.7846170130000001</v>
      </c>
      <c r="R182">
        <f t="shared" si="20"/>
        <v>87.403884775998449</v>
      </c>
      <c r="S182">
        <f>R182/(2*N182*P182)</f>
        <v>0.10899301934369507</v>
      </c>
      <c r="T182">
        <f>S182*16.02</f>
        <v>1.746068169885995</v>
      </c>
    </row>
    <row r="183" spans="9:23" x14ac:dyDescent="0.2">
      <c r="T183" s="1">
        <f>AVERAGE(T178:T182)</f>
        <v>1.7065861303660999</v>
      </c>
    </row>
    <row r="184" spans="9:23" x14ac:dyDescent="0.2">
      <c r="I184" t="s">
        <v>111</v>
      </c>
      <c r="J184">
        <v>693.45181700000001</v>
      </c>
      <c r="K184">
        <v>-25860.462144000001</v>
      </c>
      <c r="L184">
        <v>60891.205052999998</v>
      </c>
      <c r="M184">
        <v>-0.824407</v>
      </c>
      <c r="N184">
        <v>28.416689000000002</v>
      </c>
      <c r="O184">
        <v>169.335455</v>
      </c>
      <c r="P184">
        <v>12.654159</v>
      </c>
      <c r="Q184">
        <f>$E$41</f>
        <v>-6.7846170130000001</v>
      </c>
      <c r="R184">
        <f>K184-3824*Q184</f>
        <v>83.913313712000672</v>
      </c>
      <c r="S184">
        <f>R184/(2*N184*P184)</f>
        <v>0.11667938049243527</v>
      </c>
      <c r="T184">
        <f>S184*16.02</f>
        <v>1.8692036754888131</v>
      </c>
    </row>
    <row r="185" spans="9:23" x14ac:dyDescent="0.2">
      <c r="J185">
        <v>693.64620600000001</v>
      </c>
      <c r="K185">
        <v>-25861.000323</v>
      </c>
      <c r="L185">
        <v>60888.589634999997</v>
      </c>
      <c r="M185">
        <v>-1.000624</v>
      </c>
      <c r="N185">
        <v>28.415545000000002</v>
      </c>
      <c r="O185">
        <v>169.33523700000001</v>
      </c>
      <c r="P185">
        <v>12.654140999999999</v>
      </c>
      <c r="Q185">
        <f>$E$41</f>
        <v>-6.7846170130000001</v>
      </c>
      <c r="R185">
        <f>K185-3824*Q185</f>
        <v>83.375134712001454</v>
      </c>
      <c r="S185">
        <f>R185/(2*N185*P185)</f>
        <v>0.11593588820530711</v>
      </c>
      <c r="T185">
        <f>S185*16.02</f>
        <v>1.8572929290490199</v>
      </c>
    </row>
    <row r="186" spans="9:23" x14ac:dyDescent="0.2">
      <c r="J186">
        <v>693.74391300000002</v>
      </c>
      <c r="K186">
        <v>-25861.113304999999</v>
      </c>
      <c r="L186">
        <v>60888.620733999996</v>
      </c>
      <c r="M186">
        <v>-0.833256</v>
      </c>
      <c r="N186">
        <v>28.415918000000001</v>
      </c>
      <c r="O186">
        <v>169.33226099999999</v>
      </c>
      <c r="P186">
        <v>12.654204</v>
      </c>
      <c r="Q186">
        <f>$E$41</f>
        <v>-6.7846170130000001</v>
      </c>
      <c r="R186">
        <f>K186-3824*Q186</f>
        <v>83.262152712002717</v>
      </c>
      <c r="S186">
        <f>R186/(2*N186*P186)</f>
        <v>0.11577668681907091</v>
      </c>
      <c r="T186">
        <f>S186*16.02</f>
        <v>1.854742522841516</v>
      </c>
    </row>
    <row r="187" spans="9:23" x14ac:dyDescent="0.2">
      <c r="J187">
        <v>693.53735400000005</v>
      </c>
      <c r="K187">
        <v>-25860.773313000002</v>
      </c>
      <c r="L187">
        <v>60888.416204000001</v>
      </c>
      <c r="M187">
        <v>-0.73622799999999999</v>
      </c>
      <c r="N187">
        <v>28.415094</v>
      </c>
      <c r="O187">
        <v>169.33792800000001</v>
      </c>
      <c r="P187">
        <v>12.654104</v>
      </c>
      <c r="Q187">
        <f>$E$41</f>
        <v>-6.7846170130000001</v>
      </c>
      <c r="R187">
        <f>K187-3824*Q187</f>
        <v>83.602144712000154</v>
      </c>
      <c r="S187">
        <f>R187/(2*N187*P187)</f>
        <v>0.11625373818052061</v>
      </c>
      <c r="T187">
        <f>S187*16.02</f>
        <v>1.86238488565194</v>
      </c>
    </row>
    <row r="188" spans="9:23" x14ac:dyDescent="0.2">
      <c r="J188">
        <v>693.707449</v>
      </c>
      <c r="K188">
        <v>-25860.724966000002</v>
      </c>
      <c r="L188">
        <v>60890.328088000002</v>
      </c>
      <c r="M188">
        <v>-0.86294000000000004</v>
      </c>
      <c r="N188">
        <v>28.416810000000002</v>
      </c>
      <c r="O188">
        <v>169.33182300000001</v>
      </c>
      <c r="P188">
        <v>12.654194</v>
      </c>
      <c r="Q188">
        <f>$E$41</f>
        <v>-6.7846170130000001</v>
      </c>
      <c r="R188">
        <f>K188-3824*Q188</f>
        <v>83.650491712000075</v>
      </c>
      <c r="S188">
        <f>R188/(2*N188*P188)</f>
        <v>0.1163131160441883</v>
      </c>
      <c r="T188">
        <f>S188*16.02</f>
        <v>1.8633361190278965</v>
      </c>
    </row>
    <row r="189" spans="9:23" x14ac:dyDescent="0.2">
      <c r="T189" s="1">
        <f>AVERAGE(T184:T188)</f>
        <v>1.8613920264118371</v>
      </c>
    </row>
    <row r="190" spans="9:23" x14ac:dyDescent="0.2">
      <c r="T190" s="1"/>
    </row>
    <row r="191" spans="9:23" x14ac:dyDescent="0.2">
      <c r="T191" s="1"/>
    </row>
    <row r="192" spans="9:23" x14ac:dyDescent="0.2">
      <c r="J192" t="s">
        <v>16</v>
      </c>
      <c r="K192" t="s">
        <v>67</v>
      </c>
      <c r="V192" t="s">
        <v>25</v>
      </c>
      <c r="W192" t="s">
        <v>24</v>
      </c>
    </row>
    <row r="193" spans="9:23" x14ac:dyDescent="0.2">
      <c r="J193" t="s">
        <v>18</v>
      </c>
      <c r="K193" t="s">
        <v>5</v>
      </c>
      <c r="L193" t="s">
        <v>7</v>
      </c>
      <c r="M193" t="s">
        <v>19</v>
      </c>
      <c r="N193" t="s">
        <v>20</v>
      </c>
      <c r="O193" t="s">
        <v>21</v>
      </c>
      <c r="P193" t="s">
        <v>22</v>
      </c>
      <c r="Q193" t="s">
        <v>4</v>
      </c>
      <c r="R193" t="s">
        <v>10</v>
      </c>
      <c r="S193" t="s">
        <v>13</v>
      </c>
      <c r="T193" t="s">
        <v>26</v>
      </c>
      <c r="U193" t="s">
        <v>12</v>
      </c>
      <c r="V193" t="s">
        <v>23</v>
      </c>
      <c r="W193" t="s">
        <v>23</v>
      </c>
    </row>
    <row r="194" spans="9:23" x14ac:dyDescent="0.2">
      <c r="I194" t="s">
        <v>17</v>
      </c>
      <c r="J194">
        <v>693.91675499999997</v>
      </c>
      <c r="K194">
        <v>-8948.7739369999999</v>
      </c>
      <c r="L194">
        <v>76011.312728999997</v>
      </c>
      <c r="M194">
        <v>-0.75081200000000003</v>
      </c>
      <c r="N194">
        <v>30.579808</v>
      </c>
      <c r="O194">
        <v>91.903317999999999</v>
      </c>
      <c r="P194">
        <v>27.046707000000001</v>
      </c>
      <c r="Q194">
        <v>1509</v>
      </c>
      <c r="R194">
        <v>443</v>
      </c>
      <c r="S194">
        <f>R194/(R194+Q194)</f>
        <v>0.22694672131147542</v>
      </c>
      <c r="T194">
        <f>-4.0853-2.5639*S194</f>
        <v>-4.6671686987704923</v>
      </c>
      <c r="U194">
        <f>K194-(SUM(Q194:R194)*T194)</f>
        <v>161.53936300000169</v>
      </c>
      <c r="V194">
        <f>U194/(2*N194*P194)</f>
        <v>9.7656064798566228E-2</v>
      </c>
      <c r="W194">
        <f>V194*16.02</f>
        <v>1.564450158073031</v>
      </c>
    </row>
    <row r="195" spans="9:23" x14ac:dyDescent="0.2">
      <c r="J195">
        <v>694.13542500000005</v>
      </c>
      <c r="K195">
        <v>-8928.4150470000004</v>
      </c>
      <c r="L195">
        <v>76321.691435000001</v>
      </c>
      <c r="M195">
        <v>-0.74642600000000003</v>
      </c>
      <c r="N195">
        <v>30.552838999999999</v>
      </c>
      <c r="O195">
        <v>92.111481999999995</v>
      </c>
      <c r="P195">
        <v>27.119692000000001</v>
      </c>
      <c r="Q195">
        <v>1516</v>
      </c>
      <c r="R195">
        <v>436</v>
      </c>
      <c r="S195">
        <f>R195/(R195+Q195)</f>
        <v>0.22336065573770492</v>
      </c>
      <c r="T195">
        <f>-4.0853-2.5639*S195</f>
        <v>-4.6579743852459021</v>
      </c>
      <c r="U195">
        <f>K195-(SUM(Q195:R195)*T195)</f>
        <v>163.95095300000139</v>
      </c>
      <c r="V195">
        <f>U195/(2*N195*P195)</f>
        <v>9.8934468581999488E-2</v>
      </c>
      <c r="W195">
        <f>V195*16.02</f>
        <v>1.5849301866836318</v>
      </c>
    </row>
    <row r="196" spans="9:23" x14ac:dyDescent="0.2">
      <c r="J196">
        <v>693.90764000000001</v>
      </c>
      <c r="K196">
        <v>-8912.169715</v>
      </c>
      <c r="L196">
        <v>76295.408823999998</v>
      </c>
      <c r="M196">
        <v>-0.72562199999999999</v>
      </c>
      <c r="N196">
        <v>30.535667</v>
      </c>
      <c r="O196">
        <v>92.041100999999998</v>
      </c>
      <c r="P196">
        <v>27.146374999999999</v>
      </c>
      <c r="Q196">
        <v>1525</v>
      </c>
      <c r="R196">
        <v>427</v>
      </c>
      <c r="S196">
        <f>R196/(R196+Q196)</f>
        <v>0.21875</v>
      </c>
      <c r="T196">
        <f>-4.0853-2.5639*S196</f>
        <v>-4.6461531249999997</v>
      </c>
      <c r="U196">
        <f>K196-(SUM(Q196:R196)*T196)</f>
        <v>157.12118499999997</v>
      </c>
      <c r="V196">
        <f>U196/(2*N196*P196)</f>
        <v>9.4773189190324708E-2</v>
      </c>
      <c r="W196">
        <f>V196*16.02</f>
        <v>1.5182664908290018</v>
      </c>
    </row>
    <row r="197" spans="9:23" x14ac:dyDescent="0.2">
      <c r="J197">
        <v>694.08741499999996</v>
      </c>
      <c r="K197">
        <v>-8893.7725429999991</v>
      </c>
      <c r="L197">
        <v>76392.961511999994</v>
      </c>
      <c r="M197">
        <v>-0.87039200000000005</v>
      </c>
      <c r="N197">
        <v>30.592130999999998</v>
      </c>
      <c r="O197">
        <v>92.193754999999996</v>
      </c>
      <c r="P197">
        <v>27.085965000000002</v>
      </c>
      <c r="Q197">
        <v>1532</v>
      </c>
      <c r="R197">
        <v>420</v>
      </c>
      <c r="S197">
        <f>R197/(R197+Q197)</f>
        <v>0.2151639344262295</v>
      </c>
      <c r="T197">
        <f>-4.0853-2.5639*S197</f>
        <v>-4.6369588114754094</v>
      </c>
      <c r="U197">
        <f>K197-(SUM(Q197:R197)*T197)</f>
        <v>157.57105700000102</v>
      </c>
      <c r="V197">
        <f>U197/(2*N197*P197)</f>
        <v>9.5080708532563007E-2</v>
      </c>
      <c r="W197">
        <f>V197*16.02</f>
        <v>1.5231929506916593</v>
      </c>
    </row>
    <row r="198" spans="9:23" x14ac:dyDescent="0.2">
      <c r="J198">
        <v>693.90452900000003</v>
      </c>
      <c r="K198">
        <v>-8901.7733040000003</v>
      </c>
      <c r="L198">
        <v>76295.305986000007</v>
      </c>
      <c r="M198">
        <v>-0.79062100000000002</v>
      </c>
      <c r="N198">
        <v>30.583628999999998</v>
      </c>
      <c r="O198">
        <v>91.962631000000002</v>
      </c>
      <c r="P198">
        <v>27.126867000000001</v>
      </c>
      <c r="Q198">
        <v>1527</v>
      </c>
      <c r="R198">
        <v>425</v>
      </c>
      <c r="S198">
        <f>R198/(R198+Q198)</f>
        <v>0.21772540983606559</v>
      </c>
      <c r="T198">
        <f>-4.0853-2.5639*S198</f>
        <v>-4.6435261782786883</v>
      </c>
      <c r="U198">
        <f>K198-(SUM(Q198:R198)*T198)</f>
        <v>162.38979599999948</v>
      </c>
      <c r="V198">
        <f>U198/(2*N198*P198)</f>
        <v>9.786785857359187E-2</v>
      </c>
      <c r="W198">
        <f>V198*16.02</f>
        <v>1.5678430943489416</v>
      </c>
    </row>
    <row r="199" spans="9:23" x14ac:dyDescent="0.2">
      <c r="W199" s="1">
        <f>AVERAGE(W194:W198)</f>
        <v>1.5517365761252533</v>
      </c>
    </row>
    <row r="200" spans="9:23" x14ac:dyDescent="0.2">
      <c r="I200" t="s">
        <v>27</v>
      </c>
      <c r="J200">
        <v>743.82364299999995</v>
      </c>
      <c r="K200">
        <v>-6756.128925</v>
      </c>
      <c r="L200">
        <v>57148.869308000001</v>
      </c>
      <c r="M200">
        <v>-1.201735</v>
      </c>
      <c r="N200">
        <v>32.371391000000003</v>
      </c>
      <c r="O200">
        <v>129.75079400000001</v>
      </c>
      <c r="P200">
        <v>13.606244</v>
      </c>
      <c r="Q200">
        <v>1125</v>
      </c>
      <c r="R200">
        <v>339</v>
      </c>
      <c r="S200">
        <f>R200/(R200+Q200)</f>
        <v>0.23155737704918034</v>
      </c>
      <c r="T200">
        <f>-4.0853-2.5639*S200</f>
        <v>-4.6789899590163939</v>
      </c>
      <c r="U200">
        <f>K200-(SUM(Q200:R200)*T200)</f>
        <v>93.912375000000793</v>
      </c>
      <c r="V200">
        <f>U200/(2*N200*P200)</f>
        <v>0.1066088385115652</v>
      </c>
      <c r="W200">
        <f>V200*16.02</f>
        <v>1.7078735929552746</v>
      </c>
    </row>
    <row r="201" spans="9:23" x14ac:dyDescent="0.2">
      <c r="J201">
        <v>743.84205599999996</v>
      </c>
      <c r="K201">
        <v>-6714.2878810000002</v>
      </c>
      <c r="L201">
        <v>57411.870572</v>
      </c>
      <c r="M201">
        <v>-1.3311090000000001</v>
      </c>
      <c r="N201">
        <v>32.395221999999997</v>
      </c>
      <c r="O201">
        <v>130.50761299999999</v>
      </c>
      <c r="P201">
        <v>13.579656</v>
      </c>
      <c r="Q201">
        <v>1144</v>
      </c>
      <c r="R201">
        <v>320</v>
      </c>
      <c r="S201">
        <f>R201/(R201+Q201)</f>
        <v>0.21857923497267759</v>
      </c>
      <c r="T201">
        <f>-4.0853-2.5639*S201</f>
        <v>-4.6457153005464482</v>
      </c>
      <c r="U201">
        <f>K201-(SUM(Q201:R201)*T201)</f>
        <v>87.039319000000432</v>
      </c>
      <c r="V201">
        <f>U201/(2*N201*P201)</f>
        <v>9.8927209713480388E-2</v>
      </c>
      <c r="W201">
        <f>V201*16.02</f>
        <v>1.5848138996099557</v>
      </c>
    </row>
    <row r="202" spans="9:23" x14ac:dyDescent="0.2">
      <c r="J202">
        <v>743.82745999999997</v>
      </c>
      <c r="K202">
        <v>-6725.485842</v>
      </c>
      <c r="L202">
        <v>57241.554358000001</v>
      </c>
      <c r="M202">
        <v>-1.1202730000000001</v>
      </c>
      <c r="N202">
        <v>32.407972000000001</v>
      </c>
      <c r="O202">
        <v>129.89305100000001</v>
      </c>
      <c r="P202">
        <v>13.598043000000001</v>
      </c>
      <c r="Q202">
        <v>1141</v>
      </c>
      <c r="R202">
        <v>323</v>
      </c>
      <c r="S202">
        <f>R202/(R202+Q202)</f>
        <v>0.22062841530054644</v>
      </c>
      <c r="T202">
        <f>-4.0853-2.5639*S202</f>
        <v>-4.6509691939890709</v>
      </c>
      <c r="U202">
        <f>K202-(SUM(Q202:R202)*T202)</f>
        <v>83.533057999999983</v>
      </c>
      <c r="V202">
        <f>U202/(2*N202*P202)</f>
        <v>9.4776380642405608E-2</v>
      </c>
      <c r="W202">
        <f>V202*16.02</f>
        <v>1.5183176178913378</v>
      </c>
    </row>
    <row r="203" spans="9:23" x14ac:dyDescent="0.2">
      <c r="J203">
        <v>744.09005200000001</v>
      </c>
      <c r="K203">
        <v>-6705.0214109999997</v>
      </c>
      <c r="L203">
        <v>57449.341090000002</v>
      </c>
      <c r="M203">
        <v>-1.2003539999999999</v>
      </c>
      <c r="N203">
        <v>32.406005999999998</v>
      </c>
      <c r="O203">
        <v>130.18607900000001</v>
      </c>
      <c r="P203">
        <v>13.617509</v>
      </c>
      <c r="Q203">
        <v>1147</v>
      </c>
      <c r="R203">
        <v>317</v>
      </c>
      <c r="S203">
        <f>R203/(R203+Q203)</f>
        <v>0.21653005464480873</v>
      </c>
      <c r="T203">
        <f>-4.0853-2.5639*S203</f>
        <v>-4.6404614071038255</v>
      </c>
      <c r="U203">
        <f>K203-(SUM(Q203:R203)*T203)</f>
        <v>88.614089000000604</v>
      </c>
      <c r="V203">
        <f>U203/(2*N203*P203)</f>
        <v>0.10040367340328774</v>
      </c>
      <c r="W203">
        <f>V203*16.02</f>
        <v>1.6084668479206694</v>
      </c>
    </row>
    <row r="204" spans="9:23" x14ac:dyDescent="0.2">
      <c r="J204">
        <v>743.67347700000005</v>
      </c>
      <c r="K204">
        <v>-6731.3123290000003</v>
      </c>
      <c r="L204">
        <v>57343.385819000003</v>
      </c>
      <c r="M204">
        <v>-1.2863039999999999</v>
      </c>
      <c r="N204">
        <v>32.385334999999998</v>
      </c>
      <c r="O204">
        <v>130.58820299999999</v>
      </c>
      <c r="P204">
        <v>13.559198</v>
      </c>
      <c r="Q204">
        <v>1137</v>
      </c>
      <c r="R204">
        <v>327</v>
      </c>
      <c r="S204">
        <f>R204/(R204+Q204)</f>
        <v>0.22336065573770492</v>
      </c>
      <c r="T204">
        <f>-4.0853-2.5639*S204</f>
        <v>-4.6579743852459021</v>
      </c>
      <c r="U204">
        <f>K204-(SUM(Q204:R204)*T204)</f>
        <v>87.962171000000126</v>
      </c>
      <c r="V204">
        <f>U204/(2*N204*P204)</f>
        <v>0.10015751656648506</v>
      </c>
      <c r="W204">
        <f>V204*16.02</f>
        <v>1.6045234153950905</v>
      </c>
    </row>
    <row r="205" spans="9:23" x14ac:dyDescent="0.2">
      <c r="W205" s="1">
        <f>AVERAGE(W200:W204)</f>
        <v>1.6047990747544656</v>
      </c>
    </row>
    <row r="206" spans="9:23" x14ac:dyDescent="0.2">
      <c r="I206" t="s">
        <v>28</v>
      </c>
      <c r="J206">
        <v>743.73465599999997</v>
      </c>
      <c r="K206">
        <v>-5835.9709350000003</v>
      </c>
      <c r="L206">
        <v>49435.060039000004</v>
      </c>
      <c r="M206">
        <v>-1.3281419999999999</v>
      </c>
      <c r="N206">
        <v>34.733424999999997</v>
      </c>
      <c r="O206">
        <v>139.97361699999999</v>
      </c>
      <c r="P206">
        <v>10.168264000000001</v>
      </c>
      <c r="Q206">
        <v>964</v>
      </c>
      <c r="R206">
        <v>296</v>
      </c>
      <c r="S206">
        <f>R206/(R206+Q206)</f>
        <v>0.23492063492063492</v>
      </c>
      <c r="T206">
        <f>-4.0853-2.5639*S206</f>
        <v>-4.6876130158730156</v>
      </c>
      <c r="U206">
        <f>K206-(SUM(Q206:R206)*T206)</f>
        <v>70.421464999999444</v>
      </c>
      <c r="V206">
        <f>U206/(2*N206*P206)</f>
        <v>9.9696666242529264E-2</v>
      </c>
      <c r="W206">
        <f>V206*16.02</f>
        <v>1.5971405932053189</v>
      </c>
    </row>
    <row r="207" spans="9:23" x14ac:dyDescent="0.2">
      <c r="J207">
        <v>743.69671100000005</v>
      </c>
      <c r="K207">
        <v>-5779.4528479999999</v>
      </c>
      <c r="L207">
        <v>49699.385167</v>
      </c>
      <c r="M207">
        <v>-1.497768</v>
      </c>
      <c r="N207">
        <v>34.776477999999997</v>
      </c>
      <c r="O207">
        <v>140.27950100000001</v>
      </c>
      <c r="P207">
        <v>10.187688</v>
      </c>
      <c r="Q207">
        <v>987</v>
      </c>
      <c r="R207">
        <v>273</v>
      </c>
      <c r="S207">
        <f t="shared" ref="S207:S228" si="21">R207/(R207+Q207)</f>
        <v>0.21666666666666667</v>
      </c>
      <c r="T207">
        <f>-4.0853-2.5639*S207</f>
        <v>-4.640811666666667</v>
      </c>
      <c r="U207">
        <f>K207-(SUM(Q207:R207)*T207)</f>
        <v>67.969852000000174</v>
      </c>
      <c r="V207">
        <f>U207/(2*N207*P207)</f>
        <v>9.5923517502676844E-2</v>
      </c>
      <c r="W207">
        <f>V207*16.02</f>
        <v>1.5366947503928829</v>
      </c>
    </row>
    <row r="208" spans="9:23" x14ac:dyDescent="0.2">
      <c r="J208">
        <v>743.50326900000005</v>
      </c>
      <c r="K208">
        <v>-5789.1510850000004</v>
      </c>
      <c r="L208">
        <v>49739.069378</v>
      </c>
      <c r="M208">
        <v>-1.443071</v>
      </c>
      <c r="N208">
        <v>34.763790999999998</v>
      </c>
      <c r="O208">
        <v>140.32504700000001</v>
      </c>
      <c r="P208">
        <v>10.196223</v>
      </c>
      <c r="Q208">
        <v>983</v>
      </c>
      <c r="R208">
        <v>277</v>
      </c>
      <c r="S208">
        <f t="shared" si="21"/>
        <v>0.21984126984126984</v>
      </c>
      <c r="T208">
        <f>-4.0853-2.5639*S208</f>
        <v>-4.6489510317460319</v>
      </c>
      <c r="U208">
        <f>K208-(SUM(Q208:R208)*T208)</f>
        <v>68.527215000000069</v>
      </c>
      <c r="V208">
        <f>U208/(2*N208*P208)</f>
        <v>9.6664415863483233E-2</v>
      </c>
      <c r="W208">
        <f>V208*16.02</f>
        <v>1.5485639421330013</v>
      </c>
    </row>
    <row r="209" spans="9:23" x14ac:dyDescent="0.2">
      <c r="J209">
        <v>743.85530100000005</v>
      </c>
      <c r="K209">
        <v>-5756.6000119999999</v>
      </c>
      <c r="L209">
        <v>49867.270071999999</v>
      </c>
      <c r="M209">
        <v>-1.4782869999999999</v>
      </c>
      <c r="N209">
        <v>34.797801</v>
      </c>
      <c r="O209">
        <v>140.45561000000001</v>
      </c>
      <c r="P209">
        <v>10.203037999999999</v>
      </c>
      <c r="Q209">
        <v>994</v>
      </c>
      <c r="R209">
        <v>266</v>
      </c>
      <c r="S209">
        <f t="shared" si="21"/>
        <v>0.21111111111111111</v>
      </c>
      <c r="T209">
        <f>-4.0853-2.5639*S209</f>
        <v>-4.6265677777777778</v>
      </c>
      <c r="U209">
        <f>K209-(SUM(Q209:R209)*T209)</f>
        <v>72.875388000000385</v>
      </c>
      <c r="V209">
        <f>U209/(2*N209*P209)</f>
        <v>0.10262887778778666</v>
      </c>
      <c r="W209">
        <f>V209*16.02</f>
        <v>1.6441146221603422</v>
      </c>
    </row>
    <row r="210" spans="9:23" x14ac:dyDescent="0.2">
      <c r="J210">
        <v>743.94298900000001</v>
      </c>
      <c r="K210">
        <v>-5821.9926050000004</v>
      </c>
      <c r="L210">
        <v>49573.831696000001</v>
      </c>
      <c r="M210">
        <v>-1.462226</v>
      </c>
      <c r="N210">
        <v>34.759162000000003</v>
      </c>
      <c r="O210">
        <v>140.44676000000001</v>
      </c>
      <c r="P210">
        <v>10.15489</v>
      </c>
      <c r="Q210">
        <v>969</v>
      </c>
      <c r="R210">
        <v>291</v>
      </c>
      <c r="S210">
        <f t="shared" si="21"/>
        <v>0.23095238095238096</v>
      </c>
      <c r="T210">
        <f>-4.0853-2.5639*S210</f>
        <v>-4.6774388095238093</v>
      </c>
      <c r="U210">
        <f>K210-(SUM(Q210:R210)*T210)</f>
        <v>71.580294999999751</v>
      </c>
      <c r="V210">
        <f>U210/(2*N210*P210)</f>
        <v>0.10139556679256992</v>
      </c>
      <c r="W210">
        <f>V210*16.02</f>
        <v>1.6243569800169702</v>
      </c>
    </row>
    <row r="211" spans="9:23" x14ac:dyDescent="0.2">
      <c r="W211" s="1">
        <f>AVERAGE(W206:W210)</f>
        <v>1.5901741775817031</v>
      </c>
    </row>
    <row r="212" spans="9:23" x14ac:dyDescent="0.2">
      <c r="I212" t="s">
        <v>55</v>
      </c>
      <c r="J212">
        <v>694.05206099999998</v>
      </c>
      <c r="K212">
        <v>-9105.5316739999998</v>
      </c>
      <c r="L212">
        <v>78177.674280000007</v>
      </c>
      <c r="M212">
        <v>-0.80390799999999996</v>
      </c>
      <c r="N212">
        <v>30.804179999999999</v>
      </c>
      <c r="O212">
        <v>186.26974000000001</v>
      </c>
      <c r="P212">
        <v>13.6249</v>
      </c>
      <c r="Q212">
        <v>1541</v>
      </c>
      <c r="R212">
        <v>435</v>
      </c>
      <c r="S212">
        <f>R212/(R212+Q212)</f>
        <v>0.22014170040485831</v>
      </c>
      <c r="T212">
        <f>-4.0853-2.5639*S212</f>
        <v>-4.6497213056680167</v>
      </c>
      <c r="U212">
        <f>K212-(SUM(Q212:R212)*T212)</f>
        <v>82.317626000001837</v>
      </c>
      <c r="V212">
        <f>U212/(2*N212*P212)</f>
        <v>9.8066317081676777E-2</v>
      </c>
      <c r="W212">
        <f>V212*16.02</f>
        <v>1.571022399648462</v>
      </c>
    </row>
    <row r="213" spans="9:23" x14ac:dyDescent="0.2">
      <c r="J213">
        <v>693.87830699999995</v>
      </c>
      <c r="K213">
        <v>-9040.1559949999992</v>
      </c>
      <c r="L213">
        <v>78691.074305999995</v>
      </c>
      <c r="M213">
        <v>-0.74898100000000001</v>
      </c>
      <c r="N213">
        <v>30.906222</v>
      </c>
      <c r="O213">
        <v>186.530708</v>
      </c>
      <c r="P213">
        <v>13.649972</v>
      </c>
      <c r="Q213">
        <v>1566</v>
      </c>
      <c r="R213">
        <v>410</v>
      </c>
      <c r="S213">
        <f>R213/(R213+Q213)</f>
        <v>0.20748987854251011</v>
      </c>
      <c r="T213">
        <f>-4.0853-2.5639*S213</f>
        <v>-4.6172832995951421</v>
      </c>
      <c r="U213">
        <f>K213-(SUM(Q213:R213)*T213)</f>
        <v>83.595805000000837</v>
      </c>
      <c r="V213">
        <f>U213/(2*N213*P213)</f>
        <v>9.9077903489684843E-2</v>
      </c>
      <c r="W213">
        <f>V213*16.02</f>
        <v>1.5872280139047512</v>
      </c>
    </row>
    <row r="214" spans="9:23" x14ac:dyDescent="0.2">
      <c r="J214">
        <v>694.02604699999995</v>
      </c>
      <c r="K214">
        <v>-9135.0647690000005</v>
      </c>
      <c r="L214">
        <v>78274.864314000006</v>
      </c>
      <c r="M214">
        <v>-0.82399699999999998</v>
      </c>
      <c r="N214">
        <v>30.834768</v>
      </c>
      <c r="O214">
        <v>186.611749</v>
      </c>
      <c r="P214">
        <v>13.603331000000001</v>
      </c>
      <c r="Q214">
        <v>1527</v>
      </c>
      <c r="R214">
        <v>449</v>
      </c>
      <c r="S214">
        <f>R214/(R214+Q214)</f>
        <v>0.22722672064777327</v>
      </c>
      <c r="T214">
        <f>-4.0853-2.5639*S214</f>
        <v>-4.6678865890688259</v>
      </c>
      <c r="U214">
        <f>K214-(SUM(Q214:R214)*T214)</f>
        <v>88.679130999998961</v>
      </c>
      <c r="V214">
        <f>U214/(2*N214*P214)</f>
        <v>0.10570742222361565</v>
      </c>
      <c r="W214">
        <f>V214*16.02</f>
        <v>1.6934329040223226</v>
      </c>
    </row>
    <row r="215" spans="9:23" x14ac:dyDescent="0.2">
      <c r="J215">
        <v>694.01857600000005</v>
      </c>
      <c r="K215">
        <v>-9083.4804839999997</v>
      </c>
      <c r="L215">
        <v>78569.520376999993</v>
      </c>
      <c r="M215">
        <v>-0.77380099999999996</v>
      </c>
      <c r="N215">
        <v>30.878784</v>
      </c>
      <c r="O215">
        <v>186.96956299999999</v>
      </c>
      <c r="P215">
        <v>13.608988</v>
      </c>
      <c r="Q215">
        <v>1550</v>
      </c>
      <c r="R215">
        <v>426</v>
      </c>
      <c r="S215">
        <f>R215/(R215+Q215)</f>
        <v>0.21558704453441296</v>
      </c>
      <c r="T215">
        <f>-4.0853-2.5639*S215</f>
        <v>-4.6380436234817815</v>
      </c>
      <c r="U215">
        <f>K215-(SUM(Q215:R215)*T215)</f>
        <v>81.293716000000131</v>
      </c>
      <c r="V215">
        <f>U215/(2*N215*P215)</f>
        <v>9.6725494699134537E-2</v>
      </c>
      <c r="W215">
        <f>V215*16.02</f>
        <v>1.5495424250801353</v>
      </c>
    </row>
    <row r="216" spans="9:23" x14ac:dyDescent="0.2">
      <c r="J216">
        <v>693.97171500000002</v>
      </c>
      <c r="K216">
        <v>-9020.1629009999997</v>
      </c>
      <c r="L216">
        <v>78941.341952000002</v>
      </c>
      <c r="M216">
        <v>-0.77893599999999996</v>
      </c>
      <c r="N216">
        <v>30.910360000000001</v>
      </c>
      <c r="O216">
        <v>187.11014</v>
      </c>
      <c r="P216">
        <v>13.649155</v>
      </c>
      <c r="Q216">
        <v>1574</v>
      </c>
      <c r="R216">
        <v>402</v>
      </c>
      <c r="S216">
        <f>R216/(R216+Q216)</f>
        <v>0.20344129554655871</v>
      </c>
      <c r="T216">
        <f>-4.0853-2.5639*S216</f>
        <v>-4.6069031376518224</v>
      </c>
      <c r="U216">
        <f>K216-(SUM(Q216:R216)*T216)</f>
        <v>83.077699000001303</v>
      </c>
      <c r="V216">
        <f>U216/(2*N216*P216)</f>
        <v>9.8456554824234738E-2</v>
      </c>
      <c r="W216">
        <f>V216*16.02</f>
        <v>1.5772740082842405</v>
      </c>
    </row>
    <row r="217" spans="9:23" x14ac:dyDescent="0.2">
      <c r="W217" s="1">
        <f>AVERAGE(W212:W216)</f>
        <v>1.5956999501879825</v>
      </c>
    </row>
    <row r="218" spans="9:23" x14ac:dyDescent="0.2">
      <c r="I218">
        <v>100</v>
      </c>
      <c r="J218">
        <v>743.84334100000001</v>
      </c>
      <c r="K218">
        <v>-21586.307605000002</v>
      </c>
      <c r="L218">
        <v>101780.94175</v>
      </c>
      <c r="M218">
        <v>-0.716893</v>
      </c>
      <c r="N218">
        <v>27.231148999999998</v>
      </c>
      <c r="O218">
        <v>27.248000000000001</v>
      </c>
      <c r="P218">
        <v>137.17254299999999</v>
      </c>
      <c r="Q218">
        <v>3642</v>
      </c>
      <c r="R218">
        <v>1030</v>
      </c>
      <c r="S218">
        <f t="shared" si="21"/>
        <v>0.22046232876712329</v>
      </c>
      <c r="T218">
        <f>-4.0853-2.5639*S218</f>
        <v>-4.6505433647260279</v>
      </c>
      <c r="U218">
        <f>K218-(SUM(Q218:R218)*T218)</f>
        <v>141.03099500000098</v>
      </c>
      <c r="V218">
        <f>U218/(2*N218*O218)</f>
        <v>9.5035087119777054E-2</v>
      </c>
      <c r="W218">
        <f>V218*16.02</f>
        <v>1.5224620956588284</v>
      </c>
    </row>
    <row r="219" spans="9:23" x14ac:dyDescent="0.2">
      <c r="J219">
        <v>743.67722700000002</v>
      </c>
      <c r="K219">
        <v>-21547.697297999999</v>
      </c>
      <c r="L219">
        <v>102091.953939</v>
      </c>
      <c r="M219">
        <v>-0.71532499999999999</v>
      </c>
      <c r="N219">
        <v>27.275995000000002</v>
      </c>
      <c r="O219">
        <v>27.298653000000002</v>
      </c>
      <c r="P219">
        <v>137.11055099999999</v>
      </c>
      <c r="Q219">
        <v>3653</v>
      </c>
      <c r="R219">
        <v>1019</v>
      </c>
      <c r="S219">
        <f t="shared" si="21"/>
        <v>0.21810787671232876</v>
      </c>
      <c r="T219">
        <f>-4.0853-2.5639*S219</f>
        <v>-4.64450678510274</v>
      </c>
      <c r="U219">
        <f>K219-(SUM(Q219:R219)*T219)</f>
        <v>151.43840200000341</v>
      </c>
      <c r="V219">
        <f>U219/(2*N219*O219)</f>
        <v>0.10169139435939155</v>
      </c>
      <c r="W219">
        <f>V219*16.02</f>
        <v>1.6290961376374526</v>
      </c>
    </row>
    <row r="220" spans="9:23" x14ac:dyDescent="0.2">
      <c r="J220">
        <v>743.80799500000001</v>
      </c>
      <c r="K220">
        <v>-21616.027636999999</v>
      </c>
      <c r="L220">
        <v>101788.81337600001</v>
      </c>
      <c r="M220">
        <v>-0.67172900000000002</v>
      </c>
      <c r="N220">
        <v>27.233294000000001</v>
      </c>
      <c r="O220">
        <v>27.248063999999999</v>
      </c>
      <c r="P220">
        <v>137.171908</v>
      </c>
      <c r="Q220">
        <v>3630</v>
      </c>
      <c r="R220">
        <v>1042</v>
      </c>
      <c r="S220">
        <f t="shared" si="21"/>
        <v>0.22303082191780821</v>
      </c>
      <c r="T220">
        <f>-4.0853-2.5639*S220</f>
        <v>-4.6571287243150685</v>
      </c>
      <c r="U220">
        <f>K220-(SUM(Q220:R220)*T220)</f>
        <v>142.07776300000114</v>
      </c>
      <c r="V220">
        <f>U220/(2*N220*O220)</f>
        <v>9.5732696017887864E-2</v>
      </c>
      <c r="W220">
        <f>V220*16.02</f>
        <v>1.5336377902065634</v>
      </c>
    </row>
    <row r="221" spans="9:23" x14ac:dyDescent="0.2">
      <c r="J221">
        <v>743.54921999999999</v>
      </c>
      <c r="K221">
        <v>-21527.574700000001</v>
      </c>
      <c r="L221">
        <v>102221.971089</v>
      </c>
      <c r="M221">
        <v>-0.68123</v>
      </c>
      <c r="N221">
        <v>27.300667000000001</v>
      </c>
      <c r="O221">
        <v>27.283733000000002</v>
      </c>
      <c r="P221">
        <v>137.236042</v>
      </c>
      <c r="Q221">
        <v>3665</v>
      </c>
      <c r="R221">
        <v>1007</v>
      </c>
      <c r="S221">
        <f t="shared" si="21"/>
        <v>0.21553938356164384</v>
      </c>
      <c r="T221">
        <f>-4.0853-2.5639*S221</f>
        <v>-4.6379214255136985</v>
      </c>
      <c r="U221">
        <f>K221-(SUM(Q221:R221)*T221)</f>
        <v>140.79419999999664</v>
      </c>
      <c r="V221">
        <f>U221/(2*N221*O221)</f>
        <v>9.4509990661706358E-2</v>
      </c>
      <c r="W221">
        <f>V221*16.02</f>
        <v>1.5140500504005359</v>
      </c>
    </row>
    <row r="222" spans="9:23" x14ac:dyDescent="0.2">
      <c r="J222">
        <v>743.82912499999998</v>
      </c>
      <c r="K222">
        <v>-21507.724704</v>
      </c>
      <c r="L222">
        <v>102274.58087999999</v>
      </c>
      <c r="M222">
        <v>-0.60368999999999995</v>
      </c>
      <c r="N222">
        <v>27.319313000000001</v>
      </c>
      <c r="O222">
        <v>27.273609</v>
      </c>
      <c r="P222">
        <v>137.26386199999999</v>
      </c>
      <c r="Q222">
        <v>3670</v>
      </c>
      <c r="R222">
        <v>1002</v>
      </c>
      <c r="S222">
        <f t="shared" si="21"/>
        <v>0.21446917808219179</v>
      </c>
      <c r="T222">
        <f>-4.0853-2.5639*S222</f>
        <v>-4.6351775256849317</v>
      </c>
      <c r="U222">
        <f>K222-(SUM(Q222:R222)*T222)</f>
        <v>147.82469599999968</v>
      </c>
      <c r="V222">
        <f>U222/(2*N222*O222)</f>
        <v>9.9198388017231617E-2</v>
      </c>
      <c r="W222">
        <f>V222*16.02</f>
        <v>1.5891581760360505</v>
      </c>
    </row>
    <row r="223" spans="9:23" x14ac:dyDescent="0.2">
      <c r="W223" s="1">
        <f>AVERAGE(W218:W222)</f>
        <v>1.5576808499878863</v>
      </c>
    </row>
    <row r="224" spans="9:23" x14ac:dyDescent="0.2">
      <c r="I224">
        <v>110</v>
      </c>
      <c r="J224">
        <v>693.92072599999995</v>
      </c>
      <c r="K224">
        <v>-8322.2750730000007</v>
      </c>
      <c r="L224">
        <v>39707.073003999998</v>
      </c>
      <c r="M224">
        <v>-1.469176</v>
      </c>
      <c r="N224">
        <v>96.657122000000001</v>
      </c>
      <c r="O224">
        <v>24.166630000000001</v>
      </c>
      <c r="P224">
        <v>16.998840999999999</v>
      </c>
      <c r="Q224">
        <v>1393</v>
      </c>
      <c r="R224">
        <v>407</v>
      </c>
      <c r="S224">
        <f t="shared" si="21"/>
        <v>0.22611111111111112</v>
      </c>
      <c r="T224">
        <f>-4.0853-2.5639*S224</f>
        <v>-4.6650262777777778</v>
      </c>
      <c r="U224">
        <f>K224-(SUM(Q224:R224)*T224)</f>
        <v>74.772226999999475</v>
      </c>
      <c r="V224">
        <f>U224/(2*P224*O224)</f>
        <v>9.1007024555203611E-2</v>
      </c>
      <c r="W224">
        <f>V224*16.02</f>
        <v>1.4579325333743618</v>
      </c>
    </row>
    <row r="225" spans="9:23" x14ac:dyDescent="0.2">
      <c r="J225">
        <v>694.34853499999997</v>
      </c>
      <c r="K225">
        <v>-8285.9898150000008</v>
      </c>
      <c r="L225">
        <v>39916.369233999998</v>
      </c>
      <c r="M225">
        <v>-1.401024</v>
      </c>
      <c r="N225">
        <v>96.933024000000003</v>
      </c>
      <c r="O225">
        <v>24.186323999999999</v>
      </c>
      <c r="P225">
        <v>17.025933999999999</v>
      </c>
      <c r="Q225">
        <v>1409</v>
      </c>
      <c r="R225">
        <v>391</v>
      </c>
      <c r="S225">
        <f t="shared" si="21"/>
        <v>0.21722222222222223</v>
      </c>
      <c r="T225">
        <f>-4.0853-2.5639*S225</f>
        <v>-4.6422360555555553</v>
      </c>
      <c r="U225">
        <f>K225-(SUM(Q225:R225)*T225)</f>
        <v>70.035084999999526</v>
      </c>
      <c r="V225">
        <f>U225/(2*P225*O225)</f>
        <v>8.5036397329044167E-2</v>
      </c>
      <c r="W225">
        <f>V225*16.02</f>
        <v>1.3622830852112875</v>
      </c>
    </row>
    <row r="226" spans="9:23" x14ac:dyDescent="0.2">
      <c r="J226">
        <v>694.18103399999995</v>
      </c>
      <c r="K226">
        <v>-8304.7523220000003</v>
      </c>
      <c r="L226">
        <v>39752.710910000002</v>
      </c>
      <c r="M226">
        <v>-1.5353250000000001</v>
      </c>
      <c r="N226">
        <v>96.667120999999995</v>
      </c>
      <c r="O226">
        <v>24.185210999999999</v>
      </c>
      <c r="P226">
        <v>17.003553</v>
      </c>
      <c r="Q226">
        <v>1402</v>
      </c>
      <c r="R226">
        <v>398</v>
      </c>
      <c r="S226">
        <f t="shared" si="21"/>
        <v>0.22111111111111112</v>
      </c>
      <c r="T226">
        <f>-4.0853-2.5639*S226</f>
        <v>-4.6522067777777778</v>
      </c>
      <c r="U226">
        <f>K226-(SUM(Q226:R226)*T226)</f>
        <v>69.219877999999881</v>
      </c>
      <c r="V226">
        <f>U226/(2*P226*O226)</f>
        <v>8.4161074921144718E-2</v>
      </c>
      <c r="W226">
        <f>V226*16.02</f>
        <v>1.3482604202367383</v>
      </c>
    </row>
    <row r="227" spans="9:23" x14ac:dyDescent="0.2">
      <c r="J227">
        <v>694.20836199999997</v>
      </c>
      <c r="K227">
        <v>-8282.1072559999993</v>
      </c>
      <c r="L227">
        <v>39940.068843000001</v>
      </c>
      <c r="M227">
        <v>-1.301245</v>
      </c>
      <c r="N227">
        <v>97.084444000000005</v>
      </c>
      <c r="O227">
        <v>24.199552000000001</v>
      </c>
      <c r="P227">
        <v>17.000188999999999</v>
      </c>
      <c r="Q227">
        <v>1409</v>
      </c>
      <c r="R227">
        <v>391</v>
      </c>
      <c r="S227">
        <f t="shared" si="21"/>
        <v>0.21722222222222223</v>
      </c>
      <c r="T227">
        <f>-4.0853-2.5639*S227</f>
        <v>-4.6422360555555553</v>
      </c>
      <c r="U227">
        <f>K227-(SUM(Q227:R227)*T227)</f>
        <v>73.917644000001019</v>
      </c>
      <c r="V227">
        <f>U227/(2*P227*O227)</f>
        <v>8.9837373142595517E-2</v>
      </c>
      <c r="W227">
        <f>V227*16.02</f>
        <v>1.4391947177443802</v>
      </c>
    </row>
    <row r="228" spans="9:23" x14ac:dyDescent="0.2">
      <c r="J228">
        <v>694.01776500000005</v>
      </c>
      <c r="K228">
        <v>-8329.7972480000008</v>
      </c>
      <c r="L228">
        <v>39729.053532999998</v>
      </c>
      <c r="M228">
        <v>-1.4297200000000001</v>
      </c>
      <c r="N228">
        <v>96.674537000000001</v>
      </c>
      <c r="O228">
        <v>24.172032000000002</v>
      </c>
      <c r="P228">
        <v>17.001427</v>
      </c>
      <c r="Q228">
        <v>1393</v>
      </c>
      <c r="R228">
        <v>407</v>
      </c>
      <c r="S228">
        <f t="shared" si="21"/>
        <v>0.22611111111111112</v>
      </c>
      <c r="T228">
        <f>-4.0853-2.5639*S228</f>
        <v>-4.6650262777777778</v>
      </c>
      <c r="U228">
        <f>K228-(SUM(Q228:R228)*T228)</f>
        <v>67.250051999999414</v>
      </c>
      <c r="V228">
        <f>U228/(2*P228*O228)</f>
        <v>8.1820870044366417E-2</v>
      </c>
      <c r="W228">
        <f>V228*16.02</f>
        <v>1.3107703381107501</v>
      </c>
    </row>
    <row r="229" spans="9:23" x14ac:dyDescent="0.2">
      <c r="W229" s="1">
        <f>AVERAGE(W224:W228)</f>
        <v>1.3836882189355035</v>
      </c>
    </row>
    <row r="230" spans="9:23" x14ac:dyDescent="0.2">
      <c r="I230">
        <v>111</v>
      </c>
      <c r="J230">
        <v>694.07344899999998</v>
      </c>
      <c r="K230">
        <v>-12505.829748</v>
      </c>
      <c r="L230">
        <v>61030.798978999999</v>
      </c>
      <c r="M230">
        <v>-0.874641</v>
      </c>
      <c r="N230">
        <v>94.529888</v>
      </c>
      <c r="O230">
        <v>19.307663999999999</v>
      </c>
      <c r="P230">
        <v>33.438814000000001</v>
      </c>
      <c r="Q230">
        <v>2103</v>
      </c>
      <c r="R230">
        <v>608</v>
      </c>
      <c r="S230">
        <f>R230/(R230+Q230)</f>
        <v>0.22427148653633347</v>
      </c>
      <c r="T230">
        <f>-4.0853-2.5639*S230</f>
        <v>-4.6603096643305051</v>
      </c>
      <c r="U230">
        <f>K230-(SUM(Q230:R230)*T230)</f>
        <v>128.26975199999833</v>
      </c>
      <c r="V230">
        <f>U230/(2*O230*P230)</f>
        <v>9.9337599578939645E-2</v>
      </c>
      <c r="W230">
        <f>V230*16.02</f>
        <v>1.5913883452546131</v>
      </c>
    </row>
    <row r="231" spans="9:23" x14ac:dyDescent="0.2">
      <c r="J231">
        <v>694.17566599999998</v>
      </c>
      <c r="K231">
        <v>-12495.286977</v>
      </c>
      <c r="L231">
        <v>61342.833661999997</v>
      </c>
      <c r="M231">
        <v>-0.91824600000000001</v>
      </c>
      <c r="N231">
        <v>94.859256000000002</v>
      </c>
      <c r="O231">
        <v>19.320709999999998</v>
      </c>
      <c r="P231">
        <v>33.470463000000002</v>
      </c>
      <c r="Q231">
        <v>2102</v>
      </c>
      <c r="R231">
        <v>609</v>
      </c>
      <c r="S231">
        <f>R231/(R231+Q231)</f>
        <v>0.22464035411287347</v>
      </c>
      <c r="T231">
        <f>-4.0853-2.5639*S231</f>
        <v>-4.6612554039099967</v>
      </c>
      <c r="U231">
        <f>K231-(SUM(Q231:R231)*T231)</f>
        <v>141.37642300000152</v>
      </c>
      <c r="V231">
        <f>U231/(2*O231*P231)</f>
        <v>0.10931057824359074</v>
      </c>
      <c r="W231">
        <f>V231*16.02</f>
        <v>1.7511554634623236</v>
      </c>
    </row>
    <row r="232" spans="9:23" x14ac:dyDescent="0.2">
      <c r="J232">
        <v>694.273189</v>
      </c>
      <c r="K232">
        <v>-12492.765772000001</v>
      </c>
      <c r="L232">
        <v>61191.320183000003</v>
      </c>
      <c r="M232">
        <v>-0.75379600000000002</v>
      </c>
      <c r="N232">
        <v>94.707446000000004</v>
      </c>
      <c r="O232">
        <v>19.320097000000001</v>
      </c>
      <c r="P232">
        <v>33.442368999999999</v>
      </c>
      <c r="Q232">
        <v>2109</v>
      </c>
      <c r="R232">
        <v>602</v>
      </c>
      <c r="S232">
        <f>R232/(R232+Q232)</f>
        <v>0.22205828107709333</v>
      </c>
      <c r="T232">
        <f>-4.0853-2.5639*S232</f>
        <v>-4.6546352268535598</v>
      </c>
      <c r="U232">
        <f>K232-(SUM(Q232:R232)*T232)</f>
        <v>125.95032800000081</v>
      </c>
      <c r="V232">
        <f>U232/(2*O232*P232)</f>
        <v>9.7468205456578111E-2</v>
      </c>
      <c r="W232">
        <f>V232*16.02</f>
        <v>1.5614406514143813</v>
      </c>
    </row>
    <row r="233" spans="9:23" x14ac:dyDescent="0.2">
      <c r="J233">
        <v>694.02669800000001</v>
      </c>
      <c r="K233">
        <v>-12462.449961</v>
      </c>
      <c r="L233">
        <v>61435.356062999999</v>
      </c>
      <c r="M233">
        <v>-0.91202700000000003</v>
      </c>
      <c r="N233">
        <v>95.053298999999996</v>
      </c>
      <c r="O233">
        <v>19.313884000000002</v>
      </c>
      <c r="P233">
        <v>33.464337999999998</v>
      </c>
      <c r="Q233">
        <v>2118</v>
      </c>
      <c r="R233">
        <v>593</v>
      </c>
      <c r="S233">
        <f>R233/(R233+Q233)</f>
        <v>0.21873847288823312</v>
      </c>
      <c r="T233">
        <f>-4.0853-2.5639*S233</f>
        <v>-4.6461235706381405</v>
      </c>
      <c r="U233">
        <f>K233-(SUM(Q233:R233)*T233)</f>
        <v>133.19103899999936</v>
      </c>
      <c r="V233">
        <f>U233/(2*O233*P233)</f>
        <v>0.10303698788793009</v>
      </c>
      <c r="W233">
        <f>V233*16.02</f>
        <v>1.65065254596464</v>
      </c>
    </row>
    <row r="234" spans="9:23" x14ac:dyDescent="0.2">
      <c r="J234">
        <v>694.25773700000002</v>
      </c>
      <c r="K234">
        <v>-12452.721057999999</v>
      </c>
      <c r="L234">
        <v>61356.722157999997</v>
      </c>
      <c r="M234">
        <v>-0.97294000000000003</v>
      </c>
      <c r="N234">
        <v>94.830871999999999</v>
      </c>
      <c r="O234">
        <v>19.318089000000001</v>
      </c>
      <c r="P234">
        <v>33.492618999999998</v>
      </c>
      <c r="Q234">
        <v>2124</v>
      </c>
      <c r="R234">
        <v>587</v>
      </c>
      <c r="S234">
        <f>R234/(R234+Q234)</f>
        <v>0.216525267428993</v>
      </c>
      <c r="T234">
        <f>-4.0853-2.5639*S234</f>
        <v>-4.6404491331611952</v>
      </c>
      <c r="U234">
        <f>K234-(SUM(Q234:R234)*T234)</f>
        <v>127.53654200000165</v>
      </c>
      <c r="V234">
        <f>U234/(2*O234*P234)</f>
        <v>9.8557883845724087E-2</v>
      </c>
      <c r="W234">
        <f>V234*16.02</f>
        <v>1.5788972992084997</v>
      </c>
    </row>
    <row r="235" spans="9:23" x14ac:dyDescent="0.2">
      <c r="I235" t="s">
        <v>29</v>
      </c>
      <c r="W235" s="1">
        <f>AVERAGE(W230:W234)</f>
        <v>1.6267068610608917</v>
      </c>
    </row>
    <row r="236" spans="9:23" x14ac:dyDescent="0.2">
      <c r="J236" t="s">
        <v>18</v>
      </c>
      <c r="K236" t="s">
        <v>5</v>
      </c>
      <c r="L236" t="s">
        <v>7</v>
      </c>
      <c r="M236" t="s">
        <v>19</v>
      </c>
      <c r="N236" t="s">
        <v>20</v>
      </c>
      <c r="O236" t="s">
        <v>21</v>
      </c>
      <c r="P236" t="s">
        <v>22</v>
      </c>
      <c r="Q236" t="s">
        <v>26</v>
      </c>
      <c r="R236" t="s">
        <v>12</v>
      </c>
      <c r="S236" t="s">
        <v>23</v>
      </c>
      <c r="T236" t="s">
        <v>23</v>
      </c>
    </row>
    <row r="237" spans="9:23" x14ac:dyDescent="0.2">
      <c r="I237" t="s">
        <v>17</v>
      </c>
      <c r="J237">
        <v>743.44492100000002</v>
      </c>
      <c r="K237">
        <v>-15722.169055</v>
      </c>
      <c r="L237">
        <v>167240.048048</v>
      </c>
      <c r="M237">
        <v>-0.37701099999999999</v>
      </c>
      <c r="N237">
        <v>31.452964000000001</v>
      </c>
      <c r="O237">
        <v>189.247704</v>
      </c>
      <c r="P237">
        <v>28.096285000000002</v>
      </c>
      <c r="Q237">
        <f>$E$27</f>
        <v>-4.0945424230000009</v>
      </c>
      <c r="R237">
        <f>K237-3872*Q237</f>
        <v>131.89920685600373</v>
      </c>
      <c r="S237">
        <f>R237/(2*N237*P237)</f>
        <v>7.4627984198477701E-2</v>
      </c>
      <c r="T237">
        <f>S237*16.02</f>
        <v>1.1955403068596127</v>
      </c>
    </row>
    <row r="238" spans="9:23" x14ac:dyDescent="0.2">
      <c r="J238">
        <v>743.704117</v>
      </c>
      <c r="K238">
        <v>-15719.794528</v>
      </c>
      <c r="L238">
        <v>167273.49754499999</v>
      </c>
      <c r="M238">
        <v>-0.48213600000000001</v>
      </c>
      <c r="N238">
        <v>31.466042000000002</v>
      </c>
      <c r="O238">
        <v>189.261518</v>
      </c>
      <c r="P238">
        <v>28.088177999999999</v>
      </c>
      <c r="Q238">
        <f>$E$27</f>
        <v>-4.0945424230000009</v>
      </c>
      <c r="R238">
        <f>K238-3872*Q238</f>
        <v>134.27373385600367</v>
      </c>
      <c r="S238">
        <f>R238/(2*N238*P238)</f>
        <v>7.5961823827392319E-2</v>
      </c>
      <c r="T238">
        <f>S238*16.02</f>
        <v>1.2169084177148248</v>
      </c>
    </row>
    <row r="239" spans="9:23" x14ac:dyDescent="0.2">
      <c r="J239">
        <v>743.48345500000005</v>
      </c>
      <c r="K239">
        <v>-15718.505776</v>
      </c>
      <c r="L239">
        <v>167158.21222300001</v>
      </c>
      <c r="M239">
        <v>-0.40803200000000001</v>
      </c>
      <c r="N239">
        <v>31.463656</v>
      </c>
      <c r="O239">
        <v>189.24065100000001</v>
      </c>
      <c r="P239">
        <v>28.074043</v>
      </c>
      <c r="Q239">
        <f>$E$27</f>
        <v>-4.0945424230000009</v>
      </c>
      <c r="R239">
        <f>K239-3872*Q239</f>
        <v>135.56248585600406</v>
      </c>
      <c r="S239">
        <f>R239/(2*N239*P239)</f>
        <v>7.6735333055908947E-2</v>
      </c>
      <c r="T239">
        <f>S239*16.02</f>
        <v>1.2293000355556614</v>
      </c>
    </row>
    <row r="240" spans="9:23" x14ac:dyDescent="0.2">
      <c r="J240">
        <v>743.79395799999998</v>
      </c>
      <c r="K240">
        <v>-15720.371929000001</v>
      </c>
      <c r="L240">
        <v>167142.92650500001</v>
      </c>
      <c r="M240">
        <v>-0.48726900000000001</v>
      </c>
      <c r="N240">
        <v>31.455794999999998</v>
      </c>
      <c r="O240">
        <v>189.182424</v>
      </c>
      <c r="P240">
        <v>28.087126999999999</v>
      </c>
      <c r="Q240">
        <f>$E$27</f>
        <v>-4.0945424230000009</v>
      </c>
      <c r="R240">
        <f>K240-3872*Q240</f>
        <v>133.69633285600321</v>
      </c>
      <c r="S240">
        <f>R240/(2*N240*P240)</f>
        <v>7.5662644393336642E-2</v>
      </c>
      <c r="T240">
        <f>S240*16.02</f>
        <v>1.212115563181253</v>
      </c>
    </row>
    <row r="241" spans="9:20" x14ac:dyDescent="0.2">
      <c r="J241">
        <v>743.57001400000001</v>
      </c>
      <c r="K241">
        <v>-15721.040655999999</v>
      </c>
      <c r="L241">
        <v>167277.877098</v>
      </c>
      <c r="M241">
        <v>-0.45494099999999998</v>
      </c>
      <c r="N241">
        <v>31.458518000000002</v>
      </c>
      <c r="O241">
        <v>189.446651</v>
      </c>
      <c r="P241">
        <v>28.068169000000001</v>
      </c>
      <c r="Q241">
        <f>$E$27</f>
        <v>-4.0945424230000009</v>
      </c>
      <c r="R241">
        <f>K241-3872*Q241</f>
        <v>133.02760585600481</v>
      </c>
      <c r="S241">
        <f>R241/(2*N241*P241)</f>
        <v>7.532852042404084E-2</v>
      </c>
      <c r="T241">
        <f>S241*16.02</f>
        <v>1.2067628971931341</v>
      </c>
    </row>
    <row r="242" spans="9:20" x14ac:dyDescent="0.2">
      <c r="T242" s="1">
        <f>AVERAGE(T237:T241)</f>
        <v>1.2121254441008973</v>
      </c>
    </row>
    <row r="243" spans="9:20" x14ac:dyDescent="0.2">
      <c r="I243" t="s">
        <v>27</v>
      </c>
      <c r="J243">
        <v>743.71903799999995</v>
      </c>
      <c r="K243">
        <v>-5922.5528290000002</v>
      </c>
      <c r="L243">
        <v>62598.207630999997</v>
      </c>
      <c r="M243">
        <v>-1.2378420000000001</v>
      </c>
      <c r="N243">
        <v>33.320099999999996</v>
      </c>
      <c r="O243">
        <v>133.804158</v>
      </c>
      <c r="P243">
        <v>14.040701</v>
      </c>
      <c r="Q243">
        <f>$E$27</f>
        <v>-4.0945424230000009</v>
      </c>
      <c r="R243">
        <f>K243-1464*Q243</f>
        <v>71.857278272001167</v>
      </c>
      <c r="S243">
        <f>R243/(2*N243*P243)</f>
        <v>7.6797252083062179E-2</v>
      </c>
      <c r="T243">
        <f>S243*16.02</f>
        <v>1.2302919783706561</v>
      </c>
    </row>
    <row r="244" spans="9:20" x14ac:dyDescent="0.2">
      <c r="J244">
        <v>743.89815399999998</v>
      </c>
      <c r="K244">
        <v>-5923.6801779999996</v>
      </c>
      <c r="L244">
        <v>62596.697134000002</v>
      </c>
      <c r="M244">
        <v>-1.1135919999999999</v>
      </c>
      <c r="N244">
        <v>33.341056999999999</v>
      </c>
      <c r="O244">
        <v>133.771612</v>
      </c>
      <c r="P244">
        <v>14.034951</v>
      </c>
      <c r="Q244">
        <f>$E$27</f>
        <v>-4.0945424230000009</v>
      </c>
      <c r="R244">
        <f>K244-1464*Q244</f>
        <v>70.729929272001755</v>
      </c>
      <c r="S244">
        <f>R244/(2*N244*P244)</f>
        <v>7.5575836606055852E-2</v>
      </c>
      <c r="T244">
        <f>S244*16.02</f>
        <v>1.2107249024290148</v>
      </c>
    </row>
    <row r="245" spans="9:20" x14ac:dyDescent="0.2">
      <c r="J245">
        <v>743.23071900000002</v>
      </c>
      <c r="K245">
        <v>-5923.0251440000002</v>
      </c>
      <c r="L245">
        <v>62691.961945000003</v>
      </c>
      <c r="M245">
        <v>-1.140525</v>
      </c>
      <c r="N245">
        <v>33.342044999999999</v>
      </c>
      <c r="O245">
        <v>133.958641</v>
      </c>
      <c r="P245">
        <v>14.036254</v>
      </c>
      <c r="Q245">
        <f>$E$27</f>
        <v>-4.0945424230000009</v>
      </c>
      <c r="R245">
        <f>K245-1464*Q245</f>
        <v>71.384963272001187</v>
      </c>
      <c r="S245">
        <f>R245/(2*N245*P245)</f>
        <v>7.6266408067040478E-2</v>
      </c>
      <c r="T245">
        <f>S245*16.02</f>
        <v>1.2217878572339884</v>
      </c>
    </row>
    <row r="246" spans="9:20" x14ac:dyDescent="0.2">
      <c r="J246">
        <v>743.69455500000004</v>
      </c>
      <c r="K246">
        <v>-5922.7257719999998</v>
      </c>
      <c r="L246">
        <v>62601.662454999998</v>
      </c>
      <c r="M246">
        <v>-1.1228210000000001</v>
      </c>
      <c r="N246">
        <v>33.357658999999998</v>
      </c>
      <c r="O246">
        <v>133.88336699999999</v>
      </c>
      <c r="P246">
        <v>14.017372999999999</v>
      </c>
      <c r="Q246">
        <f>$E$27</f>
        <v>-4.0945424230000009</v>
      </c>
      <c r="R246">
        <f>K246-1464*Q246</f>
        <v>71.68433527200159</v>
      </c>
      <c r="S246">
        <f>R246/(2*N246*P246)</f>
        <v>7.6653514545833426E-2</v>
      </c>
      <c r="T246">
        <f>S246*16.02</f>
        <v>1.2279893030242515</v>
      </c>
    </row>
    <row r="247" spans="9:20" x14ac:dyDescent="0.2">
      <c r="J247">
        <v>744.16487600000005</v>
      </c>
      <c r="K247">
        <v>-5923.5110189999996</v>
      </c>
      <c r="L247">
        <v>62698.702463000001</v>
      </c>
      <c r="M247">
        <v>-1.0048680000000001</v>
      </c>
      <c r="N247">
        <v>33.328749999999999</v>
      </c>
      <c r="O247">
        <v>133.92142999999999</v>
      </c>
      <c r="P247">
        <v>14.047273000000001</v>
      </c>
      <c r="Q247">
        <f>$E$27</f>
        <v>-4.0945424230000009</v>
      </c>
      <c r="R247">
        <f>K247-1464*Q247</f>
        <v>70.899088272001791</v>
      </c>
      <c r="S247">
        <f>R247/(2*N247*P247)</f>
        <v>7.5718082332342451E-2</v>
      </c>
      <c r="T247">
        <f>S247*16.02</f>
        <v>1.2130036789641261</v>
      </c>
    </row>
    <row r="248" spans="9:20" x14ac:dyDescent="0.2">
      <c r="T248" s="1">
        <f>AVERAGE(T243:T247)</f>
        <v>1.2207595440044074</v>
      </c>
    </row>
    <row r="249" spans="9:20" x14ac:dyDescent="0.2">
      <c r="I249" t="s">
        <v>28</v>
      </c>
      <c r="J249">
        <v>743.734691</v>
      </c>
      <c r="K249">
        <v>-10200.304484</v>
      </c>
      <c r="L249">
        <v>108346.20417899999</v>
      </c>
      <c r="M249">
        <v>-0.62481900000000001</v>
      </c>
      <c r="N249">
        <v>35.830666999999998</v>
      </c>
      <c r="O249">
        <v>143.58321699999999</v>
      </c>
      <c r="P249">
        <v>21.059927999999999</v>
      </c>
      <c r="Q249">
        <f>$E$27</f>
        <v>-4.0945424230000009</v>
      </c>
      <c r="R249">
        <f>K249-2520*Q249</f>
        <v>117.94242196000232</v>
      </c>
      <c r="S249">
        <f>R249/(2*N249*P249)</f>
        <v>7.8149872046472099E-2</v>
      </c>
      <c r="T249">
        <f>S249*16.02</f>
        <v>1.2519609501844831</v>
      </c>
    </row>
    <row r="250" spans="9:20" x14ac:dyDescent="0.2">
      <c r="J250">
        <v>744.00265899999999</v>
      </c>
      <c r="K250">
        <v>-10201.236295999999</v>
      </c>
      <c r="L250">
        <v>108468.135245</v>
      </c>
      <c r="M250">
        <v>-0.72954699999999995</v>
      </c>
      <c r="N250">
        <v>35.826692999999999</v>
      </c>
      <c r="O250">
        <v>143.76626999999999</v>
      </c>
      <c r="P250">
        <v>21.059138000000001</v>
      </c>
      <c r="Q250">
        <f>$E$27</f>
        <v>-4.0945424230000009</v>
      </c>
      <c r="R250">
        <f>K250-2520*Q250</f>
        <v>117.01060996000342</v>
      </c>
      <c r="S250">
        <f>R250/(2*N250*P250)</f>
        <v>7.7543952701564556E-2</v>
      </c>
      <c r="T250">
        <f>S250*16.02</f>
        <v>1.2422541222790642</v>
      </c>
    </row>
    <row r="251" spans="9:20" x14ac:dyDescent="0.2">
      <c r="J251">
        <v>743.90224999999998</v>
      </c>
      <c r="K251">
        <v>-10200.967406</v>
      </c>
      <c r="L251">
        <v>108350.068549</v>
      </c>
      <c r="M251">
        <v>-0.59851299999999996</v>
      </c>
      <c r="N251">
        <v>35.820852000000002</v>
      </c>
      <c r="O251">
        <v>143.57009099999999</v>
      </c>
      <c r="P251">
        <v>21.068363000000002</v>
      </c>
      <c r="Q251">
        <f>$E$27</f>
        <v>-4.0945424230000009</v>
      </c>
      <c r="R251">
        <f>K251-2520*Q251</f>
        <v>117.27949996000279</v>
      </c>
      <c r="S251">
        <f>R251/(2*N251*P251)</f>
        <v>7.7700784944601933E-2</v>
      </c>
      <c r="T251">
        <f>S251*16.02</f>
        <v>1.244766574812523</v>
      </c>
    </row>
    <row r="252" spans="9:20" x14ac:dyDescent="0.2">
      <c r="J252">
        <v>743.50787400000002</v>
      </c>
      <c r="K252">
        <v>-10199.407404</v>
      </c>
      <c r="L252">
        <v>108334.43682</v>
      </c>
      <c r="M252">
        <v>-0.63924599999999998</v>
      </c>
      <c r="N252">
        <v>35.830108000000003</v>
      </c>
      <c r="O252">
        <v>143.713706</v>
      </c>
      <c r="P252">
        <v>21.038844999999998</v>
      </c>
      <c r="Q252">
        <f>$E$27</f>
        <v>-4.0945424230000009</v>
      </c>
      <c r="R252">
        <f>K252-2520*Q252</f>
        <v>118.83950196000296</v>
      </c>
      <c r="S252">
        <f>R252/(2*N252*P252)</f>
        <v>7.8824425861304753E-2</v>
      </c>
      <c r="T252">
        <f>S252*16.02</f>
        <v>1.2627673022981021</v>
      </c>
    </row>
    <row r="253" spans="9:20" x14ac:dyDescent="0.2">
      <c r="J253">
        <v>743.54497900000001</v>
      </c>
      <c r="K253">
        <v>-10199.09835</v>
      </c>
      <c r="L253">
        <v>108433.72515100001</v>
      </c>
      <c r="M253">
        <v>-0.67935500000000004</v>
      </c>
      <c r="N253">
        <v>35.849238</v>
      </c>
      <c r="O253">
        <v>143.688693</v>
      </c>
      <c r="P253">
        <v>21.050549</v>
      </c>
      <c r="Q253">
        <f>$E$27</f>
        <v>-4.0945424230000009</v>
      </c>
      <c r="R253">
        <f>K253-2520*Q253</f>
        <v>119.14855596000234</v>
      </c>
      <c r="S253">
        <f>R253/(2*N253*P253)</f>
        <v>7.894332818115786E-2</v>
      </c>
      <c r="T253">
        <f>S253*16.02</f>
        <v>1.2646721174621489</v>
      </c>
    </row>
    <row r="254" spans="9:20" x14ac:dyDescent="0.2">
      <c r="T254" s="1">
        <f>AVERAGE(T249:T253)</f>
        <v>1.2532842134072641</v>
      </c>
    </row>
    <row r="255" spans="9:20" x14ac:dyDescent="0.2">
      <c r="I255" t="s">
        <v>55</v>
      </c>
      <c r="J255">
        <v>694.00577599999997</v>
      </c>
      <c r="K255">
        <v>-8020.7754690000002</v>
      </c>
      <c r="L255">
        <v>85601.638225000002</v>
      </c>
      <c r="M255">
        <v>-0.67027800000000004</v>
      </c>
      <c r="N255">
        <v>31.803605000000001</v>
      </c>
      <c r="O255">
        <v>191.47166999999999</v>
      </c>
      <c r="P255">
        <v>14.057354</v>
      </c>
      <c r="Q255">
        <f>$E$27</f>
        <v>-4.0945424230000009</v>
      </c>
      <c r="R255">
        <f>K255-1976*Q255</f>
        <v>70.040358848001233</v>
      </c>
      <c r="S255">
        <f>R255/(2*N255*P255)</f>
        <v>7.8331859150452626E-2</v>
      </c>
      <c r="T255">
        <f>S255*16.02</f>
        <v>1.254876383590251</v>
      </c>
    </row>
    <row r="256" spans="9:20" x14ac:dyDescent="0.2">
      <c r="J256">
        <v>694.20070699999997</v>
      </c>
      <c r="K256">
        <v>-8021.8295710000002</v>
      </c>
      <c r="L256">
        <v>85642.134692000007</v>
      </c>
      <c r="M256">
        <v>-0.66322899999999996</v>
      </c>
      <c r="N256">
        <v>31.802975</v>
      </c>
      <c r="O256">
        <v>191.61684199999999</v>
      </c>
      <c r="P256">
        <v>14.053623</v>
      </c>
      <c r="Q256">
        <f>$E$27</f>
        <v>-4.0945424230000009</v>
      </c>
      <c r="R256">
        <f>K256-1976*Q256</f>
        <v>68.986256848001176</v>
      </c>
      <c r="S256">
        <f>R256/(2*N256*P256)</f>
        <v>7.7174982288391605E-2</v>
      </c>
      <c r="T256">
        <f>S256*16.02</f>
        <v>1.2363432162600334</v>
      </c>
    </row>
    <row r="257" spans="9:20" x14ac:dyDescent="0.2">
      <c r="J257">
        <v>694.23986200000002</v>
      </c>
      <c r="K257">
        <v>-8022.3398889999999</v>
      </c>
      <c r="L257">
        <v>85605.606264000002</v>
      </c>
      <c r="M257">
        <v>-0.72035199999999999</v>
      </c>
      <c r="N257">
        <v>31.807015</v>
      </c>
      <c r="O257">
        <v>191.503467</v>
      </c>
      <c r="P257">
        <v>14.054152999999999</v>
      </c>
      <c r="Q257">
        <f>$E$27</f>
        <v>-4.0945424230000009</v>
      </c>
      <c r="R257">
        <f>K257-1976*Q257</f>
        <v>68.475938848001533</v>
      </c>
      <c r="S257">
        <f>R257/(2*N257*P257)</f>
        <v>7.659147070576143E-2</v>
      </c>
      <c r="T257">
        <f>S257*16.02</f>
        <v>1.226995360706298</v>
      </c>
    </row>
    <row r="258" spans="9:20" x14ac:dyDescent="0.2">
      <c r="J258">
        <v>693.93907100000001</v>
      </c>
      <c r="K258">
        <v>-8021.8482480000002</v>
      </c>
      <c r="L258">
        <v>85562.645535999996</v>
      </c>
      <c r="M258">
        <v>-0.81867199999999996</v>
      </c>
      <c r="N258">
        <v>31.797401000000001</v>
      </c>
      <c r="O258">
        <v>191.512461</v>
      </c>
      <c r="P258">
        <v>14.050705000000001</v>
      </c>
      <c r="Q258">
        <f>$E$27</f>
        <v>-4.0945424230000009</v>
      </c>
      <c r="R258">
        <f>K258-1976*Q258</f>
        <v>68.967579848001151</v>
      </c>
      <c r="S258">
        <f>R258/(2*N258*P258)</f>
        <v>7.7183639113062433E-2</v>
      </c>
      <c r="T258">
        <f>S258*16.02</f>
        <v>1.2364818985912602</v>
      </c>
    </row>
    <row r="259" spans="9:20" x14ac:dyDescent="0.2">
      <c r="J259">
        <v>694.18837199999996</v>
      </c>
      <c r="K259">
        <v>-8020.578141</v>
      </c>
      <c r="L259">
        <v>85600.086242000005</v>
      </c>
      <c r="M259">
        <v>-0.78870700000000005</v>
      </c>
      <c r="N259">
        <v>31.803768000000002</v>
      </c>
      <c r="O259">
        <v>191.50509400000001</v>
      </c>
      <c r="P259">
        <v>14.054587</v>
      </c>
      <c r="Q259">
        <f>$E$27</f>
        <v>-4.0945424230000009</v>
      </c>
      <c r="R259">
        <f>K259-1976*Q259</f>
        <v>70.237686848001431</v>
      </c>
      <c r="S259">
        <f>R259/(2*N259*P259)</f>
        <v>7.8567609559969595E-2</v>
      </c>
      <c r="T259">
        <f>S259*16.02</f>
        <v>1.2586531051507128</v>
      </c>
    </row>
    <row r="260" spans="9:20" x14ac:dyDescent="0.2">
      <c r="T260" s="1">
        <f>AVERAGE(T255:T259)</f>
        <v>1.2426699928597111</v>
      </c>
    </row>
    <row r="261" spans="9:20" x14ac:dyDescent="0.2">
      <c r="I261">
        <v>100</v>
      </c>
      <c r="J261">
        <v>694.26516800000002</v>
      </c>
      <c r="K261">
        <v>-19008.751520999998</v>
      </c>
      <c r="L261">
        <v>111277.136256</v>
      </c>
      <c r="M261">
        <v>-0.55366300000000002</v>
      </c>
      <c r="N261">
        <v>28.111581000000001</v>
      </c>
      <c r="O261">
        <v>28.112053</v>
      </c>
      <c r="P261">
        <v>140.80858599999999</v>
      </c>
      <c r="Q261">
        <f>$E$27</f>
        <v>-4.0945424230000009</v>
      </c>
      <c r="R261">
        <f>K261-4672*Q261</f>
        <v>120.95067925600597</v>
      </c>
      <c r="S261">
        <f>R261/(2*N261*O261)</f>
        <v>7.652449671296728E-2</v>
      </c>
      <c r="T261">
        <f>S261*16.02</f>
        <v>1.2259224373417359</v>
      </c>
    </row>
    <row r="262" spans="9:20" x14ac:dyDescent="0.2">
      <c r="J262">
        <v>694.12016400000005</v>
      </c>
      <c r="K262">
        <v>-19008.57561</v>
      </c>
      <c r="L262">
        <v>111254.585206</v>
      </c>
      <c r="M262">
        <v>-0.59051100000000001</v>
      </c>
      <c r="N262">
        <v>28.100145000000001</v>
      </c>
      <c r="O262">
        <v>28.126183000000001</v>
      </c>
      <c r="P262">
        <v>140.76663199999999</v>
      </c>
      <c r="Q262">
        <f>$E$27</f>
        <v>-4.0945424230000009</v>
      </c>
      <c r="R262">
        <f>K262-4672*Q262</f>
        <v>121.12659025600442</v>
      </c>
      <c r="S262">
        <f>R262/(2*N262*O262)</f>
        <v>7.6628466977180607E-2</v>
      </c>
      <c r="T262">
        <f>S262*16.02</f>
        <v>1.2275880409744333</v>
      </c>
    </row>
    <row r="263" spans="9:20" x14ac:dyDescent="0.2">
      <c r="J263">
        <v>694.32371699999999</v>
      </c>
      <c r="K263">
        <v>-19007.513889000002</v>
      </c>
      <c r="L263">
        <v>111215.82758700001</v>
      </c>
      <c r="M263">
        <v>-0.60316999999999998</v>
      </c>
      <c r="N263">
        <v>28.105929</v>
      </c>
      <c r="O263">
        <v>28.111913000000001</v>
      </c>
      <c r="P263">
        <v>140.760019</v>
      </c>
      <c r="Q263">
        <f>$E$27</f>
        <v>-4.0945424230000009</v>
      </c>
      <c r="R263">
        <f>K263-4672*Q263</f>
        <v>122.18831125600263</v>
      </c>
      <c r="S263">
        <f>R263/(2*N263*O263)</f>
        <v>7.732346760716334E-2</v>
      </c>
      <c r="T263">
        <f>S263*16.02</f>
        <v>1.2387219510667566</v>
      </c>
    </row>
    <row r="264" spans="9:20" x14ac:dyDescent="0.2">
      <c r="J264">
        <v>694.25260400000002</v>
      </c>
      <c r="K264">
        <v>-19008.020576999999</v>
      </c>
      <c r="L264">
        <v>111224.08530000001</v>
      </c>
      <c r="M264">
        <v>-0.59591799999999995</v>
      </c>
      <c r="N264">
        <v>28.110330999999999</v>
      </c>
      <c r="O264">
        <v>28.109551</v>
      </c>
      <c r="P264">
        <v>140.76029500000001</v>
      </c>
      <c r="Q264">
        <f>$E$27</f>
        <v>-4.0945424230000009</v>
      </c>
      <c r="R264">
        <f>K264-4672*Q264</f>
        <v>121.68162325600497</v>
      </c>
      <c r="S264">
        <f>R264/(2*N264*O264)</f>
        <v>7.6997235207032722E-2</v>
      </c>
      <c r="T264">
        <f>S264*16.02</f>
        <v>1.2334957080166642</v>
      </c>
    </row>
    <row r="265" spans="9:20" x14ac:dyDescent="0.2">
      <c r="J265">
        <v>694.13119500000005</v>
      </c>
      <c r="K265">
        <v>-19007.616269999999</v>
      </c>
      <c r="L265">
        <v>111236.257935</v>
      </c>
      <c r="M265">
        <v>-0.58776700000000004</v>
      </c>
      <c r="N265">
        <v>28.117001999999999</v>
      </c>
      <c r="O265">
        <v>28.112145000000002</v>
      </c>
      <c r="P265">
        <v>140.72922</v>
      </c>
      <c r="Q265">
        <f>$E$27</f>
        <v>-4.0945424230000009</v>
      </c>
      <c r="R265">
        <f>K265-4672*Q265</f>
        <v>122.08593025600567</v>
      </c>
      <c r="S265">
        <f>R265/(2*N265*O265)</f>
        <v>7.7227615396752353E-2</v>
      </c>
      <c r="T265">
        <f>S265*16.02</f>
        <v>1.2371863986559726</v>
      </c>
    </row>
    <row r="266" spans="9:20" x14ac:dyDescent="0.2">
      <c r="T266" s="1">
        <f>AVERAGE(T261:T265)</f>
        <v>1.2325829072111127</v>
      </c>
    </row>
    <row r="267" spans="9:20" x14ac:dyDescent="0.2">
      <c r="I267">
        <v>110</v>
      </c>
      <c r="J267">
        <v>694.52981899999997</v>
      </c>
      <c r="K267">
        <v>-7312.131875</v>
      </c>
      <c r="L267">
        <v>43435.608794</v>
      </c>
      <c r="M267">
        <v>-1.3780349999999999</v>
      </c>
      <c r="N267">
        <v>99.525943999999996</v>
      </c>
      <c r="O267">
        <v>24.848458000000001</v>
      </c>
      <c r="P267">
        <v>17.563535000000002</v>
      </c>
      <c r="Q267">
        <f>$E$27</f>
        <v>-4.0945424230000009</v>
      </c>
      <c r="R267">
        <f>K267-1800*Q267</f>
        <v>58.044486400001915</v>
      </c>
      <c r="S267">
        <f>R267/(2*O267*P267)</f>
        <v>6.649968732828393E-2</v>
      </c>
      <c r="T267">
        <f>S267*16.02</f>
        <v>1.0653249909991085</v>
      </c>
    </row>
    <row r="268" spans="9:20" x14ac:dyDescent="0.2">
      <c r="J268">
        <v>694.06250199999999</v>
      </c>
      <c r="K268">
        <v>-7312.0677619999997</v>
      </c>
      <c r="L268">
        <v>43445.372552000001</v>
      </c>
      <c r="M268">
        <v>-1.481225</v>
      </c>
      <c r="N268">
        <v>99.547807000000006</v>
      </c>
      <c r="O268">
        <v>24.861747999999999</v>
      </c>
      <c r="P268">
        <v>17.554238999999999</v>
      </c>
      <c r="Q268">
        <f>$E$27</f>
        <v>-4.0945424230000009</v>
      </c>
      <c r="R268">
        <f>K268-1800*Q268</f>
        <v>58.108599400002277</v>
      </c>
      <c r="S268">
        <f>R268/(2*O268*P268)</f>
        <v>6.6572787974474287E-2</v>
      </c>
      <c r="T268">
        <f>S268*16.02</f>
        <v>1.066496063351078</v>
      </c>
    </row>
    <row r="269" spans="9:20" x14ac:dyDescent="0.2">
      <c r="J269">
        <v>694.12627399999997</v>
      </c>
      <c r="K269">
        <v>-7312.1221370000003</v>
      </c>
      <c r="L269">
        <v>43416.170711999999</v>
      </c>
      <c r="M269">
        <v>-1.4496659999999999</v>
      </c>
      <c r="N269">
        <v>99.50515</v>
      </c>
      <c r="O269">
        <v>24.854403999999999</v>
      </c>
      <c r="P269">
        <v>17.555136999999998</v>
      </c>
      <c r="Q269">
        <f>$E$27</f>
        <v>-4.0945424230000009</v>
      </c>
      <c r="R269">
        <f>K269-1800*Q269</f>
        <v>58.054224400001658</v>
      </c>
      <c r="S269">
        <f>R269/(2*O269*P269)</f>
        <v>6.652674197915158E-2</v>
      </c>
      <c r="T269">
        <f>S269*16.02</f>
        <v>1.0657584065060082</v>
      </c>
    </row>
    <row r="270" spans="9:20" x14ac:dyDescent="0.2">
      <c r="J270">
        <v>693.92778099999998</v>
      </c>
      <c r="K270">
        <v>-7313.0132180000001</v>
      </c>
      <c r="L270">
        <v>43446.124280999997</v>
      </c>
      <c r="M270">
        <v>-1.498178</v>
      </c>
      <c r="N270">
        <v>99.588190999999995</v>
      </c>
      <c r="O270">
        <v>24.873501000000001</v>
      </c>
      <c r="P270">
        <v>17.539117999999998</v>
      </c>
      <c r="Q270">
        <f>$E$27</f>
        <v>-4.0945424230000009</v>
      </c>
      <c r="R270">
        <f>K270-1800*Q270</f>
        <v>57.1631434000019</v>
      </c>
      <c r="S270">
        <f>R270/(2*O270*P270)</f>
        <v>6.5515104717822126E-2</v>
      </c>
      <c r="T270">
        <f>S270*16.02</f>
        <v>1.0495519775795104</v>
      </c>
    </row>
    <row r="271" spans="9:20" x14ac:dyDescent="0.2">
      <c r="J271">
        <v>694.25714400000004</v>
      </c>
      <c r="K271">
        <v>-7313.2370369999999</v>
      </c>
      <c r="L271">
        <v>43462.145040000003</v>
      </c>
      <c r="M271">
        <v>-1.433775</v>
      </c>
      <c r="N271">
        <v>99.578487999999993</v>
      </c>
      <c r="O271">
        <v>24.854776999999999</v>
      </c>
      <c r="P271">
        <v>17.560534000000001</v>
      </c>
      <c r="Q271">
        <f>$E$27</f>
        <v>-4.0945424230000009</v>
      </c>
      <c r="R271">
        <f>K271-1800*Q271</f>
        <v>56.939324400002079</v>
      </c>
      <c r="S271">
        <f>R271/(2*O271*P271)</f>
        <v>6.5228099488794294E-2</v>
      </c>
      <c r="T271">
        <f>S271*16.02</f>
        <v>1.0449541538104845</v>
      </c>
    </row>
    <row r="272" spans="9:20" x14ac:dyDescent="0.2">
      <c r="T272" s="1">
        <f>AVERAGE(T267:T271)</f>
        <v>1.0584171184492379</v>
      </c>
    </row>
    <row r="273" spans="9:20" x14ac:dyDescent="0.2">
      <c r="I273">
        <v>111</v>
      </c>
      <c r="J273">
        <v>743.60686199999998</v>
      </c>
      <c r="K273">
        <v>-14044.719316000001</v>
      </c>
      <c r="L273">
        <v>83664.036517999994</v>
      </c>
      <c r="M273">
        <v>-0.83691899999999997</v>
      </c>
      <c r="N273">
        <v>121.963572</v>
      </c>
      <c r="O273">
        <v>19.905483</v>
      </c>
      <c r="P273">
        <v>34.461671000000003</v>
      </c>
      <c r="Q273">
        <f>$E$27</f>
        <v>-4.0945424230000009</v>
      </c>
      <c r="R273">
        <f>K273-3456*Q273</f>
        <v>106.01929788800226</v>
      </c>
      <c r="S273">
        <f>R273/(2*O273*P273)</f>
        <v>7.7276221043289489E-2</v>
      </c>
      <c r="T273">
        <f>S273*16.02</f>
        <v>1.2379650611134976</v>
      </c>
    </row>
    <row r="274" spans="9:20" x14ac:dyDescent="0.2">
      <c r="J274">
        <v>743.66539299999999</v>
      </c>
      <c r="K274">
        <v>-14043.543494</v>
      </c>
      <c r="L274">
        <v>83624.970134999996</v>
      </c>
      <c r="M274">
        <v>-0.88630299999999995</v>
      </c>
      <c r="N274">
        <v>121.935464</v>
      </c>
      <c r="O274">
        <v>19.903409</v>
      </c>
      <c r="P274">
        <v>34.457115000000002</v>
      </c>
      <c r="Q274">
        <f>$E$27</f>
        <v>-4.0945424230000009</v>
      </c>
      <c r="R274">
        <f>K274-3456*Q274</f>
        <v>107.19511988800332</v>
      </c>
      <c r="S274">
        <f>R274/(2*O274*P274)</f>
        <v>7.8151737668225529E-2</v>
      </c>
      <c r="T274">
        <f>S274*16.02</f>
        <v>1.2519908374449729</v>
      </c>
    </row>
    <row r="275" spans="9:20" x14ac:dyDescent="0.2">
      <c r="J275">
        <v>743.71120099999996</v>
      </c>
      <c r="K275">
        <v>-14044.700779999999</v>
      </c>
      <c r="L275">
        <v>83649.320168999999</v>
      </c>
      <c r="M275">
        <v>-0.72896700000000003</v>
      </c>
      <c r="N275">
        <v>121.952832</v>
      </c>
      <c r="O275">
        <v>19.896342000000001</v>
      </c>
      <c r="P275">
        <v>34.47448</v>
      </c>
      <c r="Q275">
        <f>$E$27</f>
        <v>-4.0945424230000009</v>
      </c>
      <c r="R275">
        <f>K275-3456*Q275</f>
        <v>106.03783388800366</v>
      </c>
      <c r="S275">
        <f>R275/(2*O275*P275)</f>
        <v>7.7296510820180034E-2</v>
      </c>
      <c r="T275">
        <f>S275*16.02</f>
        <v>1.2382901033392841</v>
      </c>
    </row>
    <row r="276" spans="9:20" x14ac:dyDescent="0.2">
      <c r="J276">
        <v>743.74786600000004</v>
      </c>
      <c r="K276">
        <v>-14043.734641999999</v>
      </c>
      <c r="L276">
        <v>83639.444302999997</v>
      </c>
      <c r="M276">
        <v>-0.74973500000000004</v>
      </c>
      <c r="N276">
        <v>121.94711</v>
      </c>
      <c r="O276">
        <v>19.903870999999999</v>
      </c>
      <c r="P276">
        <v>34.458993</v>
      </c>
      <c r="Q276">
        <f>$E$27</f>
        <v>-4.0945424230000009</v>
      </c>
      <c r="R276">
        <f>K276-3456*Q276</f>
        <v>107.00397188800343</v>
      </c>
      <c r="S276">
        <f>R276/(2*O276*P276)</f>
        <v>7.8006316862822028E-2</v>
      </c>
      <c r="T276">
        <f>S276*16.02</f>
        <v>1.2496611961424089</v>
      </c>
    </row>
    <row r="277" spans="9:20" x14ac:dyDescent="0.2">
      <c r="J277">
        <v>743.63273000000004</v>
      </c>
      <c r="K277">
        <v>-14044.140586</v>
      </c>
      <c r="L277">
        <v>83587.894241999995</v>
      </c>
      <c r="M277">
        <v>-0.80693300000000001</v>
      </c>
      <c r="N277">
        <v>121.87792399999999</v>
      </c>
      <c r="O277">
        <v>19.900559999999999</v>
      </c>
      <c r="P277">
        <v>34.463034999999998</v>
      </c>
      <c r="Q277">
        <f>$E$27</f>
        <v>-4.0945424230000009</v>
      </c>
      <c r="R277">
        <f>K277-3456*Q277</f>
        <v>106.59802788800334</v>
      </c>
      <c r="S277">
        <f>R277/(2*O277*P277)</f>
        <v>7.7714195541036243E-2</v>
      </c>
      <c r="T277">
        <f>S277*16.02</f>
        <v>1.2449814125674006</v>
      </c>
    </row>
    <row r="278" spans="9:20" x14ac:dyDescent="0.2">
      <c r="T278" s="1">
        <f>AVERAGE(T273:T277)</f>
        <v>1.2445777221215129</v>
      </c>
    </row>
    <row r="279" spans="9:20" x14ac:dyDescent="0.2">
      <c r="I279" t="s">
        <v>30</v>
      </c>
    </row>
    <row r="280" spans="9:20" x14ac:dyDescent="0.2">
      <c r="J280" t="s">
        <v>18</v>
      </c>
      <c r="K280" t="s">
        <v>5</v>
      </c>
      <c r="L280" t="s">
        <v>7</v>
      </c>
      <c r="M280" t="s">
        <v>19</v>
      </c>
      <c r="N280" t="s">
        <v>20</v>
      </c>
      <c r="O280" t="s">
        <v>21</v>
      </c>
      <c r="P280" t="s">
        <v>22</v>
      </c>
      <c r="Q280" t="s">
        <v>26</v>
      </c>
      <c r="R280" t="s">
        <v>12</v>
      </c>
      <c r="S280" t="s">
        <v>23</v>
      </c>
      <c r="T280" t="s">
        <v>23</v>
      </c>
    </row>
    <row r="281" spans="9:20" x14ac:dyDescent="0.2">
      <c r="I281" t="s">
        <v>17</v>
      </c>
      <c r="J281">
        <v>743.37770999999998</v>
      </c>
      <c r="K281">
        <v>-25844.519488000002</v>
      </c>
      <c r="L281">
        <v>121968.118445</v>
      </c>
      <c r="M281">
        <v>-0.43202299999999999</v>
      </c>
      <c r="N281">
        <v>28.343503999999999</v>
      </c>
      <c r="O281">
        <v>170.08312599999999</v>
      </c>
      <c r="P281">
        <v>25.300647999999999</v>
      </c>
      <c r="Q281">
        <f>$E$41</f>
        <v>-6.7846170130000001</v>
      </c>
      <c r="R281">
        <f>K281-3872*Q281</f>
        <v>425.5175863359982</v>
      </c>
      <c r="S281">
        <f>R281/(2*N281*P281)</f>
        <v>0.29668960770219782</v>
      </c>
      <c r="T281">
        <f>S281*16.02</f>
        <v>4.7529675153892086</v>
      </c>
    </row>
    <row r="282" spans="9:20" x14ac:dyDescent="0.2">
      <c r="J282">
        <v>743.60254499999996</v>
      </c>
      <c r="K282">
        <v>-25844.971188</v>
      </c>
      <c r="L282">
        <v>121911.34108300001</v>
      </c>
      <c r="M282">
        <v>-0.59545400000000004</v>
      </c>
      <c r="N282">
        <v>28.343292000000002</v>
      </c>
      <c r="O282">
        <v>170.006102</v>
      </c>
      <c r="P282">
        <v>25.300515999999998</v>
      </c>
      <c r="Q282">
        <f>$E$41</f>
        <v>-6.7846170130000001</v>
      </c>
      <c r="R282">
        <f>K282-3872*Q282</f>
        <v>425.0658863360004</v>
      </c>
      <c r="S282">
        <f>R282/(2*N282*P282)</f>
        <v>0.29637842564548211</v>
      </c>
      <c r="T282">
        <f>S282*16.02</f>
        <v>4.7479823788406232</v>
      </c>
    </row>
    <row r="283" spans="9:20" x14ac:dyDescent="0.2">
      <c r="J283">
        <v>743.77962000000002</v>
      </c>
      <c r="K283">
        <v>-25844.037184000001</v>
      </c>
      <c r="L283">
        <v>121982.555779</v>
      </c>
      <c r="M283">
        <v>-0.57418400000000003</v>
      </c>
      <c r="N283">
        <v>28.343727999999999</v>
      </c>
      <c r="O283">
        <v>170.097883</v>
      </c>
      <c r="P283">
        <v>25.301247</v>
      </c>
      <c r="Q283">
        <f>$E$41</f>
        <v>-6.7846170130000001</v>
      </c>
      <c r="R283">
        <f>K283-3872*Q283</f>
        <v>425.99989033599923</v>
      </c>
      <c r="S283">
        <f>R283/(2*N283*P283)</f>
        <v>0.29701651195875423</v>
      </c>
      <c r="T283">
        <f>S283*16.02</f>
        <v>4.758204521579243</v>
      </c>
    </row>
    <row r="284" spans="9:20" x14ac:dyDescent="0.2">
      <c r="J284">
        <v>743.53982099999996</v>
      </c>
      <c r="K284">
        <v>-25844.222120999999</v>
      </c>
      <c r="L284">
        <v>122005.287488</v>
      </c>
      <c r="M284">
        <v>-0.44433899999999998</v>
      </c>
      <c r="N284">
        <v>28.343319999999999</v>
      </c>
      <c r="O284">
        <v>170.130922</v>
      </c>
      <c r="P284">
        <v>25.301411999999999</v>
      </c>
      <c r="Q284">
        <f>$E$41</f>
        <v>-6.7846170130000001</v>
      </c>
      <c r="R284">
        <f>K284-3872*Q284</f>
        <v>425.81495333600105</v>
      </c>
      <c r="S284">
        <f>R284/(2*N284*P284)</f>
        <v>0.29688990733817777</v>
      </c>
      <c r="T284">
        <f>S284*16.02</f>
        <v>4.7561763155576076</v>
      </c>
    </row>
    <row r="285" spans="9:20" x14ac:dyDescent="0.2">
      <c r="J285">
        <v>743.50628300000005</v>
      </c>
      <c r="K285">
        <v>-25844.437353000001</v>
      </c>
      <c r="L285">
        <v>122021.85271200001</v>
      </c>
      <c r="M285">
        <v>-0.42050199999999999</v>
      </c>
      <c r="N285">
        <v>28.343509999999998</v>
      </c>
      <c r="O285">
        <v>170.15523099999999</v>
      </c>
      <c r="P285">
        <v>25.301062999999999</v>
      </c>
      <c r="Q285">
        <f>$E$41</f>
        <v>-6.7846170130000001</v>
      </c>
      <c r="R285">
        <f>K285-3872*Q285</f>
        <v>425.59972133599877</v>
      </c>
      <c r="S285">
        <f>R285/(2*N285*P285)</f>
        <v>0.29674194564321094</v>
      </c>
      <c r="T285">
        <f>S285*16.02</f>
        <v>4.7538059692042394</v>
      </c>
    </row>
    <row r="286" spans="9:20" x14ac:dyDescent="0.2">
      <c r="T286" s="1">
        <f>AVERAGE(T281:T285)</f>
        <v>4.7538273401141842</v>
      </c>
    </row>
    <row r="287" spans="9:20" x14ac:dyDescent="0.2">
      <c r="I287" t="s">
        <v>27</v>
      </c>
      <c r="J287">
        <v>743.66356599999995</v>
      </c>
      <c r="K287">
        <v>-9704.4005049999996</v>
      </c>
      <c r="L287">
        <v>45768.939387999999</v>
      </c>
      <c r="M287">
        <v>-1.532365</v>
      </c>
      <c r="N287">
        <v>30.048608000000002</v>
      </c>
      <c r="O287">
        <v>120.465695</v>
      </c>
      <c r="P287">
        <v>12.643967999999999</v>
      </c>
      <c r="Q287">
        <f>$E$41</f>
        <v>-6.7846170130000001</v>
      </c>
      <c r="R287">
        <f>K287-1464*Q287</f>
        <v>228.27880203200039</v>
      </c>
      <c r="S287">
        <f>R287/(2*N287*P287)</f>
        <v>0.30041930906112196</v>
      </c>
      <c r="T287">
        <f>S287*16.02</f>
        <v>4.812717331159174</v>
      </c>
    </row>
    <row r="288" spans="9:20" x14ac:dyDescent="0.2">
      <c r="J288">
        <v>743.74325599999997</v>
      </c>
      <c r="K288">
        <v>-9704.296902</v>
      </c>
      <c r="L288">
        <v>45782.541929999999</v>
      </c>
      <c r="M288">
        <v>-1.3512379999999999</v>
      </c>
      <c r="N288">
        <v>30.049202000000001</v>
      </c>
      <c r="O288">
        <v>120.504876</v>
      </c>
      <c r="P288">
        <v>12.643362</v>
      </c>
      <c r="Q288">
        <f>$E$41</f>
        <v>-6.7846170130000001</v>
      </c>
      <c r="R288">
        <f>K288-1464*Q288</f>
        <v>228.38240503199995</v>
      </c>
      <c r="S288">
        <f>R288/(2*N288*P288)</f>
        <v>0.30056411678536116</v>
      </c>
      <c r="T288">
        <f>S288*16.02</f>
        <v>4.8150371509014853</v>
      </c>
    </row>
    <row r="289" spans="9:20" x14ac:dyDescent="0.2">
      <c r="J289">
        <v>743.75555099999997</v>
      </c>
      <c r="K289">
        <v>-9704.4025899999997</v>
      </c>
      <c r="L289">
        <v>45794.005579999997</v>
      </c>
      <c r="M289">
        <v>-1.540845</v>
      </c>
      <c r="N289">
        <v>30.049454000000001</v>
      </c>
      <c r="O289">
        <v>120.528559</v>
      </c>
      <c r="P289">
        <v>12.643936</v>
      </c>
      <c r="Q289">
        <f>$E$41</f>
        <v>-6.7846170130000001</v>
      </c>
      <c r="R289">
        <f>K289-1464*Q289</f>
        <v>228.27671703200031</v>
      </c>
      <c r="S289">
        <f>R289/(2*N289*P289)</f>
        <v>0.30040886764626029</v>
      </c>
      <c r="T289">
        <f>S289*16.02</f>
        <v>4.8125500596930895</v>
      </c>
    </row>
    <row r="290" spans="9:20" x14ac:dyDescent="0.2">
      <c r="J290">
        <v>743.70276699999999</v>
      </c>
      <c r="K290">
        <v>-9704.4826140000005</v>
      </c>
      <c r="L290">
        <v>45773.001988999997</v>
      </c>
      <c r="M290">
        <v>-1.2641549999999999</v>
      </c>
      <c r="N290">
        <v>30.049159</v>
      </c>
      <c r="O290">
        <v>120.473281</v>
      </c>
      <c r="P290">
        <v>12.64406</v>
      </c>
      <c r="Q290">
        <f>$E$41</f>
        <v>-6.7846170130000001</v>
      </c>
      <c r="R290">
        <f>K290-1464*Q290</f>
        <v>228.19669303199953</v>
      </c>
      <c r="S290">
        <f>R290/(2*N290*P290)</f>
        <v>0.30030356027145949</v>
      </c>
      <c r="T290">
        <f>S290*16.02</f>
        <v>4.8108630355487811</v>
      </c>
    </row>
    <row r="291" spans="9:20" x14ac:dyDescent="0.2">
      <c r="J291">
        <v>743.26616999999999</v>
      </c>
      <c r="K291">
        <v>-9704.5336950000001</v>
      </c>
      <c r="L291">
        <v>45684.079147999997</v>
      </c>
      <c r="M291">
        <v>-1.6390359999999999</v>
      </c>
      <c r="N291">
        <v>30.048715000000001</v>
      </c>
      <c r="O291">
        <v>120.240385</v>
      </c>
      <c r="P291">
        <v>12.644126999999999</v>
      </c>
      <c r="Q291">
        <f>$E$41</f>
        <v>-6.7846170130000001</v>
      </c>
      <c r="R291">
        <f>K291-1464*Q291</f>
        <v>228.14561203199992</v>
      </c>
      <c r="S291">
        <f>R291/(2*N291*P291)</f>
        <v>0.30023918375873659</v>
      </c>
      <c r="T291">
        <f>S291*16.02</f>
        <v>4.8098317238149599</v>
      </c>
    </row>
    <row r="292" spans="9:20" x14ac:dyDescent="0.2">
      <c r="T292" s="1">
        <f>AVERAGE(T287:T291)</f>
        <v>4.8121998602234983</v>
      </c>
    </row>
    <row r="293" spans="9:20" x14ac:dyDescent="0.2">
      <c r="I293" t="s">
        <v>28</v>
      </c>
      <c r="J293">
        <v>743.45613000000003</v>
      </c>
      <c r="K293">
        <v>-16726.283077</v>
      </c>
      <c r="L293">
        <v>79028.304495000004</v>
      </c>
      <c r="M293">
        <v>-0.81559899999999996</v>
      </c>
      <c r="N293">
        <v>32.280206</v>
      </c>
      <c r="O293">
        <v>129.02875399999999</v>
      </c>
      <c r="P293">
        <v>18.974048</v>
      </c>
      <c r="Q293">
        <f>$E$41</f>
        <v>-6.7846170130000001</v>
      </c>
      <c r="R293">
        <f>K293-2520*Q293</f>
        <v>370.9517957600001</v>
      </c>
      <c r="S293">
        <f>R293/(2*N293*P293)</f>
        <v>0.30282462611191929</v>
      </c>
      <c r="T293">
        <f>S293*16.02</f>
        <v>4.8512505103129469</v>
      </c>
    </row>
    <row r="294" spans="9:20" x14ac:dyDescent="0.2">
      <c r="J294">
        <v>743.49625600000002</v>
      </c>
      <c r="K294">
        <v>-16727.046445</v>
      </c>
      <c r="L294">
        <v>79011.297877000005</v>
      </c>
      <c r="M294">
        <v>-0.88366</v>
      </c>
      <c r="N294">
        <v>32.279936999999997</v>
      </c>
      <c r="O294">
        <v>129.00756200000001</v>
      </c>
      <c r="P294">
        <v>18.973239</v>
      </c>
      <c r="Q294">
        <f>$E$41</f>
        <v>-6.7846170130000001</v>
      </c>
      <c r="R294">
        <f>K294-2520*Q294</f>
        <v>370.1884277600002</v>
      </c>
      <c r="S294">
        <f>R294/(2*N294*P294)</f>
        <v>0.30221685852473262</v>
      </c>
      <c r="T294">
        <f>S294*16.02</f>
        <v>4.8415140735662163</v>
      </c>
    </row>
    <row r="295" spans="9:20" x14ac:dyDescent="0.2">
      <c r="J295">
        <v>743.71911299999999</v>
      </c>
      <c r="K295">
        <v>-16726.252639999999</v>
      </c>
      <c r="L295">
        <v>79081.062521</v>
      </c>
      <c r="M295">
        <v>-0.93687399999999998</v>
      </c>
      <c r="N295">
        <v>32.279975</v>
      </c>
      <c r="O295">
        <v>129.11945399999999</v>
      </c>
      <c r="P295">
        <v>18.973514000000002</v>
      </c>
      <c r="Q295">
        <f>$E$41</f>
        <v>-6.7846170130000001</v>
      </c>
      <c r="R295">
        <f>K295-2520*Q295</f>
        <v>370.98223276000135</v>
      </c>
      <c r="S295">
        <f>R295/(2*N295*P295)</f>
        <v>0.30286016404324051</v>
      </c>
      <c r="T295">
        <f>S295*16.02</f>
        <v>4.8518198279727125</v>
      </c>
    </row>
    <row r="296" spans="9:20" x14ac:dyDescent="0.2">
      <c r="J296">
        <v>743.497253</v>
      </c>
      <c r="K296">
        <v>-16726.511588000001</v>
      </c>
      <c r="L296">
        <v>79087.248812999998</v>
      </c>
      <c r="M296">
        <v>-0.64531000000000005</v>
      </c>
      <c r="N296">
        <v>32.280045000000001</v>
      </c>
      <c r="O296">
        <v>129.133059</v>
      </c>
      <c r="P296">
        <v>18.972957000000001</v>
      </c>
      <c r="Q296">
        <f>$E$41</f>
        <v>-6.7846170130000001</v>
      </c>
      <c r="R296">
        <f>K296-2520*Q296</f>
        <v>370.72328475999893</v>
      </c>
      <c r="S296">
        <f>R296/(2*N296*P296)</f>
        <v>0.30265699440200655</v>
      </c>
      <c r="T296">
        <f>S296*16.02</f>
        <v>4.8485650503201452</v>
      </c>
    </row>
    <row r="297" spans="9:20" x14ac:dyDescent="0.2">
      <c r="J297">
        <v>743.77321600000005</v>
      </c>
      <c r="K297">
        <v>-16727.084491000001</v>
      </c>
      <c r="L297">
        <v>79033.331575999997</v>
      </c>
      <c r="M297">
        <v>-0.87926300000000002</v>
      </c>
      <c r="N297">
        <v>32.280405000000002</v>
      </c>
      <c r="O297">
        <v>129.03793899999999</v>
      </c>
      <c r="P297">
        <v>18.973787999999999</v>
      </c>
      <c r="Q297">
        <f>$E$41</f>
        <v>-6.7846170130000001</v>
      </c>
      <c r="R297">
        <f>K297-2520*Q297</f>
        <v>370.15038175999871</v>
      </c>
      <c r="S297">
        <f>R297/(2*N297*P297)</f>
        <v>0.30217267368920009</v>
      </c>
      <c r="T297">
        <f>S297*16.02</f>
        <v>4.8408062325009853</v>
      </c>
    </row>
    <row r="298" spans="9:20" x14ac:dyDescent="0.2">
      <c r="T298" s="1">
        <f>AVERAGE(T293:T297)</f>
        <v>4.8467911389346003</v>
      </c>
    </row>
    <row r="299" spans="9:20" x14ac:dyDescent="0.2">
      <c r="I299" t="s">
        <v>55</v>
      </c>
      <c r="J299">
        <v>693.44153400000005</v>
      </c>
      <c r="K299">
        <v>-13186.025508000001</v>
      </c>
      <c r="L299">
        <v>62470.322418999996</v>
      </c>
      <c r="M299">
        <v>-0.83965199999999995</v>
      </c>
      <c r="N299">
        <v>28.657229999999998</v>
      </c>
      <c r="O299">
        <v>172.277469</v>
      </c>
      <c r="P299">
        <v>12.653516</v>
      </c>
      <c r="Q299">
        <f>$E$41</f>
        <v>-6.7846170130000001</v>
      </c>
      <c r="R299">
        <f>K299-1976*Q299</f>
        <v>220.37770968800032</v>
      </c>
      <c r="S299">
        <f>R299/(2*N299*P299)</f>
        <v>0.3038730897474331</v>
      </c>
      <c r="T299">
        <f>S299*16.02</f>
        <v>4.868046897753878</v>
      </c>
    </row>
    <row r="300" spans="9:20" x14ac:dyDescent="0.2">
      <c r="J300">
        <v>693.40306899999996</v>
      </c>
      <c r="K300">
        <v>-13186.306769999999</v>
      </c>
      <c r="L300">
        <v>62465.261490999997</v>
      </c>
      <c r="M300">
        <v>-0.73553900000000005</v>
      </c>
      <c r="N300">
        <v>28.657837000000001</v>
      </c>
      <c r="O300">
        <v>172.25611900000001</v>
      </c>
      <c r="P300">
        <v>12.653791</v>
      </c>
      <c r="Q300">
        <f>$E$41</f>
        <v>-6.7846170130000001</v>
      </c>
      <c r="R300">
        <f>K300-1976*Q300</f>
        <v>220.09644768800172</v>
      </c>
      <c r="S300">
        <f>R300/(2*N300*P300)</f>
        <v>0.30347224140050583</v>
      </c>
      <c r="T300">
        <f>S300*16.02</f>
        <v>4.8616253072361033</v>
      </c>
    </row>
    <row r="301" spans="9:20" x14ac:dyDescent="0.2">
      <c r="J301">
        <v>693.25529200000005</v>
      </c>
      <c r="K301">
        <v>-13186.513328999999</v>
      </c>
      <c r="L301">
        <v>62456.866512000001</v>
      </c>
      <c r="M301">
        <v>-0.82625300000000002</v>
      </c>
      <c r="N301">
        <v>28.658604</v>
      </c>
      <c r="O301">
        <v>172.22650899999999</v>
      </c>
      <c r="P301">
        <v>12.653928000000001</v>
      </c>
      <c r="Q301">
        <f>$E$41</f>
        <v>-6.7846170130000001</v>
      </c>
      <c r="R301">
        <f>K301-1976*Q301</f>
        <v>219.88988868800152</v>
      </c>
      <c r="S301">
        <f>R301/(2*N301*P301)</f>
        <v>0.30317603805886767</v>
      </c>
      <c r="T301">
        <f>S301*16.02</f>
        <v>4.8568801297030602</v>
      </c>
    </row>
    <row r="302" spans="9:20" x14ac:dyDescent="0.2">
      <c r="J302">
        <v>693.32651899999996</v>
      </c>
      <c r="K302">
        <v>-13186.251452</v>
      </c>
      <c r="L302">
        <v>62377.530601999999</v>
      </c>
      <c r="M302">
        <v>-0.88669200000000004</v>
      </c>
      <c r="N302">
        <v>28.658190000000001</v>
      </c>
      <c r="O302">
        <v>172.01254399999999</v>
      </c>
      <c r="P302">
        <v>12.653756</v>
      </c>
      <c r="Q302">
        <f>$E$41</f>
        <v>-6.7846170130000001</v>
      </c>
      <c r="R302">
        <f>K302-1976*Q302</f>
        <v>220.15176568800052</v>
      </c>
      <c r="S302">
        <f>R302/(2*N302*P302)</f>
        <v>0.3035456152881017</v>
      </c>
      <c r="T302">
        <f>S302*16.02</f>
        <v>4.862800756915389</v>
      </c>
    </row>
    <row r="303" spans="9:20" x14ac:dyDescent="0.2">
      <c r="J303">
        <v>693.55543999999998</v>
      </c>
      <c r="K303">
        <v>-13186.337326999999</v>
      </c>
      <c r="L303">
        <v>62504.759394000001</v>
      </c>
      <c r="M303">
        <v>-0.91439499999999996</v>
      </c>
      <c r="N303">
        <v>28.657357999999999</v>
      </c>
      <c r="O303">
        <v>172.36966799999999</v>
      </c>
      <c r="P303">
        <v>12.653663999999999</v>
      </c>
      <c r="Q303">
        <f>$E$41</f>
        <v>-6.7846170130000001</v>
      </c>
      <c r="R303">
        <f>K303-1976*Q303</f>
        <v>220.06589068800167</v>
      </c>
      <c r="S303">
        <f>R303/(2*N303*P303)</f>
        <v>0.30343822617191918</v>
      </c>
      <c r="T303">
        <f>S303*16.02</f>
        <v>4.8610803832741452</v>
      </c>
    </row>
    <row r="304" spans="9:20" x14ac:dyDescent="0.2">
      <c r="T304" s="1">
        <f>AVERAGE(T299:T303)</f>
        <v>4.8620866949765151</v>
      </c>
    </row>
    <row r="305" spans="9:20" x14ac:dyDescent="0.2">
      <c r="I305">
        <v>100</v>
      </c>
      <c r="J305">
        <v>693.43826899999999</v>
      </c>
      <c r="K305">
        <v>-5446.1115650000002</v>
      </c>
      <c r="L305">
        <v>15661.931344000001</v>
      </c>
      <c r="M305">
        <v>-3.6170200000000001</v>
      </c>
      <c r="N305">
        <v>15.809593</v>
      </c>
      <c r="O305">
        <v>15.809469</v>
      </c>
      <c r="P305">
        <v>62.662517999999999</v>
      </c>
      <c r="Q305">
        <f>$E$41</f>
        <v>-6.7846170130000001</v>
      </c>
      <c r="R305">
        <f>K305-825*Q305</f>
        <v>151.19747072500013</v>
      </c>
      <c r="S305">
        <f>R305/(2*N305*O305)</f>
        <v>0.30246599623419335</v>
      </c>
      <c r="T305">
        <f>S305*16.02</f>
        <v>4.8455052596717776</v>
      </c>
    </row>
    <row r="306" spans="9:20" x14ac:dyDescent="0.2">
      <c r="J306">
        <v>693.61852599999997</v>
      </c>
      <c r="K306">
        <v>-5446.3167750000002</v>
      </c>
      <c r="L306">
        <v>15666.984759000001</v>
      </c>
      <c r="M306">
        <v>-3.5207700000000002</v>
      </c>
      <c r="N306">
        <v>15.809434</v>
      </c>
      <c r="O306">
        <v>15.809644</v>
      </c>
      <c r="P306">
        <v>62.682665</v>
      </c>
      <c r="Q306">
        <f>$E$41</f>
        <v>-6.7846170130000001</v>
      </c>
      <c r="R306">
        <f>K306-825*Q306</f>
        <v>150.99226072500005</v>
      </c>
      <c r="S306">
        <f>R306/(2*N306*O306)</f>
        <v>0.30205517411073463</v>
      </c>
      <c r="T306">
        <f>S306*16.02</f>
        <v>4.8389238892539685</v>
      </c>
    </row>
    <row r="307" spans="9:20" x14ac:dyDescent="0.2">
      <c r="J307">
        <v>693.66839600000003</v>
      </c>
      <c r="K307">
        <v>-5446.0963439999996</v>
      </c>
      <c r="L307">
        <v>15658.436804000001</v>
      </c>
      <c r="M307">
        <v>-3.6847210000000001</v>
      </c>
      <c r="N307">
        <v>15.809794</v>
      </c>
      <c r="O307">
        <v>15.809569</v>
      </c>
      <c r="P307">
        <v>62.647337999999998</v>
      </c>
      <c r="Q307">
        <f>$E$41</f>
        <v>-6.7846170130000001</v>
      </c>
      <c r="R307">
        <f>K307-825*Q307</f>
        <v>151.2126917250007</v>
      </c>
      <c r="S307">
        <f>R307/(2*N307*O307)</f>
        <v>0.30249068620557557</v>
      </c>
      <c r="T307">
        <f>S307*16.02</f>
        <v>4.8459007930133202</v>
      </c>
    </row>
    <row r="308" spans="9:20" x14ac:dyDescent="0.2">
      <c r="J308">
        <v>693.409178</v>
      </c>
      <c r="K308">
        <v>-5446.0455160000001</v>
      </c>
      <c r="L308">
        <v>15634.172392</v>
      </c>
      <c r="M308">
        <v>-3.4027229999999999</v>
      </c>
      <c r="N308">
        <v>15.809486</v>
      </c>
      <c r="O308">
        <v>15.809714</v>
      </c>
      <c r="P308">
        <v>62.550910999999999</v>
      </c>
      <c r="Q308">
        <f>$E$41</f>
        <v>-6.7846170130000001</v>
      </c>
      <c r="R308">
        <f>K308-825*Q308</f>
        <v>151.26351972500015</v>
      </c>
      <c r="S308">
        <f>R308/(2*N308*O308)</f>
        <v>0.30259548394977487</v>
      </c>
      <c r="T308">
        <f>S308*16.02</f>
        <v>4.8475796528753934</v>
      </c>
    </row>
    <row r="309" spans="9:20" x14ac:dyDescent="0.2">
      <c r="J309">
        <v>693.58923200000004</v>
      </c>
      <c r="K309">
        <v>-5446.1458650000004</v>
      </c>
      <c r="L309">
        <v>15673.992388999999</v>
      </c>
      <c r="M309">
        <v>-3.681584</v>
      </c>
      <c r="N309">
        <v>15.809741000000001</v>
      </c>
      <c r="O309">
        <v>15.809462</v>
      </c>
      <c r="P309">
        <v>62.710211999999999</v>
      </c>
      <c r="Q309">
        <f>$E$41</f>
        <v>-6.7846170130000001</v>
      </c>
      <c r="R309">
        <f>K309-825*Q309</f>
        <v>151.16317072499987</v>
      </c>
      <c r="S309">
        <f>R309/(2*N309*O309)</f>
        <v>0.30239468316931073</v>
      </c>
      <c r="T309">
        <f>S309*16.02</f>
        <v>4.8443628243723573</v>
      </c>
    </row>
    <row r="310" spans="9:20" x14ac:dyDescent="0.2">
      <c r="T310" s="1">
        <f>AVERAGE(T305:T309)</f>
        <v>4.8444544838373629</v>
      </c>
    </row>
    <row r="311" spans="9:20" x14ac:dyDescent="0.2">
      <c r="I311">
        <v>110</v>
      </c>
      <c r="J311">
        <v>693.34819100000004</v>
      </c>
      <c r="K311">
        <v>-12009.657115</v>
      </c>
      <c r="L311">
        <v>31753.986443000002</v>
      </c>
      <c r="M311">
        <v>-1.5378499999999999</v>
      </c>
      <c r="N311">
        <v>89.583321999999995</v>
      </c>
      <c r="O311">
        <v>22.420203000000001</v>
      </c>
      <c r="P311">
        <v>15.809994</v>
      </c>
      <c r="Q311">
        <f>$E$41</f>
        <v>-6.7846170130000001</v>
      </c>
      <c r="R311">
        <f>K311-1800*Q311</f>
        <v>202.65350840000065</v>
      </c>
      <c r="S311">
        <f>R311/(2*P311*O311)</f>
        <v>0.28585966832833631</v>
      </c>
      <c r="T311">
        <f>S311*16.02</f>
        <v>4.579471886619948</v>
      </c>
    </row>
    <row r="312" spans="9:20" x14ac:dyDescent="0.2">
      <c r="J312">
        <v>693.39846299999999</v>
      </c>
      <c r="K312">
        <v>-12009.481529999999</v>
      </c>
      <c r="L312">
        <v>31684.048112</v>
      </c>
      <c r="M312">
        <v>-1.4321010000000001</v>
      </c>
      <c r="N312">
        <v>89.386566999999999</v>
      </c>
      <c r="O312">
        <v>22.420065000000001</v>
      </c>
      <c r="P312">
        <v>15.809993</v>
      </c>
      <c r="Q312">
        <f>$E$41</f>
        <v>-6.7846170130000001</v>
      </c>
      <c r="R312">
        <f>K312-1800*Q312</f>
        <v>202.82909340000151</v>
      </c>
      <c r="S312">
        <f>R312/(2*P312*O312)</f>
        <v>0.28610912475379441</v>
      </c>
      <c r="T312">
        <f>S312*16.02</f>
        <v>4.583468178555786</v>
      </c>
    </row>
    <row r="313" spans="9:20" x14ac:dyDescent="0.2">
      <c r="J313">
        <v>693.58379200000002</v>
      </c>
      <c r="K313">
        <v>-12009.526024000001</v>
      </c>
      <c r="L313">
        <v>31713.624512999999</v>
      </c>
      <c r="M313">
        <v>-1.4529799999999999</v>
      </c>
      <c r="N313">
        <v>89.469185999999993</v>
      </c>
      <c r="O313">
        <v>22.420173999999999</v>
      </c>
      <c r="P313">
        <v>15.810060999999999</v>
      </c>
      <c r="Q313">
        <f>$E$41</f>
        <v>-6.7846170130000001</v>
      </c>
      <c r="R313">
        <f>K313-1800*Q313</f>
        <v>202.78459939999993</v>
      </c>
      <c r="S313">
        <f>R313/(2*P313*O313)</f>
        <v>0.28604374090138862</v>
      </c>
      <c r="T313">
        <f>S313*16.02</f>
        <v>4.5824207292402459</v>
      </c>
    </row>
    <row r="314" spans="9:20" x14ac:dyDescent="0.2">
      <c r="J314">
        <v>693.68878299999994</v>
      </c>
      <c r="K314">
        <v>-12009.689635000001</v>
      </c>
      <c r="L314">
        <v>31694.262118999999</v>
      </c>
      <c r="M314">
        <v>-1.5925819999999999</v>
      </c>
      <c r="N314">
        <v>89.413690000000003</v>
      </c>
      <c r="O314">
        <v>22.420477999999999</v>
      </c>
      <c r="P314">
        <v>15.810001</v>
      </c>
      <c r="Q314">
        <f>$E$41</f>
        <v>-6.7846170130000001</v>
      </c>
      <c r="R314">
        <f>K314-1800*Q314</f>
        <v>202.62098839999999</v>
      </c>
      <c r="S314">
        <f>R314/(2*P314*O314)</f>
        <v>0.28581016394265074</v>
      </c>
      <c r="T314">
        <f>S314*16.02</f>
        <v>4.5786788263612648</v>
      </c>
    </row>
    <row r="315" spans="9:20" x14ac:dyDescent="0.2">
      <c r="J315">
        <v>693.590416</v>
      </c>
      <c r="K315">
        <v>-12009.71291</v>
      </c>
      <c r="L315">
        <v>31690.889932999999</v>
      </c>
      <c r="M315">
        <v>-1.421116</v>
      </c>
      <c r="N315">
        <v>89.405349999999999</v>
      </c>
      <c r="O315">
        <v>22.420345999999999</v>
      </c>
      <c r="P315">
        <v>15.809887</v>
      </c>
      <c r="Q315">
        <f>$E$41</f>
        <v>-6.7846170130000001</v>
      </c>
      <c r="R315">
        <f>K315-1800*Q315</f>
        <v>202.59771340000043</v>
      </c>
      <c r="S315">
        <f>R315/(2*P315*O315)</f>
        <v>0.28578107620914583</v>
      </c>
      <c r="T315">
        <f>S315*16.02</f>
        <v>4.5782128408705161</v>
      </c>
    </row>
    <row r="316" spans="9:20" x14ac:dyDescent="0.2">
      <c r="T316" s="1">
        <f>AVERAGE(T311:T315)</f>
        <v>4.5804504923295521</v>
      </c>
    </row>
    <row r="317" spans="9:20" x14ac:dyDescent="0.2">
      <c r="I317">
        <v>111</v>
      </c>
      <c r="J317">
        <v>693.47034299999996</v>
      </c>
      <c r="K317">
        <v>-18048.949803</v>
      </c>
      <c r="L317">
        <v>48822.554085000003</v>
      </c>
      <c r="M317">
        <v>-1.2402260000000001</v>
      </c>
      <c r="N317">
        <v>87.649190000000004</v>
      </c>
      <c r="O317">
        <v>17.933721999999999</v>
      </c>
      <c r="P317">
        <v>31.060055999999999</v>
      </c>
      <c r="Q317">
        <f>$E$41</f>
        <v>-6.7846170130000001</v>
      </c>
      <c r="R317">
        <f>K317-2711*Q317</f>
        <v>344.14691924300132</v>
      </c>
      <c r="S317">
        <f>R317/(2*O317*P317)</f>
        <v>0.30891658334260286</v>
      </c>
      <c r="T317">
        <f>S317*16.02</f>
        <v>4.9488436651484973</v>
      </c>
    </row>
    <row r="318" spans="9:20" x14ac:dyDescent="0.2">
      <c r="J318">
        <v>693.56336399999998</v>
      </c>
      <c r="K318">
        <v>-18048.906424000001</v>
      </c>
      <c r="L318">
        <v>48821.944077</v>
      </c>
      <c r="M318">
        <v>-0.86433400000000005</v>
      </c>
      <c r="N318">
        <v>87.647366000000005</v>
      </c>
      <c r="O318">
        <v>17.933817999999999</v>
      </c>
      <c r="P318">
        <v>31.06015</v>
      </c>
      <c r="Q318">
        <f>$E$41</f>
        <v>-6.7846170130000001</v>
      </c>
      <c r="R318">
        <f>K318-2711*Q318</f>
        <v>344.19029824300014</v>
      </c>
      <c r="S318">
        <f>R318/(2*O318*P318)</f>
        <v>0.30895293277515662</v>
      </c>
      <c r="T318">
        <f>S318*16.02</f>
        <v>4.949425983058009</v>
      </c>
    </row>
    <row r="319" spans="9:20" x14ac:dyDescent="0.2">
      <c r="J319">
        <v>693.54840999999999</v>
      </c>
      <c r="K319">
        <v>-18048.667655000001</v>
      </c>
      <c r="L319">
        <v>48814.967689999998</v>
      </c>
      <c r="M319">
        <v>-0.98548000000000002</v>
      </c>
      <c r="N319">
        <v>87.635318999999996</v>
      </c>
      <c r="O319">
        <v>17.933534000000002</v>
      </c>
      <c r="P319">
        <v>31.060471</v>
      </c>
      <c r="Q319">
        <f>$E$41</f>
        <v>-6.7846170130000001</v>
      </c>
      <c r="R319">
        <f>K319-2711*Q319</f>
        <v>344.42906724299974</v>
      </c>
      <c r="S319">
        <f>R319/(2*O319*P319)</f>
        <v>0.30916895804199357</v>
      </c>
      <c r="T319">
        <f>S319*16.02</f>
        <v>4.9528867078327368</v>
      </c>
    </row>
    <row r="320" spans="9:20" x14ac:dyDescent="0.2">
      <c r="J320">
        <v>693.79604300000005</v>
      </c>
      <c r="K320">
        <v>-18048.919804000001</v>
      </c>
      <c r="L320">
        <v>48867.507444000003</v>
      </c>
      <c r="M320">
        <v>-0.89829999999999999</v>
      </c>
      <c r="N320">
        <v>87.727509999999995</v>
      </c>
      <c r="O320">
        <v>17.934108999999999</v>
      </c>
      <c r="P320">
        <v>31.060231000000002</v>
      </c>
      <c r="Q320">
        <f>$E$41</f>
        <v>-6.7846170130000001</v>
      </c>
      <c r="R320">
        <f>K320-2711*Q320</f>
        <v>344.17691824299982</v>
      </c>
      <c r="S320">
        <f>R320/(2*O320*P320)</f>
        <v>0.30893510403753288</v>
      </c>
      <c r="T320">
        <f>S320*16.02</f>
        <v>4.9491403666812763</v>
      </c>
    </row>
    <row r="321" spans="9:20" x14ac:dyDescent="0.2">
      <c r="J321">
        <v>693.52184499999998</v>
      </c>
      <c r="K321">
        <v>-18048.900890000001</v>
      </c>
      <c r="L321">
        <v>48830.641178999998</v>
      </c>
      <c r="M321">
        <v>-0.93642499999999995</v>
      </c>
      <c r="N321">
        <v>87.662729999999996</v>
      </c>
      <c r="O321">
        <v>17.933577</v>
      </c>
      <c r="P321">
        <v>31.060656000000002</v>
      </c>
      <c r="Q321">
        <f>$E$41</f>
        <v>-6.7846170130000001</v>
      </c>
      <c r="R321">
        <f>K321-2711*Q321</f>
        <v>344.19583224300004</v>
      </c>
      <c r="S321">
        <f>R321/(2*O321*P321)</f>
        <v>0.30895701893218147</v>
      </c>
      <c r="T321">
        <f>S321*16.02</f>
        <v>4.9494914432935468</v>
      </c>
    </row>
    <row r="322" spans="9:20" x14ac:dyDescent="0.2">
      <c r="T322" s="1">
        <f>AVERAGE(T317:T321)</f>
        <v>4.9499576332028132</v>
      </c>
    </row>
    <row r="324" spans="9:20" x14ac:dyDescent="0.2">
      <c r="I324" s="3"/>
      <c r="N324" s="2"/>
      <c r="O324" s="2"/>
    </row>
    <row r="325" spans="9:20" x14ac:dyDescent="0.2">
      <c r="I325" s="3"/>
    </row>
    <row r="326" spans="9:20" x14ac:dyDescent="0.2">
      <c r="I326" s="3"/>
    </row>
    <row r="328" spans="9:20" x14ac:dyDescent="0.2">
      <c r="I328" s="3"/>
    </row>
    <row r="329" spans="9:20" x14ac:dyDescent="0.2">
      <c r="I329" s="3"/>
    </row>
    <row r="330" spans="9:20" x14ac:dyDescent="0.2">
      <c r="I330" s="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3:AG357"/>
  <sheetViews>
    <sheetView topLeftCell="A158" workbookViewId="0">
      <selection activeCell="Q152" sqref="Q152:Q210"/>
    </sheetView>
  </sheetViews>
  <sheetFormatPr baseColWidth="10" defaultRowHeight="16" x14ac:dyDescent="0.2"/>
  <cols>
    <col min="21" max="21" width="12.1640625" bestFit="1" customWidth="1"/>
  </cols>
  <sheetData>
    <row r="3" spans="1:13" x14ac:dyDescent="0.2">
      <c r="B3" t="s">
        <v>15</v>
      </c>
    </row>
    <row r="4" spans="1:13" x14ac:dyDescent="0.2">
      <c r="B4" t="s">
        <v>4</v>
      </c>
      <c r="H4" t="s">
        <v>10</v>
      </c>
    </row>
    <row r="5" spans="1:13" x14ac:dyDescent="0.2">
      <c r="B5" t="s">
        <v>5</v>
      </c>
      <c r="C5" t="s">
        <v>7</v>
      </c>
      <c r="D5" t="s">
        <v>6</v>
      </c>
      <c r="E5" t="s">
        <v>8</v>
      </c>
      <c r="F5" t="s">
        <v>9</v>
      </c>
      <c r="I5" t="s">
        <v>5</v>
      </c>
      <c r="J5" t="s">
        <v>7</v>
      </c>
      <c r="K5" t="s">
        <v>6</v>
      </c>
      <c r="L5" t="s">
        <v>8</v>
      </c>
      <c r="M5" t="s">
        <v>9</v>
      </c>
    </row>
    <row r="6" spans="1:13" x14ac:dyDescent="0.2">
      <c r="A6">
        <v>1000</v>
      </c>
      <c r="B6">
        <v>-8133.3142980000002</v>
      </c>
      <c r="C6">
        <v>43635.130314000002</v>
      </c>
      <c r="D6">
        <f>B6/2000</f>
        <v>-4.0666571490000001</v>
      </c>
      <c r="E6">
        <f>C6/2000</f>
        <v>21.817565157000001</v>
      </c>
      <c r="F6">
        <f t="shared" ref="F6:F15" si="0">(E6*2)^(1/3)</f>
        <v>3.5205627735806444</v>
      </c>
      <c r="H6">
        <v>1000</v>
      </c>
      <c r="I6">
        <v>-13510.818913999999</v>
      </c>
      <c r="J6">
        <v>31931.138754</v>
      </c>
      <c r="K6">
        <f>I6/2000</f>
        <v>-6.7554094569999998</v>
      </c>
      <c r="L6">
        <f>J6/2000</f>
        <v>15.965569377</v>
      </c>
      <c r="M6">
        <f t="shared" ref="M6:M15" si="1">(L6*2)^(1/3)</f>
        <v>3.1725231681638699</v>
      </c>
    </row>
    <row r="7" spans="1:13" x14ac:dyDescent="0.2">
      <c r="B7">
        <v>-8137.1549400000004</v>
      </c>
      <c r="C7">
        <v>43641.320051000002</v>
      </c>
      <c r="D7">
        <f t="shared" ref="D7:E10" si="2">B7/2000</f>
        <v>-4.0685774700000001</v>
      </c>
      <c r="E7">
        <f t="shared" si="2"/>
        <v>21.820660025500001</v>
      </c>
      <c r="F7">
        <f t="shared" si="0"/>
        <v>3.5207292321749093</v>
      </c>
      <c r="I7">
        <v>-13511.488853000001</v>
      </c>
      <c r="J7">
        <v>31929.432395</v>
      </c>
      <c r="K7">
        <f t="shared" ref="K7:L10" si="3">I7/2000</f>
        <v>-6.7557444265000006</v>
      </c>
      <c r="L7">
        <f t="shared" si="3"/>
        <v>15.9647161975</v>
      </c>
      <c r="M7">
        <f t="shared" si="1"/>
        <v>3.1724666553041727</v>
      </c>
    </row>
    <row r="8" spans="1:13" x14ac:dyDescent="0.2">
      <c r="B8">
        <v>-8134.6456939999998</v>
      </c>
      <c r="C8">
        <v>43643.515658999997</v>
      </c>
      <c r="D8">
        <f t="shared" si="2"/>
        <v>-4.0673228469999998</v>
      </c>
      <c r="E8">
        <f t="shared" si="2"/>
        <v>21.821757829499997</v>
      </c>
      <c r="F8">
        <f t="shared" si="0"/>
        <v>3.520788274168654</v>
      </c>
      <c r="I8">
        <v>-13510.801312</v>
      </c>
      <c r="J8">
        <v>31931.229630999998</v>
      </c>
      <c r="K8">
        <f t="shared" si="3"/>
        <v>-6.7554006559999999</v>
      </c>
      <c r="L8">
        <f t="shared" si="3"/>
        <v>15.965614815499999</v>
      </c>
      <c r="M8">
        <f t="shared" si="1"/>
        <v>3.1725261778604201</v>
      </c>
    </row>
    <row r="9" spans="1:13" x14ac:dyDescent="0.2">
      <c r="B9">
        <v>-8133.7075340000001</v>
      </c>
      <c r="C9">
        <v>43634.020200999999</v>
      </c>
      <c r="D9">
        <f t="shared" si="2"/>
        <v>-4.0668537670000005</v>
      </c>
      <c r="E9">
        <f t="shared" si="2"/>
        <v>21.817010100499999</v>
      </c>
      <c r="F9">
        <f t="shared" si="0"/>
        <v>3.5205329180061904</v>
      </c>
      <c r="I9">
        <v>-13510.982823</v>
      </c>
      <c r="J9">
        <v>31930.219955</v>
      </c>
      <c r="K9">
        <f t="shared" si="3"/>
        <v>-6.7554914115000004</v>
      </c>
      <c r="L9">
        <f t="shared" si="3"/>
        <v>15.965109977500001</v>
      </c>
      <c r="M9">
        <f t="shared" si="1"/>
        <v>3.1724927387336774</v>
      </c>
    </row>
    <row r="10" spans="1:13" x14ac:dyDescent="0.2">
      <c r="B10">
        <v>-8136.5440429999999</v>
      </c>
      <c r="C10">
        <v>43641.597283000003</v>
      </c>
      <c r="D10">
        <f t="shared" si="2"/>
        <v>-4.0682720215000003</v>
      </c>
      <c r="E10">
        <f t="shared" si="2"/>
        <v>21.820798641500001</v>
      </c>
      <c r="F10">
        <f t="shared" si="0"/>
        <v>3.5207366873171044</v>
      </c>
      <c r="I10">
        <v>-13510.687522</v>
      </c>
      <c r="J10">
        <v>31931.151085000001</v>
      </c>
      <c r="K10">
        <f t="shared" si="3"/>
        <v>-6.7553437609999998</v>
      </c>
      <c r="L10">
        <f t="shared" si="3"/>
        <v>15.9655755425</v>
      </c>
      <c r="M10">
        <f t="shared" si="1"/>
        <v>3.1725235765466135</v>
      </c>
    </row>
    <row r="11" spans="1:13" x14ac:dyDescent="0.2">
      <c r="B11">
        <v>-8130.9994980000001</v>
      </c>
      <c r="C11">
        <v>43631.022633</v>
      </c>
      <c r="D11">
        <f t="shared" ref="D11:E15" si="4">B11/2000</f>
        <v>-4.0654997489999998</v>
      </c>
      <c r="E11">
        <f t="shared" si="4"/>
        <v>21.8155113165</v>
      </c>
      <c r="F11">
        <f t="shared" si="0"/>
        <v>3.5204522983548587</v>
      </c>
      <c r="I11">
        <v>-13510.560242</v>
      </c>
      <c r="J11">
        <v>31931.627797000001</v>
      </c>
      <c r="K11">
        <f t="shared" ref="K11:L15" si="5">I11/2000</f>
        <v>-6.7552801210000002</v>
      </c>
      <c r="L11">
        <f t="shared" si="5"/>
        <v>15.9658138985</v>
      </c>
      <c r="M11">
        <f t="shared" si="1"/>
        <v>3.1725393643951731</v>
      </c>
    </row>
    <row r="12" spans="1:13" x14ac:dyDescent="0.2">
      <c r="B12">
        <v>-8133.3288190000003</v>
      </c>
      <c r="C12">
        <v>43635.881696999997</v>
      </c>
      <c r="D12">
        <f t="shared" si="4"/>
        <v>-4.0666644095000004</v>
      </c>
      <c r="E12">
        <f t="shared" si="4"/>
        <v>21.817940848499997</v>
      </c>
      <c r="F12">
        <f t="shared" si="0"/>
        <v>3.5205829811199663</v>
      </c>
      <c r="I12">
        <v>-13510.403173000001</v>
      </c>
      <c r="J12">
        <v>31932.054469999999</v>
      </c>
      <c r="K12">
        <f t="shared" si="5"/>
        <v>-6.7552015865000001</v>
      </c>
      <c r="L12">
        <f t="shared" si="5"/>
        <v>15.966027235</v>
      </c>
      <c r="M12">
        <f t="shared" si="1"/>
        <v>3.1725534949083198</v>
      </c>
    </row>
    <row r="13" spans="1:13" x14ac:dyDescent="0.2">
      <c r="B13">
        <v>-8135.2606310000001</v>
      </c>
      <c r="C13">
        <v>43637.625194</v>
      </c>
      <c r="D13">
        <f t="shared" si="4"/>
        <v>-4.0676303154999998</v>
      </c>
      <c r="E13">
        <f t="shared" si="4"/>
        <v>21.818812597000001</v>
      </c>
      <c r="F13">
        <f t="shared" si="0"/>
        <v>3.520629869474825</v>
      </c>
      <c r="I13">
        <v>-13510.609227000001</v>
      </c>
      <c r="J13">
        <v>31930.961981</v>
      </c>
      <c r="K13">
        <f t="shared" si="5"/>
        <v>-6.7553046135000008</v>
      </c>
      <c r="L13">
        <f t="shared" si="5"/>
        <v>15.9654809905</v>
      </c>
      <c r="M13">
        <f t="shared" si="1"/>
        <v>3.1725173137169276</v>
      </c>
    </row>
    <row r="14" spans="1:13" x14ac:dyDescent="0.2">
      <c r="B14">
        <v>-8132.3964480000004</v>
      </c>
      <c r="C14">
        <v>43645.571669999998</v>
      </c>
      <c r="D14">
        <f t="shared" si="4"/>
        <v>-4.0661982239999999</v>
      </c>
      <c r="E14">
        <f t="shared" si="4"/>
        <v>21.822785834999998</v>
      </c>
      <c r="F14">
        <f t="shared" si="0"/>
        <v>3.5208435604705857</v>
      </c>
      <c r="I14">
        <v>-13511.222025999999</v>
      </c>
      <c r="J14">
        <v>31930.244395000002</v>
      </c>
      <c r="K14">
        <f t="shared" si="5"/>
        <v>-6.7556110129999993</v>
      </c>
      <c r="L14">
        <f t="shared" si="5"/>
        <v>15.965122197500001</v>
      </c>
      <c r="M14">
        <f t="shared" si="1"/>
        <v>3.1724935481623087</v>
      </c>
    </row>
    <row r="15" spans="1:13" x14ac:dyDescent="0.2">
      <c r="B15">
        <v>-8134.4630779999998</v>
      </c>
      <c r="C15">
        <v>43637.436696999997</v>
      </c>
      <c r="D15">
        <f t="shared" si="4"/>
        <v>-4.0672315389999998</v>
      </c>
      <c r="E15">
        <f t="shared" si="4"/>
        <v>21.818718348499999</v>
      </c>
      <c r="F15">
        <f t="shared" si="0"/>
        <v>3.5206248002322389</v>
      </c>
      <c r="I15">
        <v>-13510.912093999999</v>
      </c>
      <c r="J15">
        <v>31930.665961999999</v>
      </c>
      <c r="K15">
        <f t="shared" si="5"/>
        <v>-6.755456047</v>
      </c>
      <c r="L15">
        <f t="shared" si="5"/>
        <v>15.965332981</v>
      </c>
      <c r="M15">
        <f t="shared" si="1"/>
        <v>3.1725075099794626</v>
      </c>
    </row>
    <row r="16" spans="1:13" x14ac:dyDescent="0.2">
      <c r="B16">
        <f>AVERAGE(B6:B15)</f>
        <v>-8134.1814983000004</v>
      </c>
      <c r="C16">
        <f>AVERAGE(C6:C15)</f>
        <v>43638.312139900001</v>
      </c>
      <c r="D16">
        <f>AVERAGE(D6:D15)</f>
        <v>-4.0670907491499992</v>
      </c>
      <c r="E16">
        <f>AVERAGE(E6:E15)</f>
        <v>21.819156069950001</v>
      </c>
      <c r="F16">
        <f>AVERAGE(F6:F15)</f>
        <v>3.5206483394899974</v>
      </c>
      <c r="I16">
        <f>AVERAGE(I6:I15)</f>
        <v>-13510.848618600003</v>
      </c>
      <c r="J16">
        <f>AVERAGE(J6:J15)</f>
        <v>31930.872642499999</v>
      </c>
      <c r="K16">
        <f>AVERAGE(K6:K15)</f>
        <v>-6.7554243092999995</v>
      </c>
      <c r="L16">
        <f>AVERAGE(L6:L15)</f>
        <v>15.965436321249999</v>
      </c>
      <c r="M16">
        <f>AVERAGE(M6:M15)</f>
        <v>3.1725143547770949</v>
      </c>
    </row>
    <row r="17" spans="2:15" x14ac:dyDescent="0.2">
      <c r="B17">
        <f>STDEV(B6:B15)/SQRT(COUNT(B6:B15))</f>
        <v>0.58592316667070277</v>
      </c>
      <c r="C17">
        <f>STDEV(C6:C15)/SQRT(COUNT(C6:C15))</f>
        <v>1.4470049401937539</v>
      </c>
      <c r="I17">
        <f>STDEV(I6:I10)/SQRT(COUNT(I6:I10))</f>
        <v>0.14132464608265952</v>
      </c>
      <c r="J17">
        <f>STDEV(J6:J10)/SQRT(COUNT(J6:J10))</f>
        <v>0.35300261765821528</v>
      </c>
    </row>
    <row r="21" spans="2:15" x14ac:dyDescent="0.2">
      <c r="I21" t="s">
        <v>11</v>
      </c>
    </row>
    <row r="22" spans="2:15" x14ac:dyDescent="0.2">
      <c r="I22" t="s">
        <v>5</v>
      </c>
      <c r="J22" t="s">
        <v>7</v>
      </c>
      <c r="K22" t="s">
        <v>6</v>
      </c>
      <c r="L22" t="s">
        <v>8</v>
      </c>
      <c r="M22" t="s">
        <v>12</v>
      </c>
      <c r="N22" t="s">
        <v>14</v>
      </c>
      <c r="O22" t="s">
        <v>13</v>
      </c>
    </row>
    <row r="23" spans="2:15" x14ac:dyDescent="0.2">
      <c r="H23">
        <v>1000</v>
      </c>
      <c r="I23">
        <v>-9253.8006619999996</v>
      </c>
      <c r="J23">
        <v>40087.870067999997</v>
      </c>
      <c r="K23">
        <f>I23/2000</f>
        <v>-4.6269003309999999</v>
      </c>
      <c r="L23">
        <f>J23/2000</f>
        <v>20.043935033999997</v>
      </c>
      <c r="M23">
        <f>I23-2000*(O23*$K$16+(1-O23)*D$16)</f>
        <v>68.624269886300681</v>
      </c>
      <c r="N23">
        <f t="shared" ref="N23:N32" si="6">M23/2000</f>
        <v>3.4312134943150344E-2</v>
      </c>
      <c r="O23">
        <f>442/2000</f>
        <v>0.221</v>
      </c>
    </row>
    <row r="24" spans="2:15" x14ac:dyDescent="0.2">
      <c r="I24">
        <v>-9246.7933869999997</v>
      </c>
      <c r="J24">
        <v>40114.610837</v>
      </c>
      <c r="K24">
        <f t="shared" ref="K24:L27" si="7">I24/2000</f>
        <v>-4.6233966935000002</v>
      </c>
      <c r="L24">
        <f t="shared" si="7"/>
        <v>20.0573054185</v>
      </c>
      <c r="M24">
        <f t="shared" ref="M24:M32" si="8">I24-2000*(O24*$K$16+(1-O24)*D$16)</f>
        <v>72.94321132614823</v>
      </c>
      <c r="N24">
        <f t="shared" si="6"/>
        <v>3.6471605663074114E-2</v>
      </c>
      <c r="O24">
        <f>441/2000</f>
        <v>0.2205</v>
      </c>
    </row>
    <row r="25" spans="2:15" x14ac:dyDescent="0.2">
      <c r="I25">
        <v>-9223.60131</v>
      </c>
      <c r="J25">
        <v>40197.120758999998</v>
      </c>
      <c r="K25">
        <f t="shared" si="7"/>
        <v>-4.6118006549999997</v>
      </c>
      <c r="L25">
        <f t="shared" si="7"/>
        <v>20.0985603795</v>
      </c>
      <c r="M25">
        <f t="shared" si="8"/>
        <v>71.940286284800095</v>
      </c>
      <c r="N25">
        <f t="shared" si="6"/>
        <v>3.5970143142400046E-2</v>
      </c>
      <c r="O25">
        <f>432/2000</f>
        <v>0.216</v>
      </c>
    </row>
    <row r="26" spans="2:15" x14ac:dyDescent="0.2">
      <c r="I26">
        <v>-9265.0032470000006</v>
      </c>
      <c r="J26">
        <v>40100.256604000002</v>
      </c>
      <c r="K26">
        <f t="shared" si="7"/>
        <v>-4.6325016235000005</v>
      </c>
      <c r="L26">
        <f t="shared" si="7"/>
        <v>20.050128302000001</v>
      </c>
      <c r="M26">
        <f t="shared" si="8"/>
        <v>73.551686247197722</v>
      </c>
      <c r="N26">
        <f t="shared" si="6"/>
        <v>3.6775843123598863E-2</v>
      </c>
      <c r="O26">
        <f>448/2000</f>
        <v>0.224</v>
      </c>
    </row>
    <row r="27" spans="2:15" x14ac:dyDescent="0.2">
      <c r="I27">
        <v>-9260.1821419999997</v>
      </c>
      <c r="J27">
        <v>40086.881306000003</v>
      </c>
      <c r="K27">
        <f t="shared" si="7"/>
        <v>-4.6300910709999998</v>
      </c>
      <c r="L27">
        <f t="shared" si="7"/>
        <v>20.043440653000001</v>
      </c>
      <c r="M27">
        <f t="shared" si="8"/>
        <v>75.684457687048052</v>
      </c>
      <c r="N27">
        <f t="shared" si="6"/>
        <v>3.7842228843524027E-2</v>
      </c>
      <c r="O27">
        <f>447/2000</f>
        <v>0.2235</v>
      </c>
    </row>
    <row r="28" spans="2:15" x14ac:dyDescent="0.2">
      <c r="I28">
        <v>-9258.9558570000008</v>
      </c>
      <c r="J28">
        <v>40087.891789000001</v>
      </c>
      <c r="K28">
        <f t="shared" ref="K28:L32" si="9">I28/2000</f>
        <v>-4.6294779285000001</v>
      </c>
      <c r="L28">
        <f t="shared" si="9"/>
        <v>20.043945894500002</v>
      </c>
      <c r="M28">
        <f t="shared" si="8"/>
        <v>71.534075566747561</v>
      </c>
      <c r="N28">
        <f t="shared" si="6"/>
        <v>3.5767037783373777E-2</v>
      </c>
      <c r="O28">
        <f>445/2000</f>
        <v>0.2225</v>
      </c>
    </row>
    <row r="29" spans="2:15" x14ac:dyDescent="0.2">
      <c r="I29">
        <v>-9365.7953070000003</v>
      </c>
      <c r="J29">
        <v>39829.181140000001</v>
      </c>
      <c r="K29">
        <f t="shared" si="9"/>
        <v>-4.6828976535000004</v>
      </c>
      <c r="L29">
        <f t="shared" si="9"/>
        <v>19.914590570000001</v>
      </c>
      <c r="M29">
        <f t="shared" si="8"/>
        <v>74.916301532899524</v>
      </c>
      <c r="N29">
        <f t="shared" si="6"/>
        <v>3.745815076644976E-2</v>
      </c>
      <c r="O29">
        <f>486/2000</f>
        <v>0.24299999999999999</v>
      </c>
    </row>
    <row r="30" spans="2:15" x14ac:dyDescent="0.2">
      <c r="I30">
        <v>-9283.2717680000005</v>
      </c>
      <c r="J30">
        <v>40034.708537999999</v>
      </c>
      <c r="K30">
        <f t="shared" si="9"/>
        <v>-4.6416358840000003</v>
      </c>
      <c r="L30">
        <f t="shared" si="9"/>
        <v>20.017354268999998</v>
      </c>
      <c r="M30">
        <f t="shared" si="8"/>
        <v>74.101500168246275</v>
      </c>
      <c r="N30">
        <f t="shared" si="6"/>
        <v>3.7050750084123139E-2</v>
      </c>
      <c r="O30">
        <f>455/2000</f>
        <v>0.22750000000000001</v>
      </c>
    </row>
    <row r="31" spans="2:15" x14ac:dyDescent="0.2">
      <c r="I31">
        <v>-9296.5300549999993</v>
      </c>
      <c r="J31">
        <v>39998.752692000002</v>
      </c>
      <c r="K31">
        <f t="shared" si="9"/>
        <v>-4.6482650274999999</v>
      </c>
      <c r="L31">
        <f t="shared" si="9"/>
        <v>19.999376346000002</v>
      </c>
      <c r="M31">
        <f t="shared" si="8"/>
        <v>79.661548089297867</v>
      </c>
      <c r="N31">
        <f t="shared" si="6"/>
        <v>3.9830774044648937E-2</v>
      </c>
      <c r="O31">
        <f>462/2000</f>
        <v>0.23100000000000001</v>
      </c>
    </row>
    <row r="32" spans="2:15" x14ac:dyDescent="0.2">
      <c r="I32">
        <v>-9212.5270120000005</v>
      </c>
      <c r="J32">
        <v>40204.582240000003</v>
      </c>
      <c r="K32">
        <f t="shared" si="9"/>
        <v>-4.6062635060000003</v>
      </c>
      <c r="L32">
        <f t="shared" si="9"/>
        <v>20.10229112</v>
      </c>
      <c r="M32">
        <f t="shared" si="8"/>
        <v>66.884582923898051</v>
      </c>
      <c r="N32">
        <f t="shared" si="6"/>
        <v>3.3442291461949027E-2</v>
      </c>
      <c r="O32">
        <f>426/2000</f>
        <v>0.21299999999999999</v>
      </c>
    </row>
    <row r="34" spans="8:31" x14ac:dyDescent="0.2">
      <c r="AA34" s="4"/>
    </row>
    <row r="35" spans="8:31" x14ac:dyDescent="0.2">
      <c r="I35" t="s">
        <v>16</v>
      </c>
      <c r="U35" t="s">
        <v>25</v>
      </c>
      <c r="V35" t="s">
        <v>24</v>
      </c>
    </row>
    <row r="36" spans="8:31" x14ac:dyDescent="0.2">
      <c r="I36" t="s">
        <v>18</v>
      </c>
      <c r="J36" t="s">
        <v>5</v>
      </c>
      <c r="K36" t="s">
        <v>7</v>
      </c>
      <c r="L36" t="s">
        <v>19</v>
      </c>
      <c r="M36" t="s">
        <v>20</v>
      </c>
      <c r="N36" t="s">
        <v>21</v>
      </c>
      <c r="O36" t="s">
        <v>22</v>
      </c>
      <c r="P36" t="s">
        <v>4</v>
      </c>
      <c r="Q36" t="s">
        <v>10</v>
      </c>
      <c r="R36" t="s">
        <v>13</v>
      </c>
      <c r="S36" t="s">
        <v>26</v>
      </c>
      <c r="T36" t="s">
        <v>12</v>
      </c>
      <c r="U36" t="s">
        <v>23</v>
      </c>
      <c r="V36" t="s">
        <v>23</v>
      </c>
    </row>
    <row r="37" spans="8:31" x14ac:dyDescent="0.2">
      <c r="H37" t="s">
        <v>17</v>
      </c>
      <c r="I37">
        <v>929.75794399999995</v>
      </c>
      <c r="J37">
        <v>-35223.157270999996</v>
      </c>
      <c r="K37">
        <v>152894.084436</v>
      </c>
      <c r="L37">
        <v>-0.713005</v>
      </c>
      <c r="M37">
        <v>30.633384</v>
      </c>
      <c r="N37">
        <v>182.641368</v>
      </c>
      <c r="O37">
        <v>27.327327</v>
      </c>
      <c r="P37">
        <v>5909</v>
      </c>
      <c r="Q37">
        <v>1707</v>
      </c>
      <c r="R37">
        <f>Q37/(Q37+P37)</f>
        <v>0.22413340336134455</v>
      </c>
      <c r="S37">
        <f>-4.062-2.5481*R37</f>
        <v>-4.6331143251050424</v>
      </c>
      <c r="T37">
        <f>J37-(SUM(P37:Q37)*S37)</f>
        <v>62.641429000002972</v>
      </c>
      <c r="U37">
        <f>T37/(2*M37*O37)</f>
        <v>3.741446437073194E-2</v>
      </c>
      <c r="V37">
        <f>U37*16.02</f>
        <v>0.5993797192191257</v>
      </c>
    </row>
    <row r="38" spans="8:31" x14ac:dyDescent="0.2">
      <c r="I38">
        <v>929.82684400000005</v>
      </c>
      <c r="J38">
        <v>-35171.408066000004</v>
      </c>
      <c r="K38">
        <v>153017.02279799999</v>
      </c>
      <c r="L38">
        <v>-0.39018000000000003</v>
      </c>
      <c r="M38">
        <v>30.650283999999999</v>
      </c>
      <c r="N38">
        <v>182.63449900000001</v>
      </c>
      <c r="O38">
        <v>27.335255</v>
      </c>
      <c r="P38">
        <v>5930</v>
      </c>
      <c r="Q38">
        <v>1686</v>
      </c>
      <c r="R38">
        <f>Q38/(Q38+P38)</f>
        <v>0.22137605042016806</v>
      </c>
      <c r="S38">
        <f>-4.062-2.5481*R38</f>
        <v>-4.6260883140756306</v>
      </c>
      <c r="T38">
        <f>J38-(SUM(P38:Q38)*S38)</f>
        <v>60.88053399999626</v>
      </c>
      <c r="U38">
        <f>T38/(2*M38*O38)</f>
        <v>3.6332127104200571E-2</v>
      </c>
      <c r="V38">
        <f>U38*16.02</f>
        <v>0.58204067620929312</v>
      </c>
    </row>
    <row r="39" spans="8:31" x14ac:dyDescent="0.2">
      <c r="I39">
        <v>929.49720400000001</v>
      </c>
      <c r="J39">
        <v>-35168.343852999998</v>
      </c>
      <c r="K39">
        <v>153003.26424399999</v>
      </c>
      <c r="L39">
        <v>-0.41677199999999998</v>
      </c>
      <c r="M39">
        <v>30.633635999999999</v>
      </c>
      <c r="N39">
        <v>182.74535900000001</v>
      </c>
      <c r="O39">
        <v>27.331056</v>
      </c>
      <c r="P39">
        <v>5929</v>
      </c>
      <c r="Q39">
        <v>1687</v>
      </c>
      <c r="R39">
        <f>Q39/(Q39+P39)</f>
        <v>0.22150735294117646</v>
      </c>
      <c r="S39">
        <f>-4.062-2.5481*R39</f>
        <v>-4.6264228860294123</v>
      </c>
      <c r="T39">
        <f>J39-(SUM(P39:Q39)*S39)</f>
        <v>66.492847000008624</v>
      </c>
      <c r="U39">
        <f>T39/(2*M39*O39)</f>
        <v>3.9709093520174384E-2</v>
      </c>
      <c r="V39">
        <f>U39*16.02</f>
        <v>0.63613967819319361</v>
      </c>
    </row>
    <row r="40" spans="8:31" x14ac:dyDescent="0.2">
      <c r="I40">
        <v>929.56859299999996</v>
      </c>
      <c r="J40">
        <v>-35036.926764999997</v>
      </c>
      <c r="K40">
        <v>153344.82947999999</v>
      </c>
      <c r="L40">
        <v>-0.49896600000000002</v>
      </c>
      <c r="M40">
        <v>30.658891000000001</v>
      </c>
      <c r="N40">
        <v>182.858937</v>
      </c>
      <c r="O40">
        <v>27.352499999999999</v>
      </c>
      <c r="P40">
        <v>5982</v>
      </c>
      <c r="Q40">
        <v>1634</v>
      </c>
      <c r="R40">
        <f>Q40/(Q40+P40)</f>
        <v>0.21454831932773108</v>
      </c>
      <c r="S40">
        <f>-4.062-2.5481*R40</f>
        <v>-4.6086905724789915</v>
      </c>
      <c r="T40">
        <f>J40-(SUM(P40:Q40)*S40)</f>
        <v>62.86063500000455</v>
      </c>
      <c r="U40">
        <f>T40/(2*M40*O40)</f>
        <v>3.7479630446489054E-2</v>
      </c>
      <c r="V40">
        <f>U40*16.02</f>
        <v>0.60042367975275468</v>
      </c>
    </row>
    <row r="41" spans="8:31" x14ac:dyDescent="0.2">
      <c r="I41">
        <v>929.64277100000004</v>
      </c>
      <c r="J41">
        <v>-35092.224634999999</v>
      </c>
      <c r="K41">
        <v>153204.06761699999</v>
      </c>
      <c r="L41">
        <v>-0.64182600000000001</v>
      </c>
      <c r="M41">
        <v>30.653511000000002</v>
      </c>
      <c r="N41">
        <v>182.89253600000001</v>
      </c>
      <c r="O41">
        <v>27.327175</v>
      </c>
      <c r="P41">
        <v>5961</v>
      </c>
      <c r="Q41">
        <v>1655</v>
      </c>
      <c r="R41">
        <f>Q41/(Q41+P41)</f>
        <v>0.21730567226890757</v>
      </c>
      <c r="S41">
        <f>-4.062-2.5481*R41</f>
        <v>-4.6157165835084033</v>
      </c>
      <c r="T41">
        <f>J41-(SUM(P41:Q41)*S41)</f>
        <v>61.072865000001912</v>
      </c>
      <c r="U41">
        <f>T41/(2*M41*O41)</f>
        <v>3.6453844363287261E-2</v>
      </c>
      <c r="V41">
        <f>U41*16.02</f>
        <v>0.58399058669986192</v>
      </c>
    </row>
    <row r="42" spans="8:31" x14ac:dyDescent="0.2">
      <c r="V42" s="1">
        <f>AVERAGE(V37:V41)</f>
        <v>0.60039486801484576</v>
      </c>
      <c r="W42">
        <f>STDEV(V37:V41)</f>
        <v>2.170656360514002E-2</v>
      </c>
    </row>
    <row r="43" spans="8:31" x14ac:dyDescent="0.2">
      <c r="H43" t="s">
        <v>27</v>
      </c>
      <c r="I43">
        <v>929.824747</v>
      </c>
      <c r="J43">
        <v>-22138.247938</v>
      </c>
      <c r="K43">
        <v>96498.637724999993</v>
      </c>
      <c r="L43">
        <v>-0.972414</v>
      </c>
      <c r="M43">
        <v>32.502338999999999</v>
      </c>
      <c r="N43">
        <v>217.19124099999999</v>
      </c>
      <c r="O43">
        <v>13.669905999999999</v>
      </c>
      <c r="P43">
        <v>3752</v>
      </c>
      <c r="Q43">
        <v>1048</v>
      </c>
      <c r="R43">
        <f>Q43/(Q43+P43)</f>
        <v>0.21833333333333332</v>
      </c>
      <c r="S43">
        <f>-4.062-2.5481*R43</f>
        <v>-4.6183351666666672</v>
      </c>
      <c r="T43">
        <f>J43-(SUM(P43:Q43)*S43)</f>
        <v>29.760862000002817</v>
      </c>
      <c r="U43">
        <f>T43/(2*M43*O43)</f>
        <v>3.3491559193316867E-2</v>
      </c>
      <c r="V43">
        <f>U43*16.02</f>
        <v>0.53653477827693619</v>
      </c>
    </row>
    <row r="44" spans="8:31" x14ac:dyDescent="0.2">
      <c r="I44">
        <v>929.68112399999995</v>
      </c>
      <c r="J44">
        <v>-22128.544737</v>
      </c>
      <c r="K44">
        <v>96529.688834999994</v>
      </c>
      <c r="L44">
        <v>-0.82516500000000004</v>
      </c>
      <c r="M44">
        <v>32.467461999999998</v>
      </c>
      <c r="N44">
        <v>217.41265000000001</v>
      </c>
      <c r="O44">
        <v>13.675058999999999</v>
      </c>
      <c r="P44">
        <v>3754</v>
      </c>
      <c r="Q44">
        <v>1046</v>
      </c>
      <c r="R44">
        <f>Q44/(Q44+P44)</f>
        <v>0.21791666666666668</v>
      </c>
      <c r="S44">
        <f>-4.062-2.5481*R44</f>
        <v>-4.6172734583333339</v>
      </c>
      <c r="T44">
        <f>J44-(SUM(P44:Q44)*S44)</f>
        <v>34.367863000003126</v>
      </c>
      <c r="U44">
        <f>T44/(2*M44*O44)</f>
        <v>3.8703031476463326E-2</v>
      </c>
      <c r="V44">
        <f>U44*16.02</f>
        <v>0.62002256425294244</v>
      </c>
    </row>
    <row r="45" spans="8:31" x14ac:dyDescent="0.2">
      <c r="I45">
        <v>930.03824799999995</v>
      </c>
      <c r="J45">
        <v>-22170.552216</v>
      </c>
      <c r="K45">
        <v>96435.012809000007</v>
      </c>
      <c r="L45">
        <v>-0.81356700000000004</v>
      </c>
      <c r="M45">
        <v>32.491540999999998</v>
      </c>
      <c r="N45">
        <v>217.14191299999999</v>
      </c>
      <c r="O45">
        <v>13.668528</v>
      </c>
      <c r="P45">
        <v>3736</v>
      </c>
      <c r="Q45">
        <v>1064</v>
      </c>
      <c r="R45">
        <f>Q45/(Q45+P45)</f>
        <v>0.22166666666666668</v>
      </c>
      <c r="S45">
        <f>-4.062-2.5481*R45</f>
        <v>-4.6268288333333336</v>
      </c>
      <c r="T45">
        <f>J45-(SUM(P45:Q45)*S45)</f>
        <v>38.226184000002831</v>
      </c>
      <c r="U45">
        <f>T45/(2*M45*O45)</f>
        <v>4.3036693190739453E-2</v>
      </c>
      <c r="V45">
        <f>U45*16.02</f>
        <v>0.68944782491564605</v>
      </c>
    </row>
    <row r="46" spans="8:31" x14ac:dyDescent="0.2">
      <c r="I46">
        <v>929.56100200000003</v>
      </c>
      <c r="J46">
        <v>-22092.089898999999</v>
      </c>
      <c r="K46">
        <v>96625.295006999993</v>
      </c>
      <c r="L46">
        <v>-0.62039699999999998</v>
      </c>
      <c r="M46">
        <v>32.493355999999999</v>
      </c>
      <c r="N46">
        <v>217.27753200000001</v>
      </c>
      <c r="O46">
        <v>13.686191000000001</v>
      </c>
      <c r="P46">
        <v>3767</v>
      </c>
      <c r="Q46">
        <v>1033</v>
      </c>
      <c r="R46">
        <f>Q46/(Q46+P46)</f>
        <v>0.21520833333333333</v>
      </c>
      <c r="S46">
        <f>-4.062-2.5481*R46</f>
        <v>-4.6103723541666666</v>
      </c>
      <c r="T46">
        <f>J46-(SUM(P46:Q46)*S46)</f>
        <v>37.697401000001264</v>
      </c>
      <c r="U46">
        <f>T46/(2*M46*O46)</f>
        <v>4.238422518722066E-2</v>
      </c>
      <c r="V46">
        <f>U46*16.02</f>
        <v>0.67899528749927496</v>
      </c>
    </row>
    <row r="47" spans="8:31" x14ac:dyDescent="0.2">
      <c r="I47">
        <v>929.80229099999997</v>
      </c>
      <c r="J47">
        <v>-22107.401494000002</v>
      </c>
      <c r="K47">
        <v>96605.497141</v>
      </c>
      <c r="L47">
        <v>-0.89520200000000005</v>
      </c>
      <c r="M47">
        <v>32.513406000000003</v>
      </c>
      <c r="N47">
        <v>217.322946</v>
      </c>
      <c r="O47">
        <v>13.672094</v>
      </c>
      <c r="P47">
        <v>3761</v>
      </c>
      <c r="Q47">
        <v>1039</v>
      </c>
      <c r="R47">
        <f>Q47/(Q47+P47)</f>
        <v>0.21645833333333334</v>
      </c>
      <c r="S47">
        <f>-4.062-2.5481*R47</f>
        <v>-4.6135574791666674</v>
      </c>
      <c r="T47">
        <f>J47-(SUM(P47:Q47)*S47)</f>
        <v>37.674406000001909</v>
      </c>
      <c r="U47">
        <f>T47/(2*M47*O47)</f>
        <v>4.2375898060321299E-2</v>
      </c>
      <c r="V47">
        <f>U47*16.02</f>
        <v>0.67886188692634719</v>
      </c>
    </row>
    <row r="48" spans="8:31" x14ac:dyDescent="0.2">
      <c r="V48" s="1">
        <f>AVERAGE(V43:V47)</f>
        <v>0.6407724683742293</v>
      </c>
      <c r="W48">
        <f>STDEV(V43:V47)</f>
        <v>6.4376106980385858E-2</v>
      </c>
      <c r="Y48" t="s">
        <v>15</v>
      </c>
      <c r="AE48" t="s">
        <v>3</v>
      </c>
    </row>
    <row r="49" spans="8:33" x14ac:dyDescent="0.2">
      <c r="H49" t="s">
        <v>28</v>
      </c>
      <c r="I49">
        <v>929.41207699999995</v>
      </c>
      <c r="J49">
        <v>-17188.217927999998</v>
      </c>
      <c r="K49">
        <v>74718.146982000006</v>
      </c>
      <c r="L49">
        <v>-1.047226</v>
      </c>
      <c r="M49">
        <v>34.931615000000001</v>
      </c>
      <c r="N49">
        <v>208.73306299999999</v>
      </c>
      <c r="O49">
        <v>10.247498</v>
      </c>
      <c r="P49">
        <v>2893</v>
      </c>
      <c r="Q49">
        <v>827</v>
      </c>
      <c r="R49">
        <f>Q49/(Q49+P49)</f>
        <v>0.22231182795698926</v>
      </c>
      <c r="S49">
        <f>-4.062-2.5481*R49</f>
        <v>-4.6284727688172049</v>
      </c>
      <c r="T49">
        <f>J49-(SUM(P49:Q49)*S49)</f>
        <v>29.700772000003781</v>
      </c>
      <c r="U49">
        <f>T49/(2*M49*O49)</f>
        <v>4.1485968675206479E-2</v>
      </c>
      <c r="V49">
        <f>U49*16.02</f>
        <v>0.66460521817680773</v>
      </c>
      <c r="Y49" t="s">
        <v>32</v>
      </c>
      <c r="Z49" t="s">
        <v>29</v>
      </c>
      <c r="AA49" t="s">
        <v>30</v>
      </c>
      <c r="AB49" t="s">
        <v>61</v>
      </c>
      <c r="AE49" t="s">
        <v>16</v>
      </c>
      <c r="AF49" t="s">
        <v>29</v>
      </c>
      <c r="AG49" t="s">
        <v>30</v>
      </c>
    </row>
    <row r="50" spans="8:33" x14ac:dyDescent="0.2">
      <c r="I50">
        <v>929.86720800000001</v>
      </c>
      <c r="J50">
        <v>-17154.209742999999</v>
      </c>
      <c r="K50">
        <v>74797.971929000007</v>
      </c>
      <c r="L50">
        <v>-1.2246809999999999</v>
      </c>
      <c r="M50">
        <v>34.979922000000002</v>
      </c>
      <c r="N50">
        <v>208.678708</v>
      </c>
      <c r="O50">
        <v>10.246956000000001</v>
      </c>
      <c r="P50">
        <v>2905</v>
      </c>
      <c r="Q50">
        <v>815</v>
      </c>
      <c r="R50">
        <f>Q50/(Q50+P50)</f>
        <v>0.21908602150537634</v>
      </c>
      <c r="S50">
        <f>-4.062-2.5481*R50</f>
        <v>-4.6202530913978492</v>
      </c>
      <c r="T50">
        <f>J50-(SUM(P50:Q50)*S50)</f>
        <v>33.131756999999197</v>
      </c>
      <c r="U50">
        <f>T50/(2*M50*O50)</f>
        <v>4.6216894877154427E-2</v>
      </c>
      <c r="V50">
        <f>U50*16.02</f>
        <v>0.74039465593201392</v>
      </c>
      <c r="X50" t="s">
        <v>17</v>
      </c>
      <c r="Y50" s="20">
        <v>0.60039486801484576</v>
      </c>
      <c r="Z50" s="1">
        <v>0.55396158966096887</v>
      </c>
      <c r="AA50" s="1">
        <v>1.6378354198643019</v>
      </c>
      <c r="AB50">
        <f>Z50-AA50</f>
        <v>-1.0838738302033331</v>
      </c>
      <c r="AD50" t="s">
        <v>17</v>
      </c>
      <c r="AE50" s="1">
        <v>0.49939489348485183</v>
      </c>
      <c r="AF50" s="1">
        <v>0.78549384012825973</v>
      </c>
      <c r="AG50" s="1">
        <v>1.7460132939804383</v>
      </c>
    </row>
    <row r="51" spans="8:33" x14ac:dyDescent="0.2">
      <c r="I51">
        <v>929.57313599999998</v>
      </c>
      <c r="J51">
        <v>-17204.352197</v>
      </c>
      <c r="K51">
        <v>74655.716486000005</v>
      </c>
      <c r="L51">
        <v>-1.157562</v>
      </c>
      <c r="M51">
        <v>34.961705000000002</v>
      </c>
      <c r="N51">
        <v>208.679688</v>
      </c>
      <c r="O51">
        <v>10.232735999999999</v>
      </c>
      <c r="P51">
        <v>2887</v>
      </c>
      <c r="Q51">
        <v>833</v>
      </c>
      <c r="R51">
        <f>Q51/(Q51+P51)</f>
        <v>0.22392473118279571</v>
      </c>
      <c r="S51">
        <f>-4.062-2.5481*R51</f>
        <v>-4.6325826075268823</v>
      </c>
      <c r="T51">
        <f>J51-(SUM(P51:Q51)*S51)</f>
        <v>28.855103000001691</v>
      </c>
      <c r="U51">
        <f>T51/(2*M51*O51)</f>
        <v>4.0328146264421071E-2</v>
      </c>
      <c r="V51">
        <f>U51*16.02</f>
        <v>0.64605690315602549</v>
      </c>
      <c r="X51" t="s">
        <v>27</v>
      </c>
      <c r="Y51" s="20">
        <v>0.6407724683742293</v>
      </c>
      <c r="Z51" s="1">
        <v>0.42078741710482098</v>
      </c>
      <c r="AA51" s="1">
        <v>1.5676658377525972</v>
      </c>
      <c r="AB51">
        <f>Z51-AA51</f>
        <v>-1.1468784206477762</v>
      </c>
      <c r="AD51" t="s">
        <v>27</v>
      </c>
      <c r="AE51" s="1">
        <v>0.4491580804743463</v>
      </c>
      <c r="AF51" s="1">
        <v>0.60414693698711219</v>
      </c>
      <c r="AG51" s="1">
        <v>1.5812740836067689</v>
      </c>
    </row>
    <row r="52" spans="8:33" x14ac:dyDescent="0.2">
      <c r="I52">
        <v>929.59684000000004</v>
      </c>
      <c r="J52">
        <v>-17145.138347</v>
      </c>
      <c r="K52">
        <v>74820.574083</v>
      </c>
      <c r="L52">
        <v>-1.0380130000000001</v>
      </c>
      <c r="M52">
        <v>34.908683000000003</v>
      </c>
      <c r="N52">
        <v>208.69350499999999</v>
      </c>
      <c r="O52">
        <v>10.270232</v>
      </c>
      <c r="P52">
        <v>2909</v>
      </c>
      <c r="Q52">
        <v>811</v>
      </c>
      <c r="R52">
        <f>Q52/(Q52+P52)</f>
        <v>0.21801075268817205</v>
      </c>
      <c r="S52">
        <f>-4.062-2.5481*R52</f>
        <v>-4.6175131989247316</v>
      </c>
      <c r="T52">
        <f>J52-(SUM(P52:Q52)*S52)</f>
        <v>32.010753000002296</v>
      </c>
      <c r="U52">
        <f>T52/(2*M52*O52)</f>
        <v>4.4642877112784037E-2</v>
      </c>
      <c r="V52">
        <f>U52*16.02</f>
        <v>0.71517889134680024</v>
      </c>
      <c r="X52" t="s">
        <v>28</v>
      </c>
      <c r="Y52" s="20">
        <v>0.71298139768847357</v>
      </c>
      <c r="Z52" s="1">
        <v>0.54043955504228935</v>
      </c>
      <c r="AA52" s="1">
        <v>1.633167301293085</v>
      </c>
      <c r="AB52">
        <f>Z52-AA52</f>
        <v>-1.0927277462507956</v>
      </c>
      <c r="AD52" t="s">
        <v>28</v>
      </c>
      <c r="AE52" s="1">
        <v>0.48128293456136795</v>
      </c>
      <c r="AF52" s="1">
        <v>0.71235950144705851</v>
      </c>
      <c r="AG52" s="1">
        <v>1.6444414190349725</v>
      </c>
    </row>
    <row r="53" spans="8:33" x14ac:dyDescent="0.2">
      <c r="I53">
        <v>929.99587399999996</v>
      </c>
      <c r="J53">
        <v>-17143.995610999998</v>
      </c>
      <c r="K53">
        <v>74805.490187999996</v>
      </c>
      <c r="L53">
        <v>-1.188223</v>
      </c>
      <c r="M53">
        <v>34.972704</v>
      </c>
      <c r="N53">
        <v>208.92146399999999</v>
      </c>
      <c r="O53">
        <v>10.23818</v>
      </c>
      <c r="P53">
        <v>2908</v>
      </c>
      <c r="Q53">
        <v>812</v>
      </c>
      <c r="R53">
        <f>Q53/(Q53+P53)</f>
        <v>0.21827956989247313</v>
      </c>
      <c r="S53">
        <f>-4.062-2.5481*R53</f>
        <v>-4.6181981720430105</v>
      </c>
      <c r="T53">
        <f>J53-(SUM(P53:Q53)*S53)</f>
        <v>35.70158900000024</v>
      </c>
      <c r="U53">
        <f>T53/(2*M53*O53)</f>
        <v>4.9854639190432003E-2</v>
      </c>
      <c r="V53">
        <f>U53*16.02</f>
        <v>0.79867131983072071</v>
      </c>
      <c r="X53" t="s">
        <v>55</v>
      </c>
      <c r="Y53" s="20">
        <v>0.56255936704926879</v>
      </c>
      <c r="Z53" s="1">
        <v>0.47237106811470675</v>
      </c>
    </row>
    <row r="54" spans="8:33" x14ac:dyDescent="0.2">
      <c r="V54" s="1">
        <f>AVERAGE(V49:V53)</f>
        <v>0.71298139768847357</v>
      </c>
      <c r="W54">
        <f>STDEV(V49:V53)</f>
        <v>6.107008509740753E-2</v>
      </c>
      <c r="X54" t="s">
        <v>111</v>
      </c>
      <c r="Y54" s="20">
        <v>0.65398618906141481</v>
      </c>
      <c r="Z54" s="1">
        <v>0.64092956228742481</v>
      </c>
      <c r="AA54" s="1"/>
      <c r="AB54" s="1"/>
    </row>
    <row r="55" spans="8:33" x14ac:dyDescent="0.2">
      <c r="H55" t="s">
        <v>55</v>
      </c>
      <c r="I55">
        <v>867.60331599999995</v>
      </c>
      <c r="J55">
        <v>-18041.781684000001</v>
      </c>
      <c r="K55">
        <v>78379.518951999999</v>
      </c>
      <c r="L55">
        <v>-1.1681060000000001</v>
      </c>
      <c r="M55">
        <v>30.969595999999999</v>
      </c>
      <c r="N55">
        <v>184.836465</v>
      </c>
      <c r="O55">
        <v>13.692444999999999</v>
      </c>
      <c r="P55">
        <v>3036</v>
      </c>
      <c r="Q55">
        <v>868</v>
      </c>
      <c r="R55">
        <f>Q55/(Q55+P55)</f>
        <v>0.2223360655737705</v>
      </c>
      <c r="S55">
        <f>-4.062-2.5481*R55</f>
        <v>-4.6285345286885251</v>
      </c>
      <c r="T55">
        <f>J55-(SUM(P55:Q55)*S55)</f>
        <v>28.017115999999078</v>
      </c>
      <c r="U55">
        <f>T55/(2*M55*O55)</f>
        <v>3.3035195970238566E-2</v>
      </c>
      <c r="V55">
        <f>U55*16.02</f>
        <v>0.52922383944322182</v>
      </c>
      <c r="AA55" s="1"/>
      <c r="AB55" s="1"/>
    </row>
    <row r="56" spans="8:33" x14ac:dyDescent="0.2">
      <c r="I56">
        <v>867.37728900000002</v>
      </c>
      <c r="J56">
        <v>-17968.873650000001</v>
      </c>
      <c r="K56">
        <v>78553.831126000005</v>
      </c>
      <c r="L56">
        <v>-0.99343599999999999</v>
      </c>
      <c r="M56">
        <v>31.03735</v>
      </c>
      <c r="N56">
        <v>185.06053800000001</v>
      </c>
      <c r="O56">
        <v>13.676372000000001</v>
      </c>
      <c r="P56">
        <v>3063</v>
      </c>
      <c r="Q56">
        <v>841</v>
      </c>
      <c r="R56">
        <f>Q56/(Q56+P56)</f>
        <v>0.21542008196721313</v>
      </c>
      <c r="S56">
        <f>-4.062-2.5481*R56</f>
        <v>-4.610911910860656</v>
      </c>
      <c r="T56">
        <f>J56-(SUM(P56:Q56)*S56)</f>
        <v>32.12644999999975</v>
      </c>
      <c r="U56">
        <f>T56/(2*M56*O56)</f>
        <v>3.7842272069592842E-2</v>
      </c>
      <c r="V56">
        <f>U56*16.02</f>
        <v>0.60623319855487734</v>
      </c>
      <c r="AA56" s="1"/>
      <c r="AB56" s="1"/>
    </row>
    <row r="57" spans="8:33" x14ac:dyDescent="0.2">
      <c r="I57">
        <v>867.53904199999999</v>
      </c>
      <c r="J57">
        <v>-18056.013124000001</v>
      </c>
      <c r="K57">
        <v>78330.648180000004</v>
      </c>
      <c r="L57">
        <v>-1.013619</v>
      </c>
      <c r="M57">
        <v>30.9815</v>
      </c>
      <c r="N57">
        <v>184.85560699999999</v>
      </c>
      <c r="O57">
        <v>13.677235</v>
      </c>
      <c r="P57">
        <v>3029</v>
      </c>
      <c r="Q57">
        <v>875</v>
      </c>
      <c r="R57">
        <f>Q57/(Q57+P57)</f>
        <v>0.22412909836065573</v>
      </c>
      <c r="S57">
        <f>-4.062-2.5481*R57</f>
        <v>-4.6331033555327874</v>
      </c>
      <c r="T57">
        <f>J57-(SUM(P57:Q57)*S57)</f>
        <v>31.622375999999349</v>
      </c>
      <c r="U57">
        <f>T57/(2*M57*O57)</f>
        <v>3.7313307992624146E-2</v>
      </c>
      <c r="V57">
        <f>U57*16.02</f>
        <v>0.59775919404183886</v>
      </c>
      <c r="AB57" s="1"/>
    </row>
    <row r="58" spans="8:33" x14ac:dyDescent="0.2">
      <c r="I58">
        <v>867.43296599999996</v>
      </c>
      <c r="J58">
        <v>-17942.121338000001</v>
      </c>
      <c r="K58">
        <v>78623.582702</v>
      </c>
      <c r="L58">
        <v>-0.89739400000000002</v>
      </c>
      <c r="M58">
        <v>31.040088000000001</v>
      </c>
      <c r="N58">
        <v>184.99490299999999</v>
      </c>
      <c r="O58">
        <v>13.692157999999999</v>
      </c>
      <c r="P58">
        <v>3075</v>
      </c>
      <c r="Q58">
        <v>829</v>
      </c>
      <c r="R58">
        <f>Q58/(Q58+P58)</f>
        <v>0.21234631147540983</v>
      </c>
      <c r="S58">
        <f>-4.062-2.5481*R58</f>
        <v>-4.6030796362704915</v>
      </c>
      <c r="T58">
        <f>J58-(SUM(P58:Q58)*S58)</f>
        <v>28.30156199999692</v>
      </c>
      <c r="U58">
        <f>T58/(2*M58*O58)</f>
        <v>3.3295501752197761E-2</v>
      </c>
      <c r="V58">
        <f>U58*16.02</f>
        <v>0.53339393807020807</v>
      </c>
    </row>
    <row r="59" spans="8:33" x14ac:dyDescent="0.2">
      <c r="I59">
        <v>867.43807100000004</v>
      </c>
      <c r="J59">
        <v>-17964.394026999998</v>
      </c>
      <c r="K59">
        <v>78565.778533999997</v>
      </c>
      <c r="L59">
        <v>-1.0000260000000001</v>
      </c>
      <c r="M59">
        <v>31.014060000000001</v>
      </c>
      <c r="N59">
        <v>184.977385</v>
      </c>
      <c r="O59">
        <v>13.694870999999999</v>
      </c>
      <c r="P59">
        <v>3066</v>
      </c>
      <c r="Q59">
        <v>838</v>
      </c>
      <c r="R59">
        <f>Q59/(Q59+P59)</f>
        <v>0.21465163934426229</v>
      </c>
      <c r="S59">
        <f>-4.062-2.5481*R59</f>
        <v>-4.6089538422131149</v>
      </c>
      <c r="T59">
        <f>J59-(SUM(P59:Q59)*S59)</f>
        <v>28.961773000002722</v>
      </c>
      <c r="U59">
        <f>T59/(2*M59*O59)</f>
        <v>3.409404900975016E-2</v>
      </c>
      <c r="V59">
        <f>U59*16.02</f>
        <v>0.54618666513619751</v>
      </c>
    </row>
    <row r="60" spans="8:33" x14ac:dyDescent="0.2">
      <c r="V60" s="1">
        <f>AVERAGE(V55:V59)</f>
        <v>0.56255936704926879</v>
      </c>
      <c r="W60">
        <f>STDEV(V55:V59)</f>
        <v>3.6661888913855731E-2</v>
      </c>
    </row>
    <row r="61" spans="8:33" x14ac:dyDescent="0.2">
      <c r="H61" t="s">
        <v>111</v>
      </c>
      <c r="I61">
        <v>867.55684799999995</v>
      </c>
      <c r="J61">
        <v>-17689.824432000001</v>
      </c>
      <c r="K61">
        <v>76700.304111999998</v>
      </c>
      <c r="L61">
        <v>-1.037687</v>
      </c>
      <c r="M61">
        <v>30.687764999999999</v>
      </c>
      <c r="N61">
        <v>183.00107600000001</v>
      </c>
      <c r="O61">
        <v>13.657768000000001</v>
      </c>
      <c r="P61">
        <v>2966</v>
      </c>
      <c r="Q61">
        <v>858</v>
      </c>
      <c r="R61">
        <f>Q61/(Q61+P61)</f>
        <v>0.22437238493723849</v>
      </c>
      <c r="S61">
        <f>-4.062-2.5481*R61</f>
        <v>-4.6337232740585774</v>
      </c>
      <c r="T61">
        <f>J61-(SUM(P61:Q61)*S61)</f>
        <v>29.533368000000337</v>
      </c>
      <c r="U61">
        <f>T61/(2*M61*O61)</f>
        <v>3.5232056218715425E-2</v>
      </c>
      <c r="V61">
        <f>U61*16.02</f>
        <v>0.5644175406238211</v>
      </c>
    </row>
    <row r="62" spans="8:33" x14ac:dyDescent="0.2">
      <c r="I62">
        <v>867.41700200000002</v>
      </c>
      <c r="J62">
        <v>-17596.044795999998</v>
      </c>
      <c r="K62">
        <v>76920.009915999995</v>
      </c>
      <c r="L62">
        <v>-0.92560900000000002</v>
      </c>
      <c r="M62">
        <v>30.732202999999998</v>
      </c>
      <c r="N62">
        <v>183.01764399999999</v>
      </c>
      <c r="O62">
        <v>13.675841</v>
      </c>
      <c r="P62">
        <v>2996</v>
      </c>
      <c r="Q62">
        <v>826</v>
      </c>
      <c r="R62">
        <f>Q62/(Q62+P62)</f>
        <v>0.21611721611721613</v>
      </c>
      <c r="S62">
        <f>-4.062-2.5481*R62</f>
        <v>-4.612688278388279</v>
      </c>
      <c r="T62">
        <f>J62-(SUM(P62:Q62)*S62)</f>
        <v>33.649804000004224</v>
      </c>
      <c r="U62">
        <f>T62/(2*M62*O62)</f>
        <v>4.0031771320524039E-2</v>
      </c>
      <c r="V62">
        <f>U62*16.02</f>
        <v>0.64130897655479513</v>
      </c>
    </row>
    <row r="63" spans="8:33" x14ac:dyDescent="0.2">
      <c r="I63">
        <v>867.49880800000005</v>
      </c>
      <c r="J63">
        <v>-17681.229844000001</v>
      </c>
      <c r="K63">
        <v>76753.003370999999</v>
      </c>
      <c r="L63">
        <v>-0.99286700000000006</v>
      </c>
      <c r="M63">
        <v>30.690662</v>
      </c>
      <c r="N63">
        <v>183.02678</v>
      </c>
      <c r="O63">
        <v>13.66394</v>
      </c>
      <c r="P63">
        <v>2966</v>
      </c>
      <c r="Q63">
        <v>858</v>
      </c>
      <c r="R63">
        <f>Q63/(Q63+P63)</f>
        <v>0.22437238493723849</v>
      </c>
      <c r="S63">
        <f>-4.062-2.5481*R63</f>
        <v>-4.6337232740585774</v>
      </c>
      <c r="T63">
        <f>J63-(SUM(P63:Q63)*S63)</f>
        <v>38.127956000000268</v>
      </c>
      <c r="U63">
        <f>T63/(2*M63*O63)</f>
        <v>4.5460198272719604E-2</v>
      </c>
      <c r="V63">
        <f>U63*16.02</f>
        <v>0.72827237632896802</v>
      </c>
    </row>
    <row r="64" spans="8:33" x14ac:dyDescent="0.2">
      <c r="I64">
        <v>867.85922700000003</v>
      </c>
      <c r="J64">
        <v>-17572.263488000001</v>
      </c>
      <c r="K64">
        <v>77046.262703</v>
      </c>
      <c r="L64">
        <v>-0.98465400000000003</v>
      </c>
      <c r="M64">
        <v>30.720337000000001</v>
      </c>
      <c r="N64">
        <v>183.044479</v>
      </c>
      <c r="O64">
        <v>13.701574000000001</v>
      </c>
      <c r="P64">
        <v>3010</v>
      </c>
      <c r="Q64">
        <v>814</v>
      </c>
      <c r="R64">
        <f>Q64/(Q64+P64)</f>
        <v>0.21286610878661089</v>
      </c>
      <c r="S64">
        <f>-4.062-2.5481*R64</f>
        <v>-4.6044041317991633</v>
      </c>
      <c r="T64">
        <f>J64-(SUM(P64:Q64)*S64)</f>
        <v>34.977911999998469</v>
      </c>
      <c r="U64">
        <f>T64/(2*M64*O64)</f>
        <v>4.1549657573750891E-2</v>
      </c>
      <c r="V64">
        <f>U64*16.02</f>
        <v>0.6656255143314892</v>
      </c>
    </row>
    <row r="65" spans="8:23" x14ac:dyDescent="0.2">
      <c r="I65">
        <v>867.63190199999997</v>
      </c>
      <c r="J65">
        <v>-17605.199933</v>
      </c>
      <c r="K65">
        <v>76971.827130000005</v>
      </c>
      <c r="L65">
        <v>-0.869367</v>
      </c>
      <c r="M65">
        <v>30.744678</v>
      </c>
      <c r="N65">
        <v>183.164624</v>
      </c>
      <c r="O65">
        <v>13.668521999999999</v>
      </c>
      <c r="P65">
        <v>2997</v>
      </c>
      <c r="Q65">
        <v>827</v>
      </c>
      <c r="R65">
        <f>Q65/(Q65+P65)</f>
        <v>0.21626569037656904</v>
      </c>
      <c r="S65">
        <f>-4.062-2.5481*R65</f>
        <v>-4.6130666056485357</v>
      </c>
      <c r="T65">
        <f>J65-(SUM(P65:Q65)*S65)</f>
        <v>35.166766999998799</v>
      </c>
      <c r="U65">
        <f>T65/(2*M65*O65)</f>
        <v>4.1841856271410779E-2</v>
      </c>
      <c r="V65">
        <f>U65*16.02</f>
        <v>0.67030653746800062</v>
      </c>
    </row>
    <row r="66" spans="8:23" x14ac:dyDescent="0.2">
      <c r="V66" s="1">
        <f>AVERAGE(V61:V65)</f>
        <v>0.65398618906141481</v>
      </c>
      <c r="W66">
        <f>STDEV(V61:V65)</f>
        <v>5.9379120453826567E-2</v>
      </c>
    </row>
    <row r="67" spans="8:23" x14ac:dyDescent="0.2">
      <c r="H67" t="s">
        <v>29</v>
      </c>
    </row>
    <row r="68" spans="8:23" x14ac:dyDescent="0.2">
      <c r="I68" t="s">
        <v>18</v>
      </c>
      <c r="J68" t="s">
        <v>5</v>
      </c>
      <c r="K68" t="s">
        <v>7</v>
      </c>
      <c r="L68" t="s">
        <v>19</v>
      </c>
      <c r="M68" t="s">
        <v>20</v>
      </c>
      <c r="N68" t="s">
        <v>21</v>
      </c>
      <c r="O68" t="s">
        <v>22</v>
      </c>
      <c r="P68" t="s">
        <v>26</v>
      </c>
      <c r="Q68" t="s">
        <v>12</v>
      </c>
      <c r="R68" t="s">
        <v>23</v>
      </c>
      <c r="S68" t="s">
        <v>23</v>
      </c>
    </row>
    <row r="69" spans="8:23" x14ac:dyDescent="0.2">
      <c r="H69" t="s">
        <v>17</v>
      </c>
      <c r="I69">
        <v>929.53244199999995</v>
      </c>
      <c r="J69">
        <v>-30917.565549999999</v>
      </c>
      <c r="K69">
        <v>166194.97844100001</v>
      </c>
      <c r="L69">
        <v>-0.68842599999999998</v>
      </c>
      <c r="M69">
        <v>31.494720999999998</v>
      </c>
      <c r="N69">
        <v>187.40982500000001</v>
      </c>
      <c r="O69">
        <v>28.157142</v>
      </c>
      <c r="P69">
        <f>$D$16</f>
        <v>-4.0670907491499992</v>
      </c>
      <c r="Q69">
        <f>J69-7616*P69</f>
        <v>57.397595526395889</v>
      </c>
      <c r="R69">
        <f>Q69/(2*M69*O69)</f>
        <v>3.2362150061680167E-2</v>
      </c>
      <c r="S69">
        <f>R69*16.02</f>
        <v>0.51844164398811632</v>
      </c>
    </row>
    <row r="70" spans="8:23" x14ac:dyDescent="0.2">
      <c r="I70">
        <v>929.65056100000004</v>
      </c>
      <c r="J70">
        <v>-30909.246216</v>
      </c>
      <c r="K70">
        <v>166191.67041200001</v>
      </c>
      <c r="L70">
        <v>-0.71058100000000002</v>
      </c>
      <c r="M70">
        <v>31.482431999999999</v>
      </c>
      <c r="N70">
        <v>187.433279</v>
      </c>
      <c r="O70">
        <v>28.164038999999999</v>
      </c>
      <c r="P70">
        <f>$D$16</f>
        <v>-4.0670907491499992</v>
      </c>
      <c r="Q70">
        <f>J70-7616*P70</f>
        <v>65.716929526395688</v>
      </c>
      <c r="R70">
        <f>Q70/(2*M70*O70)</f>
        <v>3.7058177498465558E-2</v>
      </c>
      <c r="S70">
        <f>R70*16.02</f>
        <v>0.59367200352541827</v>
      </c>
    </row>
    <row r="71" spans="8:23" x14ac:dyDescent="0.2">
      <c r="I71">
        <v>929.35407399999997</v>
      </c>
      <c r="J71">
        <v>-30912.164331</v>
      </c>
      <c r="K71">
        <v>166190.348443</v>
      </c>
      <c r="L71">
        <v>-0.55295499999999997</v>
      </c>
      <c r="M71">
        <v>31.493783000000001</v>
      </c>
      <c r="N71">
        <v>187.34932599999999</v>
      </c>
      <c r="O71">
        <v>28.166284000000001</v>
      </c>
      <c r="P71">
        <f>$D$16</f>
        <v>-4.0670907491499992</v>
      </c>
      <c r="Q71">
        <f>J71-7616*P71</f>
        <v>62.79881452639529</v>
      </c>
      <c r="R71">
        <f>Q71/(2*M71*O71)</f>
        <v>3.5397049658024787E-2</v>
      </c>
      <c r="S71">
        <f>R71*16.02</f>
        <v>0.56706073552155711</v>
      </c>
    </row>
    <row r="72" spans="8:23" x14ac:dyDescent="0.2">
      <c r="I72">
        <v>929.48947499999997</v>
      </c>
      <c r="J72">
        <v>-30917.684829000002</v>
      </c>
      <c r="K72">
        <v>166178.14966900001</v>
      </c>
      <c r="L72">
        <v>-0.51624800000000004</v>
      </c>
      <c r="M72">
        <v>31.476044000000002</v>
      </c>
      <c r="N72">
        <v>187.359723</v>
      </c>
      <c r="O72">
        <v>28.178526999999999</v>
      </c>
      <c r="P72">
        <f>$D$16</f>
        <v>-4.0670907491499992</v>
      </c>
      <c r="Q72">
        <f>J72-7616*P72</f>
        <v>57.27831652639361</v>
      </c>
      <c r="R72">
        <f>Q72/(2*M72*O72)</f>
        <v>3.2289537063806405E-2</v>
      </c>
      <c r="S72">
        <f>R72*16.02</f>
        <v>0.51727838376217861</v>
      </c>
    </row>
    <row r="73" spans="8:23" x14ac:dyDescent="0.2">
      <c r="I73">
        <v>929.86274800000001</v>
      </c>
      <c r="J73">
        <v>-30911.474673000001</v>
      </c>
      <c r="K73">
        <v>166173.78913300001</v>
      </c>
      <c r="L73">
        <v>-0.53027500000000005</v>
      </c>
      <c r="M73">
        <v>31.481717</v>
      </c>
      <c r="N73">
        <v>187.352543</v>
      </c>
      <c r="O73">
        <v>28.173787999999998</v>
      </c>
      <c r="P73">
        <f>$D$16</f>
        <v>-4.0670907491499992</v>
      </c>
      <c r="Q73">
        <f>J73-7616*P73</f>
        <v>63.488472526394617</v>
      </c>
      <c r="R73">
        <f>Q73/(2*M73*O73)</f>
        <v>3.578996139248275E-2</v>
      </c>
      <c r="S73">
        <f>R73*16.02</f>
        <v>0.57335518150757359</v>
      </c>
    </row>
    <row r="74" spans="8:23" x14ac:dyDescent="0.2">
      <c r="S74" s="1">
        <f>AVERAGE(S69:S73)</f>
        <v>0.55396158966096887</v>
      </c>
    </row>
    <row r="75" spans="8:23" x14ac:dyDescent="0.2">
      <c r="H75" t="s">
        <v>27</v>
      </c>
      <c r="I75">
        <v>929.827853</v>
      </c>
      <c r="J75">
        <v>-19495.850934999999</v>
      </c>
      <c r="K75">
        <v>104786.018192</v>
      </c>
      <c r="L75">
        <v>-0.881135</v>
      </c>
      <c r="M75">
        <v>33.40231</v>
      </c>
      <c r="N75">
        <v>222.78086400000001</v>
      </c>
      <c r="O75">
        <v>14.081534</v>
      </c>
      <c r="P75">
        <f>$D$16</f>
        <v>-4.0670907491499992</v>
      </c>
      <c r="Q75">
        <f>J75-4800*P75</f>
        <v>26.184660919996531</v>
      </c>
      <c r="R75">
        <f>Q75/(2*M75*O75)</f>
        <v>2.7834952739241497E-2</v>
      </c>
      <c r="S75">
        <f>R75*16.02</f>
        <v>0.4459159428826488</v>
      </c>
    </row>
    <row r="76" spans="8:23" x14ac:dyDescent="0.2">
      <c r="I76">
        <v>929.53936199999998</v>
      </c>
      <c r="J76">
        <v>-19499.081179000001</v>
      </c>
      <c r="K76">
        <v>104790.296185</v>
      </c>
      <c r="L76">
        <v>-0.89255499999999999</v>
      </c>
      <c r="M76">
        <v>33.412889</v>
      </c>
      <c r="N76">
        <v>222.94799699999999</v>
      </c>
      <c r="O76">
        <v>14.067102</v>
      </c>
      <c r="P76">
        <f>$D$16</f>
        <v>-4.0670907491499992</v>
      </c>
      <c r="Q76">
        <f>J76-4800*P76</f>
        <v>22.954416919994401</v>
      </c>
      <c r="R76">
        <f>Q76/(2*M76*O76)</f>
        <v>2.4418422582612936E-2</v>
      </c>
      <c r="S76">
        <f>R76*16.02</f>
        <v>0.3911831297734592</v>
      </c>
    </row>
    <row r="77" spans="8:23" x14ac:dyDescent="0.2">
      <c r="I77">
        <v>929.83811200000002</v>
      </c>
      <c r="J77">
        <v>-19499.352304</v>
      </c>
      <c r="K77">
        <v>104776.048912</v>
      </c>
      <c r="L77">
        <v>-0.97840499999999997</v>
      </c>
      <c r="M77">
        <v>33.419415000000001</v>
      </c>
      <c r="N77">
        <v>222.88439299999999</v>
      </c>
      <c r="O77">
        <v>14.066449</v>
      </c>
      <c r="P77">
        <f>$D$16</f>
        <v>-4.0670907491499992</v>
      </c>
      <c r="Q77">
        <f>J77-4800*P77</f>
        <v>22.683291919995099</v>
      </c>
      <c r="R77">
        <f>Q77/(2*M77*O77)</f>
        <v>2.4126413502529281E-2</v>
      </c>
      <c r="S77">
        <f>R77*16.02</f>
        <v>0.38650514431051908</v>
      </c>
    </row>
    <row r="78" spans="8:23" x14ac:dyDescent="0.2">
      <c r="I78">
        <v>929.72008000000005</v>
      </c>
      <c r="J78">
        <v>-19495.217847</v>
      </c>
      <c r="K78">
        <v>104757.67881100001</v>
      </c>
      <c r="L78">
        <v>-0.95942400000000005</v>
      </c>
      <c r="M78">
        <v>33.418187000000003</v>
      </c>
      <c r="N78">
        <v>222.789804</v>
      </c>
      <c r="O78">
        <v>14.070474000000001</v>
      </c>
      <c r="P78">
        <f>$D$16</f>
        <v>-4.0670907491499992</v>
      </c>
      <c r="Q78">
        <f>J78-4800*P78</f>
        <v>26.817748919995211</v>
      </c>
      <c r="R78">
        <f>Q78/(2*M78*O78)</f>
        <v>2.8516794883471273E-2</v>
      </c>
      <c r="S78">
        <f>R78*16.02</f>
        <v>0.45683905403320979</v>
      </c>
    </row>
    <row r="79" spans="8:23" x14ac:dyDescent="0.2">
      <c r="I79">
        <v>929.62968799999999</v>
      </c>
      <c r="J79">
        <v>-19497.172616</v>
      </c>
      <c r="K79">
        <v>104771.90366500001</v>
      </c>
      <c r="L79">
        <v>-0.90636300000000003</v>
      </c>
      <c r="M79">
        <v>33.413682999999999</v>
      </c>
      <c r="N79">
        <v>222.79612399999999</v>
      </c>
      <c r="O79">
        <v>14.073893999999999</v>
      </c>
      <c r="P79">
        <f>$D$16</f>
        <v>-4.0670907491499992</v>
      </c>
      <c r="Q79">
        <f>J79-4800*P79</f>
        <v>24.862979919995269</v>
      </c>
      <c r="R79">
        <f>Q79/(2*M79*O79)</f>
        <v>2.6435319258693368E-2</v>
      </c>
      <c r="S79">
        <f>R79*16.02</f>
        <v>0.42349381452426776</v>
      </c>
    </row>
    <row r="80" spans="8:23" x14ac:dyDescent="0.2">
      <c r="S80" s="1">
        <f>AVERAGE(S75:S79)</f>
        <v>0.42078741710482098</v>
      </c>
    </row>
    <row r="81" spans="8:32" x14ac:dyDescent="0.2">
      <c r="H81" t="s">
        <v>28</v>
      </c>
      <c r="I81">
        <v>929.31067800000005</v>
      </c>
      <c r="J81">
        <v>-30210.743673000001</v>
      </c>
      <c r="K81">
        <v>162381.988885</v>
      </c>
      <c r="L81">
        <v>-0.55101500000000003</v>
      </c>
      <c r="M81">
        <v>35.911729000000001</v>
      </c>
      <c r="N81">
        <v>213.985039</v>
      </c>
      <c r="O81">
        <v>21.130941</v>
      </c>
      <c r="P81">
        <f>$D$16</f>
        <v>-4.0670907491499992</v>
      </c>
      <c r="Q81">
        <f>J81-7440*P81</f>
        <v>48.411500675993011</v>
      </c>
      <c r="R81">
        <f>Q81/(2*M81*O81)</f>
        <v>3.1897995840141344E-2</v>
      </c>
      <c r="S81">
        <f>R81*16.02</f>
        <v>0.51100589335906432</v>
      </c>
    </row>
    <row r="82" spans="8:32" x14ac:dyDescent="0.2">
      <c r="I82">
        <v>929.62340300000005</v>
      </c>
      <c r="J82">
        <v>-30206.260935999999</v>
      </c>
      <c r="K82">
        <v>162354.25051499999</v>
      </c>
      <c r="L82">
        <v>-0.588974</v>
      </c>
      <c r="M82">
        <v>35.904533999999998</v>
      </c>
      <c r="N82">
        <v>213.96766700000001</v>
      </c>
      <c r="O82">
        <v>21.133293999999999</v>
      </c>
      <c r="P82">
        <f>$D$16</f>
        <v>-4.0670907491499992</v>
      </c>
      <c r="Q82">
        <f>J82-7440*P82</f>
        <v>52.8942376759951</v>
      </c>
      <c r="R82">
        <f>Q82/(2*M82*O82)</f>
        <v>3.4854742402840817E-2</v>
      </c>
      <c r="S82">
        <f>R82*16.02</f>
        <v>0.55837297329350988</v>
      </c>
    </row>
    <row r="83" spans="8:32" x14ac:dyDescent="0.2">
      <c r="I83">
        <v>929.52085699999998</v>
      </c>
      <c r="J83">
        <v>-30204.672828999999</v>
      </c>
      <c r="K83">
        <v>162345.60690000001</v>
      </c>
      <c r="L83">
        <v>-0.54457800000000001</v>
      </c>
      <c r="M83">
        <v>35.90164</v>
      </c>
      <c r="N83">
        <v>213.90643600000001</v>
      </c>
      <c r="O83">
        <v>21.13992</v>
      </c>
      <c r="P83">
        <f>$D$16</f>
        <v>-4.0670907491499992</v>
      </c>
      <c r="Q83">
        <f>J83-7440*P83</f>
        <v>54.482344675994682</v>
      </c>
      <c r="R83">
        <f>Q83/(2*M83*O83)</f>
        <v>3.5892868389849043E-2</v>
      </c>
      <c r="S83">
        <f>R83*16.02</f>
        <v>0.57500375160538164</v>
      </c>
    </row>
    <row r="84" spans="8:32" x14ac:dyDescent="0.2">
      <c r="I84">
        <v>929.63954000000001</v>
      </c>
      <c r="J84">
        <v>-30207.146894000001</v>
      </c>
      <c r="K84">
        <v>162328.54769499999</v>
      </c>
      <c r="L84">
        <v>-0.52504700000000004</v>
      </c>
      <c r="M84">
        <v>35.913412999999998</v>
      </c>
      <c r="N84">
        <v>213.877658</v>
      </c>
      <c r="O84">
        <v>21.133617000000001</v>
      </c>
      <c r="P84">
        <f>$D$16</f>
        <v>-4.0670907491499992</v>
      </c>
      <c r="Q84">
        <f>J84-7440*P84</f>
        <v>52.008279675992526</v>
      </c>
      <c r="R84">
        <f>Q84/(2*M84*O84)</f>
        <v>3.4261942380811441E-2</v>
      </c>
      <c r="S84">
        <f>R84*16.02</f>
        <v>0.54887631694059924</v>
      </c>
    </row>
    <row r="85" spans="8:32" x14ac:dyDescent="0.2">
      <c r="I85">
        <v>929.69672800000001</v>
      </c>
      <c r="J85">
        <v>-30210.929746999998</v>
      </c>
      <c r="K85">
        <v>162364.53725600001</v>
      </c>
      <c r="L85">
        <v>-0.541516</v>
      </c>
      <c r="M85">
        <v>35.904139999999998</v>
      </c>
      <c r="N85">
        <v>213.918778</v>
      </c>
      <c r="O85">
        <v>21.139683000000002</v>
      </c>
      <c r="P85">
        <f>$D$16</f>
        <v>-4.0670907491499992</v>
      </c>
      <c r="Q85">
        <f>J85-7440*P85</f>
        <v>48.22542667599555</v>
      </c>
      <c r="R85">
        <f>Q85/(2*M85*O85)</f>
        <v>3.1768966292939578E-2</v>
      </c>
      <c r="S85">
        <f>R85*16.02</f>
        <v>0.50893884001289202</v>
      </c>
    </row>
    <row r="86" spans="8:32" x14ac:dyDescent="0.2">
      <c r="S86" s="1">
        <f>AVERAGE(S81:S85)</f>
        <v>0.54043955504228935</v>
      </c>
    </row>
    <row r="87" spans="8:32" x14ac:dyDescent="0.2">
      <c r="H87" t="s">
        <v>55</v>
      </c>
      <c r="I87">
        <v>867.52811699999995</v>
      </c>
      <c r="J87">
        <v>-15852.178475000001</v>
      </c>
      <c r="K87">
        <v>85140.490527999995</v>
      </c>
      <c r="L87">
        <v>-0.99388500000000002</v>
      </c>
      <c r="M87">
        <v>31.875011000000001</v>
      </c>
      <c r="N87">
        <v>189.43820299999999</v>
      </c>
      <c r="O87">
        <v>14.100033</v>
      </c>
      <c r="P87">
        <f>$D$16</f>
        <v>-4.0670907491499992</v>
      </c>
      <c r="Q87">
        <f>J87-3904*P87</f>
        <v>25.743809681596758</v>
      </c>
      <c r="R87">
        <f>Q87/(2*M87*O87)</f>
        <v>2.8639956107527655E-2</v>
      </c>
      <c r="S87">
        <f>R87*16.02</f>
        <v>0.458812096842593</v>
      </c>
    </row>
    <row r="88" spans="8:32" x14ac:dyDescent="0.2">
      <c r="I88">
        <v>867.46906300000001</v>
      </c>
      <c r="J88">
        <v>-15849.488507</v>
      </c>
      <c r="K88">
        <v>85139.212832000005</v>
      </c>
      <c r="L88">
        <v>-1.0207740000000001</v>
      </c>
      <c r="M88">
        <v>31.873256000000001</v>
      </c>
      <c r="N88">
        <v>189.40734900000001</v>
      </c>
      <c r="O88">
        <v>14.102891</v>
      </c>
      <c r="P88">
        <f>$D$16</f>
        <v>-4.0670907491499992</v>
      </c>
      <c r="Q88">
        <f>J88-3904*P88</f>
        <v>28.433777681597348</v>
      </c>
      <c r="R88">
        <f>Q88/(2*M88*O88)</f>
        <v>3.1627873094792529E-2</v>
      </c>
      <c r="S88">
        <f>R88*16.02</f>
        <v>0.50667852697857629</v>
      </c>
    </row>
    <row r="89" spans="8:32" x14ac:dyDescent="0.2">
      <c r="I89">
        <v>867.62511099999995</v>
      </c>
      <c r="J89">
        <v>-15850.488547000001</v>
      </c>
      <c r="K89">
        <v>85142.273509000006</v>
      </c>
      <c r="L89">
        <v>-0.93772200000000006</v>
      </c>
      <c r="M89">
        <v>31.846309999999999</v>
      </c>
      <c r="N89">
        <v>189.52622700000001</v>
      </c>
      <c r="O89">
        <v>14.106491999999999</v>
      </c>
      <c r="P89">
        <f>$D$16</f>
        <v>-4.0670907491499992</v>
      </c>
      <c r="Q89">
        <f>J89-3904*P89</f>
        <v>27.43373768159654</v>
      </c>
      <c r="R89">
        <f>Q89/(2*M89*O89)</f>
        <v>3.05335176616457E-2</v>
      </c>
      <c r="S89">
        <f>R89*16.02</f>
        <v>0.48914695293956412</v>
      </c>
      <c r="Y89" t="s">
        <v>15</v>
      </c>
      <c r="AD89" t="s">
        <v>3</v>
      </c>
    </row>
    <row r="90" spans="8:32" x14ac:dyDescent="0.2">
      <c r="I90">
        <v>867.48312199999998</v>
      </c>
      <c r="J90">
        <v>-15854.342606</v>
      </c>
      <c r="K90">
        <v>85144.750866000002</v>
      </c>
      <c r="L90">
        <v>-1.048986</v>
      </c>
      <c r="M90">
        <v>31.860486999999999</v>
      </c>
      <c r="N90">
        <v>189.46203600000001</v>
      </c>
      <c r="O90">
        <v>14.105395</v>
      </c>
      <c r="P90">
        <f>$D$16</f>
        <v>-4.0670907491499992</v>
      </c>
      <c r="Q90">
        <f>J90-3904*P90</f>
        <v>23.579678681597215</v>
      </c>
      <c r="R90">
        <f>Q90/(2*M90*O90)</f>
        <v>2.6234344953281703E-2</v>
      </c>
      <c r="S90">
        <f>R90*16.02</f>
        <v>0.42027420615157285</v>
      </c>
      <c r="Y90" t="s">
        <v>32</v>
      </c>
      <c r="Z90" t="s">
        <v>29</v>
      </c>
      <c r="AA90" t="s">
        <v>30</v>
      </c>
      <c r="AD90" t="s">
        <v>32</v>
      </c>
      <c r="AE90" t="s">
        <v>29</v>
      </c>
      <c r="AF90" t="s">
        <v>30</v>
      </c>
    </row>
    <row r="91" spans="8:32" x14ac:dyDescent="0.2">
      <c r="I91">
        <v>867.67258100000004</v>
      </c>
      <c r="J91">
        <v>-15850.581945</v>
      </c>
      <c r="K91">
        <v>85138.840463999994</v>
      </c>
      <c r="L91">
        <v>-0.93593999999999999</v>
      </c>
      <c r="M91">
        <v>31.883597000000002</v>
      </c>
      <c r="N91">
        <v>189.309245</v>
      </c>
      <c r="O91">
        <v>14.105565</v>
      </c>
      <c r="P91">
        <f>$D$16</f>
        <v>-4.0670907491499992</v>
      </c>
      <c r="Q91">
        <f>J91-3904*P91</f>
        <v>27.34033968159747</v>
      </c>
      <c r="R91">
        <f>Q91/(2*M91*O91)</f>
        <v>3.03959773820991E-2</v>
      </c>
      <c r="S91">
        <f>R91*16.02</f>
        <v>0.48694355766122754</v>
      </c>
      <c r="X91" t="s">
        <v>17</v>
      </c>
      <c r="Y91" s="1">
        <v>1.5786790405602635</v>
      </c>
      <c r="Z91" s="1">
        <v>1.2383491451758224</v>
      </c>
      <c r="AA91" s="1">
        <v>4.7809255882189472</v>
      </c>
      <c r="AB91" s="1"/>
      <c r="AC91" t="s">
        <v>17</v>
      </c>
      <c r="AD91" s="1">
        <v>1.2040057515599389</v>
      </c>
      <c r="AE91" s="1">
        <v>1.1460402728520804</v>
      </c>
      <c r="AF91" s="1">
        <v>3.1299211276972807</v>
      </c>
    </row>
    <row r="92" spans="8:32" x14ac:dyDescent="0.2">
      <c r="S92" s="1">
        <f>AVERAGE(S87:S91)</f>
        <v>0.47237106811470675</v>
      </c>
      <c r="X92" t="s">
        <v>27</v>
      </c>
      <c r="Y92" s="1">
        <v>1.6291617569961918</v>
      </c>
      <c r="Z92" s="1">
        <v>1.2661057820168231</v>
      </c>
      <c r="AA92" s="1">
        <v>4.8438640596663927</v>
      </c>
      <c r="AB92" s="1"/>
      <c r="AC92" t="s">
        <v>27</v>
      </c>
      <c r="AD92" s="1">
        <v>1.2578833945446488</v>
      </c>
      <c r="AE92" s="1">
        <v>1.208499615153088</v>
      </c>
      <c r="AF92" s="1">
        <v>3.1748978393592968</v>
      </c>
    </row>
    <row r="93" spans="8:32" x14ac:dyDescent="0.2">
      <c r="H93" t="s">
        <v>111</v>
      </c>
      <c r="I93">
        <v>867.54113900000004</v>
      </c>
      <c r="J93">
        <v>-15514.351334999999</v>
      </c>
      <c r="K93">
        <v>83419.613574000003</v>
      </c>
      <c r="L93">
        <v>-0.97715099999999999</v>
      </c>
      <c r="M93">
        <v>31.580871999999999</v>
      </c>
      <c r="N93">
        <v>187.51496499999999</v>
      </c>
      <c r="O93">
        <v>14.086710999999999</v>
      </c>
      <c r="P93">
        <f>$D$16</f>
        <v>-4.0670907491499992</v>
      </c>
      <c r="Q93">
        <f>J93-3824*P93</f>
        <v>38.203689749598198</v>
      </c>
      <c r="R93">
        <f>Q93/(2*M93*O93)</f>
        <v>4.2937978246252541E-2</v>
      </c>
      <c r="S93">
        <f>R93*16.02</f>
        <v>0.68786641150496564</v>
      </c>
      <c r="X93" t="s">
        <v>28</v>
      </c>
      <c r="Y93" s="1">
        <v>1.6381693528636905</v>
      </c>
      <c r="Z93" s="1">
        <v>1.2851510516876756</v>
      </c>
      <c r="AA93" s="1">
        <v>4.8884868144795872</v>
      </c>
      <c r="AB93" s="1"/>
      <c r="AC93" t="s">
        <v>28</v>
      </c>
      <c r="AD93" s="1">
        <v>1.271018535210342</v>
      </c>
      <c r="AE93" s="1">
        <v>1.2304279933796887</v>
      </c>
      <c r="AF93" s="1">
        <v>3.1928323092375943</v>
      </c>
    </row>
    <row r="94" spans="8:32" x14ac:dyDescent="0.2">
      <c r="I94">
        <v>867.53190500000005</v>
      </c>
      <c r="J94">
        <v>-15518.061075</v>
      </c>
      <c r="K94">
        <v>83418.061843000003</v>
      </c>
      <c r="L94">
        <v>-0.95306000000000002</v>
      </c>
      <c r="M94">
        <v>31.564169</v>
      </c>
      <c r="N94">
        <v>187.677153</v>
      </c>
      <c r="O94">
        <v>14.08173</v>
      </c>
      <c r="P94">
        <f>$D$16</f>
        <v>-4.0670907491499992</v>
      </c>
      <c r="Q94">
        <f>J94-3824*P94</f>
        <v>34.493949749597959</v>
      </c>
      <c r="R94">
        <f>Q94/(2*M94*O94)</f>
        <v>3.8802754646691889E-2</v>
      </c>
      <c r="S94">
        <f>R94*16.02</f>
        <v>0.621620129440004</v>
      </c>
      <c r="X94">
        <v>100</v>
      </c>
      <c r="Y94" s="1">
        <v>1.6310236390185324</v>
      </c>
      <c r="Z94" s="1">
        <v>1.308266323894304</v>
      </c>
      <c r="AA94" s="1">
        <v>4.8846242298380975</v>
      </c>
      <c r="AB94" s="1"/>
      <c r="AC94">
        <v>100</v>
      </c>
      <c r="AD94" s="1">
        <v>1.2553897319714462</v>
      </c>
      <c r="AE94" s="1">
        <v>1.2152531709697258</v>
      </c>
      <c r="AF94" s="1">
        <v>3.1359820580461455</v>
      </c>
    </row>
    <row r="95" spans="8:32" x14ac:dyDescent="0.2">
      <c r="I95">
        <v>867.59130800000003</v>
      </c>
      <c r="J95">
        <v>-15515.804731</v>
      </c>
      <c r="K95">
        <v>83422.910554000002</v>
      </c>
      <c r="L95">
        <v>-0.86160499999999995</v>
      </c>
      <c r="M95">
        <v>31.585781000000001</v>
      </c>
      <c r="N95">
        <v>187.466249</v>
      </c>
      <c r="O95">
        <v>14.088744999999999</v>
      </c>
      <c r="P95">
        <f>$D$16</f>
        <v>-4.0670907491499992</v>
      </c>
      <c r="Q95">
        <f>J95-3824*P95</f>
        <v>36.750293749597404</v>
      </c>
      <c r="R95">
        <f>Q95/(2*M95*O95)</f>
        <v>4.1292092410723E-2</v>
      </c>
      <c r="S95">
        <f>R95*16.02</f>
        <v>0.66149932041978243</v>
      </c>
      <c r="X95">
        <v>110</v>
      </c>
      <c r="Y95" s="1">
        <v>1.4102972150311224</v>
      </c>
      <c r="Z95" s="1">
        <v>1.0736883313771581</v>
      </c>
      <c r="AA95" s="1">
        <v>4.5866562912623916</v>
      </c>
      <c r="AB95" s="1"/>
      <c r="AC95">
        <v>110</v>
      </c>
      <c r="AD95" s="1">
        <v>1.0126962612621428</v>
      </c>
      <c r="AE95" s="1">
        <v>0.95828197338263943</v>
      </c>
      <c r="AF95" s="1">
        <v>2.8025881701979851</v>
      </c>
    </row>
    <row r="96" spans="8:32" x14ac:dyDescent="0.2">
      <c r="I96">
        <v>867.49034700000004</v>
      </c>
      <c r="J96">
        <v>-15517.372160999999</v>
      </c>
      <c r="K96">
        <v>83410.611390999999</v>
      </c>
      <c r="L96">
        <v>-1.0308580000000001</v>
      </c>
      <c r="M96">
        <v>31.556847000000001</v>
      </c>
      <c r="N96">
        <v>187.57291799999999</v>
      </c>
      <c r="O96">
        <v>14.091557999999999</v>
      </c>
      <c r="P96">
        <f>$D$16</f>
        <v>-4.0670907491499992</v>
      </c>
      <c r="Q96">
        <f>J96-3824*P96</f>
        <v>35.182863749598255</v>
      </c>
      <c r="R96">
        <f>Q96/(2*M96*O96)</f>
        <v>3.9559297805195154E-2</v>
      </c>
      <c r="S96">
        <f>R96*16.02</f>
        <v>0.6337399508392263</v>
      </c>
      <c r="X96">
        <v>111</v>
      </c>
      <c r="Y96" s="1">
        <v>1.6267007624755312</v>
      </c>
      <c r="Z96" s="1">
        <v>1.2806942855155452</v>
      </c>
      <c r="AA96" s="1">
        <v>4.9717847481598731</v>
      </c>
      <c r="AB96" s="1"/>
      <c r="AC96">
        <v>111</v>
      </c>
      <c r="AD96" s="1">
        <v>1.2651490517189261</v>
      </c>
      <c r="AE96" s="1">
        <v>1.1804594913626278</v>
      </c>
      <c r="AF96" s="1">
        <v>3.2922733773985442</v>
      </c>
    </row>
    <row r="97" spans="8:25" x14ac:dyDescent="0.2">
      <c r="I97">
        <v>867.59127699999999</v>
      </c>
      <c r="J97">
        <v>-15519.241972</v>
      </c>
      <c r="K97">
        <v>83421.827264000007</v>
      </c>
      <c r="L97">
        <v>-0.89451599999999998</v>
      </c>
      <c r="M97">
        <v>31.564791</v>
      </c>
      <c r="N97">
        <v>187.55520000000001</v>
      </c>
      <c r="O97">
        <v>14.091241</v>
      </c>
      <c r="P97">
        <f>$D$16</f>
        <v>-4.0670907491499992</v>
      </c>
      <c r="Q97">
        <f>J97-3824*P97</f>
        <v>33.313052749597773</v>
      </c>
      <c r="R97">
        <f>Q97/(2*M97*O97)</f>
        <v>3.7448314558873E-2</v>
      </c>
      <c r="S97">
        <f>R97*16.02</f>
        <v>0.59992199923314549</v>
      </c>
    </row>
    <row r="98" spans="8:25" x14ac:dyDescent="0.2">
      <c r="S98" s="1">
        <f>AVERAGE(S93:S97)</f>
        <v>0.64092956228742481</v>
      </c>
    </row>
    <row r="99" spans="8:25" x14ac:dyDescent="0.2">
      <c r="H99" t="s">
        <v>55</v>
      </c>
      <c r="I99">
        <v>867.52811699999995</v>
      </c>
      <c r="J99">
        <v>-15852.178475000001</v>
      </c>
      <c r="K99">
        <v>85140.490527999995</v>
      </c>
      <c r="L99">
        <v>-0.99388500000000002</v>
      </c>
      <c r="M99">
        <v>31.875011000000001</v>
      </c>
      <c r="N99">
        <v>189.43820299999999</v>
      </c>
      <c r="O99">
        <v>14.100033</v>
      </c>
      <c r="P99">
        <f>$D$16</f>
        <v>-4.0670907491499992</v>
      </c>
      <c r="Q99">
        <f>J99-3904*P99</f>
        <v>25.743809681596758</v>
      </c>
      <c r="R99">
        <f t="shared" ref="R99:R130" si="10">Q99/(2*M99*O99)</f>
        <v>2.8639956107527655E-2</v>
      </c>
      <c r="S99">
        <f t="shared" ref="S99:S143" si="11">R99*16.02</f>
        <v>0.458812096842593</v>
      </c>
      <c r="T99" s="1"/>
      <c r="Y99" s="1"/>
    </row>
    <row r="100" spans="8:25" x14ac:dyDescent="0.2">
      <c r="I100">
        <v>867.46906300000001</v>
      </c>
      <c r="J100">
        <v>-15849.488507</v>
      </c>
      <c r="K100">
        <v>85139.212832000005</v>
      </c>
      <c r="L100">
        <v>-1.0207740000000001</v>
      </c>
      <c r="M100">
        <v>31.873256000000001</v>
      </c>
      <c r="N100">
        <v>189.40734900000001</v>
      </c>
      <c r="O100">
        <v>14.102891</v>
      </c>
      <c r="P100">
        <f t="shared" ref="P100:P148" si="12">$D$16</f>
        <v>-4.0670907491499992</v>
      </c>
      <c r="Q100">
        <f>J100-3904*P100</f>
        <v>28.433777681597348</v>
      </c>
      <c r="R100">
        <f t="shared" si="10"/>
        <v>3.1627873094792529E-2</v>
      </c>
      <c r="S100">
        <f t="shared" si="11"/>
        <v>0.50667852697857629</v>
      </c>
      <c r="T100" s="1"/>
      <c r="X100" s="1"/>
      <c r="Y100" s="1"/>
    </row>
    <row r="101" spans="8:25" x14ac:dyDescent="0.2">
      <c r="I101">
        <v>867.62511099999995</v>
      </c>
      <c r="J101">
        <v>-15850.488547000001</v>
      </c>
      <c r="K101">
        <v>85142.273509000006</v>
      </c>
      <c r="L101">
        <v>-0.93772200000000006</v>
      </c>
      <c r="M101">
        <v>31.846309999999999</v>
      </c>
      <c r="N101">
        <v>189.52622700000001</v>
      </c>
      <c r="O101">
        <v>14.106491999999999</v>
      </c>
      <c r="P101">
        <f t="shared" si="12"/>
        <v>-4.0670907491499992</v>
      </c>
      <c r="Q101">
        <f>J101-3904*P101</f>
        <v>27.43373768159654</v>
      </c>
      <c r="R101">
        <f t="shared" si="10"/>
        <v>3.05335176616457E-2</v>
      </c>
      <c r="S101">
        <f t="shared" si="11"/>
        <v>0.48914695293956412</v>
      </c>
      <c r="T101" s="1"/>
      <c r="X101" s="1"/>
      <c r="Y101" s="1"/>
    </row>
    <row r="102" spans="8:25" x14ac:dyDescent="0.2">
      <c r="I102">
        <v>867.48312199999998</v>
      </c>
      <c r="J102">
        <v>-15854.342606</v>
      </c>
      <c r="K102">
        <v>85144.750866000002</v>
      </c>
      <c r="L102">
        <v>-1.048986</v>
      </c>
      <c r="M102">
        <v>31.860486999999999</v>
      </c>
      <c r="N102">
        <v>189.46203600000001</v>
      </c>
      <c r="O102">
        <v>14.105395</v>
      </c>
      <c r="P102">
        <f t="shared" si="12"/>
        <v>-4.0670907491499992</v>
      </c>
      <c r="Q102">
        <f>J102-3904*P102</f>
        <v>23.579678681597215</v>
      </c>
      <c r="R102">
        <f t="shared" si="10"/>
        <v>2.6234344953281703E-2</v>
      </c>
      <c r="S102">
        <f t="shared" si="11"/>
        <v>0.42027420615157285</v>
      </c>
      <c r="T102" s="1"/>
      <c r="X102" s="1"/>
      <c r="Y102" s="1"/>
    </row>
    <row r="103" spans="8:25" x14ac:dyDescent="0.2">
      <c r="I103">
        <v>867.67258100000004</v>
      </c>
      <c r="J103">
        <v>-15850.581945</v>
      </c>
      <c r="K103">
        <v>85138.840463999994</v>
      </c>
      <c r="L103">
        <v>-0.93593999999999999</v>
      </c>
      <c r="M103">
        <v>31.883597000000002</v>
      </c>
      <c r="N103">
        <v>189.309245</v>
      </c>
      <c r="O103">
        <v>14.105565</v>
      </c>
      <c r="P103">
        <f t="shared" si="12"/>
        <v>-4.0670907491499992</v>
      </c>
      <c r="Q103">
        <f>J103-3904*P103</f>
        <v>27.34033968159747</v>
      </c>
      <c r="R103">
        <f t="shared" si="10"/>
        <v>3.03959773820991E-2</v>
      </c>
      <c r="S103">
        <f t="shared" si="11"/>
        <v>0.48694355766122754</v>
      </c>
      <c r="T103" s="1">
        <f>AVERAGE(S99:S103)</f>
        <v>0.47237106811470675</v>
      </c>
      <c r="U103">
        <f>STDEV(S99:S103)</f>
        <v>3.3796147063312826E-2</v>
      </c>
      <c r="X103" s="1">
        <v>0.47237106811470675</v>
      </c>
      <c r="Y103" s="1"/>
    </row>
    <row r="104" spans="8:25" x14ac:dyDescent="0.2">
      <c r="H104" t="s">
        <v>133</v>
      </c>
      <c r="I104">
        <v>929.94552499999998</v>
      </c>
      <c r="J104">
        <v>-12862.24149</v>
      </c>
      <c r="K104">
        <v>69123.081833000004</v>
      </c>
      <c r="L104">
        <v>-1.444617</v>
      </c>
      <c r="M104">
        <v>24.910408</v>
      </c>
      <c r="N104">
        <v>196.815371</v>
      </c>
      <c r="O104">
        <v>14.098903</v>
      </c>
      <c r="P104">
        <f t="shared" si="12"/>
        <v>-4.0670907491499992</v>
      </c>
      <c r="Q104">
        <f>J104-3168*P104</f>
        <v>22.302003307197083</v>
      </c>
      <c r="R104">
        <f t="shared" si="10"/>
        <v>3.1750291494117122E-2</v>
      </c>
      <c r="S104">
        <f t="shared" si="11"/>
        <v>0.50863966973575625</v>
      </c>
      <c r="X104" s="1">
        <v>0.48248575830439994</v>
      </c>
      <c r="Y104" s="1"/>
    </row>
    <row r="105" spans="8:25" x14ac:dyDescent="0.2">
      <c r="I105">
        <v>929.92374900000004</v>
      </c>
      <c r="J105">
        <v>-12864.442220999999</v>
      </c>
      <c r="K105">
        <v>69144.585686999999</v>
      </c>
      <c r="L105">
        <v>-1.281202</v>
      </c>
      <c r="M105">
        <v>24.890032999999999</v>
      </c>
      <c r="N105">
        <v>197.05335400000001</v>
      </c>
      <c r="O105">
        <v>14.097804</v>
      </c>
      <c r="P105">
        <f t="shared" si="12"/>
        <v>-4.0670907491499992</v>
      </c>
      <c r="Q105">
        <f>J105-3168*P105</f>
        <v>20.101272307198087</v>
      </c>
      <c r="R105">
        <f t="shared" si="10"/>
        <v>2.86428751841994E-2</v>
      </c>
      <c r="S105">
        <f t="shared" si="11"/>
        <v>0.45885886045087437</v>
      </c>
      <c r="X105" s="1">
        <v>0.54043955504228935</v>
      </c>
    </row>
    <row r="106" spans="8:25" x14ac:dyDescent="0.2">
      <c r="I106">
        <v>929.86823200000003</v>
      </c>
      <c r="J106">
        <v>-12863.149299999999</v>
      </c>
      <c r="K106">
        <v>69150.612221999996</v>
      </c>
      <c r="L106">
        <v>-1.212491</v>
      </c>
      <c r="M106">
        <v>24.910921999999999</v>
      </c>
      <c r="N106">
        <v>196.89460299999999</v>
      </c>
      <c r="O106">
        <v>14.098565000000001</v>
      </c>
      <c r="P106">
        <f t="shared" si="12"/>
        <v>-4.0670907491499992</v>
      </c>
      <c r="Q106">
        <f>J106-3168*P106</f>
        <v>21.394193307198293</v>
      </c>
      <c r="R106">
        <f t="shared" si="10"/>
        <v>3.0457987707876881E-2</v>
      </c>
      <c r="S106">
        <f t="shared" si="11"/>
        <v>0.48793696308018764</v>
      </c>
      <c r="X106" s="1">
        <v>0.56051718785655069</v>
      </c>
    </row>
    <row r="107" spans="8:25" x14ac:dyDescent="0.2">
      <c r="I107">
        <v>929.74604399999998</v>
      </c>
      <c r="J107">
        <v>-12862.939031</v>
      </c>
      <c r="K107">
        <v>69111.272626000005</v>
      </c>
      <c r="L107">
        <v>-1.306808</v>
      </c>
      <c r="M107">
        <v>24.903638999999998</v>
      </c>
      <c r="N107">
        <v>196.872792</v>
      </c>
      <c r="O107">
        <v>14.096216</v>
      </c>
      <c r="P107">
        <f t="shared" si="12"/>
        <v>-4.0670907491499992</v>
      </c>
      <c r="Q107">
        <f>J107-3168*P107</f>
        <v>21.604462307197537</v>
      </c>
      <c r="R107">
        <f t="shared" si="10"/>
        <v>3.0771460403310916E-2</v>
      </c>
      <c r="S107">
        <f t="shared" si="11"/>
        <v>0.49295879566104089</v>
      </c>
      <c r="X107" s="1">
        <v>0.42078741710482098</v>
      </c>
    </row>
    <row r="108" spans="8:25" x14ac:dyDescent="0.2">
      <c r="I108">
        <v>929.57512899999995</v>
      </c>
      <c r="J108">
        <v>-12864.203136</v>
      </c>
      <c r="K108">
        <v>69109.862563999995</v>
      </c>
      <c r="L108">
        <v>-1.444</v>
      </c>
      <c r="M108">
        <v>24.895602</v>
      </c>
      <c r="N108">
        <v>196.834508</v>
      </c>
      <c r="O108">
        <v>14.103217000000001</v>
      </c>
      <c r="P108">
        <f t="shared" si="12"/>
        <v>-4.0670907491499992</v>
      </c>
      <c r="Q108">
        <f>J108-3168*P108</f>
        <v>20.340357307197337</v>
      </c>
      <c r="R108">
        <f t="shared" si="10"/>
        <v>2.8965948975913921E-2</v>
      </c>
      <c r="S108">
        <f t="shared" si="11"/>
        <v>0.46403450259414097</v>
      </c>
      <c r="T108" s="1">
        <f>AVERAGE(S104:S108)</f>
        <v>0.48248575830439994</v>
      </c>
      <c r="U108">
        <f>STDEV(S104:S108)</f>
        <v>2.0749134726577714E-2</v>
      </c>
      <c r="X108" s="1">
        <v>0.61908320792389937</v>
      </c>
    </row>
    <row r="109" spans="8:25" x14ac:dyDescent="0.2">
      <c r="H109" t="s">
        <v>28</v>
      </c>
      <c r="I109">
        <v>929.31067800000005</v>
      </c>
      <c r="J109">
        <v>-30210.743673000001</v>
      </c>
      <c r="K109">
        <v>162381.988885</v>
      </c>
      <c r="L109">
        <v>-0.55101500000000003</v>
      </c>
      <c r="M109">
        <v>35.911729000000001</v>
      </c>
      <c r="N109">
        <v>213.985039</v>
      </c>
      <c r="O109">
        <v>21.130941</v>
      </c>
      <c r="P109">
        <f t="shared" si="12"/>
        <v>-4.0670907491499992</v>
      </c>
      <c r="Q109">
        <f>J109-7440*P109</f>
        <v>48.411500675993011</v>
      </c>
      <c r="R109">
        <f t="shared" si="10"/>
        <v>3.1897995840141344E-2</v>
      </c>
      <c r="S109">
        <f t="shared" ref="S109:S113" si="13">R109*16.02</f>
        <v>0.51100589335906432</v>
      </c>
      <c r="X109" s="1">
        <v>0.55396158966096887</v>
      </c>
    </row>
    <row r="110" spans="8:25" x14ac:dyDescent="0.2">
      <c r="I110">
        <v>929.62340300000005</v>
      </c>
      <c r="J110">
        <v>-30206.260935999999</v>
      </c>
      <c r="K110">
        <v>162354.25051499999</v>
      </c>
      <c r="L110">
        <v>-0.588974</v>
      </c>
      <c r="M110">
        <v>35.904533999999998</v>
      </c>
      <c r="N110">
        <v>213.96766700000001</v>
      </c>
      <c r="O110">
        <v>21.133293999999999</v>
      </c>
      <c r="P110">
        <f t="shared" si="12"/>
        <v>-4.0670907491499992</v>
      </c>
      <c r="Q110">
        <f t="shared" ref="Q110:Q113" si="14">J110-7440*P110</f>
        <v>52.8942376759951</v>
      </c>
      <c r="R110">
        <f t="shared" si="10"/>
        <v>3.4854742402840817E-2</v>
      </c>
      <c r="S110">
        <f t="shared" si="13"/>
        <v>0.55837297329350988</v>
      </c>
      <c r="X110" s="1">
        <v>0.64620656323221015</v>
      </c>
    </row>
    <row r="111" spans="8:25" x14ac:dyDescent="0.2">
      <c r="I111">
        <v>929.52085699999998</v>
      </c>
      <c r="J111">
        <v>-30204.672828999999</v>
      </c>
      <c r="K111">
        <v>162345.60690000001</v>
      </c>
      <c r="L111">
        <v>-0.54457800000000001</v>
      </c>
      <c r="M111">
        <v>35.90164</v>
      </c>
      <c r="N111">
        <v>213.90643600000001</v>
      </c>
      <c r="O111">
        <v>21.13992</v>
      </c>
      <c r="P111">
        <f t="shared" si="12"/>
        <v>-4.0670907491499992</v>
      </c>
      <c r="Q111">
        <f t="shared" si="14"/>
        <v>54.482344675994682</v>
      </c>
      <c r="R111">
        <f t="shared" si="10"/>
        <v>3.5892868389849043E-2</v>
      </c>
      <c r="S111">
        <f t="shared" si="13"/>
        <v>0.57500375160538164</v>
      </c>
      <c r="X111" s="1">
        <v>0.56448475911871865</v>
      </c>
    </row>
    <row r="112" spans="8:25" x14ac:dyDescent="0.2">
      <c r="I112">
        <v>929.63954000000001</v>
      </c>
      <c r="J112">
        <v>-30207.146894000001</v>
      </c>
      <c r="K112">
        <v>162328.54769499999</v>
      </c>
      <c r="L112">
        <v>-0.52504700000000004</v>
      </c>
      <c r="M112">
        <v>35.913412999999998</v>
      </c>
      <c r="N112">
        <v>213.877658</v>
      </c>
      <c r="O112">
        <v>21.133617000000001</v>
      </c>
      <c r="P112">
        <f t="shared" si="12"/>
        <v>-4.0670907491499992</v>
      </c>
      <c r="Q112">
        <f t="shared" si="14"/>
        <v>52.008279675992526</v>
      </c>
      <c r="R112">
        <f t="shared" si="10"/>
        <v>3.4261942380811441E-2</v>
      </c>
      <c r="S112">
        <f t="shared" si="13"/>
        <v>0.54887631694059924</v>
      </c>
      <c r="X112">
        <v>0.575014059988183</v>
      </c>
    </row>
    <row r="113" spans="8:21" x14ac:dyDescent="0.2">
      <c r="I113">
        <v>929.69672800000001</v>
      </c>
      <c r="J113">
        <v>-30210.929746999998</v>
      </c>
      <c r="K113">
        <v>162364.53725600001</v>
      </c>
      <c r="L113">
        <v>-0.541516</v>
      </c>
      <c r="M113">
        <v>35.904139999999998</v>
      </c>
      <c r="N113">
        <v>213.918778</v>
      </c>
      <c r="O113">
        <v>21.139683000000002</v>
      </c>
      <c r="P113">
        <f t="shared" si="12"/>
        <v>-4.0670907491499992</v>
      </c>
      <c r="Q113">
        <f t="shared" si="14"/>
        <v>48.22542667599555</v>
      </c>
      <c r="R113">
        <f t="shared" si="10"/>
        <v>3.1768966292939578E-2</v>
      </c>
      <c r="S113">
        <f t="shared" si="13"/>
        <v>0.50893884001289202</v>
      </c>
      <c r="T113" s="1">
        <f>AVERAGE(S109:S113)</f>
        <v>0.54043955504228935</v>
      </c>
      <c r="U113">
        <f>STDEV(S109:S113)</f>
        <v>2.9351770019029142E-2</v>
      </c>
    </row>
    <row r="114" spans="8:21" x14ac:dyDescent="0.2">
      <c r="H114" t="s">
        <v>134</v>
      </c>
      <c r="I114">
        <v>929.54763700000001</v>
      </c>
      <c r="J114">
        <v>-13118.088462</v>
      </c>
      <c r="K114">
        <v>70530.577980999995</v>
      </c>
      <c r="L114">
        <v>-1.4497310000000001</v>
      </c>
      <c r="M114">
        <v>29.029121</v>
      </c>
      <c r="N114">
        <v>172.40445099999999</v>
      </c>
      <c r="O114">
        <v>14.092790000000001</v>
      </c>
      <c r="P114">
        <f t="shared" si="12"/>
        <v>-4.0670907491499992</v>
      </c>
      <c r="Q114">
        <f>J114-3232*P114</f>
        <v>26.748839252797552</v>
      </c>
      <c r="R114">
        <f t="shared" si="10"/>
        <v>3.2692194881188318E-2</v>
      </c>
      <c r="S114">
        <f t="shared" si="11"/>
        <v>0.52372896199663688</v>
      </c>
    </row>
    <row r="115" spans="8:21" x14ac:dyDescent="0.2">
      <c r="I115">
        <v>929.32707500000004</v>
      </c>
      <c r="J115">
        <v>-13117.094936</v>
      </c>
      <c r="K115">
        <v>70554.550048999998</v>
      </c>
      <c r="L115">
        <v>-1.4504619999999999</v>
      </c>
      <c r="M115">
        <v>29.03218</v>
      </c>
      <c r="N115">
        <v>172.40976699999999</v>
      </c>
      <c r="O115">
        <v>14.095663</v>
      </c>
      <c r="P115">
        <f t="shared" si="12"/>
        <v>-4.0670907491499992</v>
      </c>
      <c r="Q115">
        <f>J115-3232*P115</f>
        <v>27.742365252797754</v>
      </c>
      <c r="R115">
        <f t="shared" si="10"/>
        <v>3.3895990849699915E-2</v>
      </c>
      <c r="S115">
        <f t="shared" si="11"/>
        <v>0.54301377341219259</v>
      </c>
    </row>
    <row r="116" spans="8:21" x14ac:dyDescent="0.2">
      <c r="I116">
        <v>929.82918900000004</v>
      </c>
      <c r="J116">
        <v>-13114.382858999999</v>
      </c>
      <c r="K116">
        <v>70553.614939000006</v>
      </c>
      <c r="L116">
        <v>-1.09697</v>
      </c>
      <c r="M116">
        <v>29.040175999999999</v>
      </c>
      <c r="N116">
        <v>172.345191</v>
      </c>
      <c r="O116">
        <v>14.096871</v>
      </c>
      <c r="P116">
        <f t="shared" si="12"/>
        <v>-4.0670907491499992</v>
      </c>
      <c r="Q116">
        <f>J116-3232*P116</f>
        <v>30.45444225279789</v>
      </c>
      <c r="R116">
        <f t="shared" si="10"/>
        <v>3.719620947749102E-2</v>
      </c>
      <c r="S116">
        <f t="shared" si="11"/>
        <v>0.59588327582940614</v>
      </c>
    </row>
    <row r="117" spans="8:21" x14ac:dyDescent="0.2">
      <c r="I117">
        <v>929.40560700000003</v>
      </c>
      <c r="J117">
        <v>-13114.904322</v>
      </c>
      <c r="K117">
        <v>70550.992121999996</v>
      </c>
      <c r="L117">
        <v>-1.2950600000000001</v>
      </c>
      <c r="M117">
        <v>29.037607999999999</v>
      </c>
      <c r="N117">
        <v>172.60521600000001</v>
      </c>
      <c r="O117">
        <v>14.076354</v>
      </c>
      <c r="P117">
        <f t="shared" si="12"/>
        <v>-4.0670907491499992</v>
      </c>
      <c r="Q117">
        <f>J117-3232*P117</f>
        <v>29.93297925279694</v>
      </c>
      <c r="R117">
        <f t="shared" si="10"/>
        <v>3.6615834017064142E-2</v>
      </c>
      <c r="S117">
        <f t="shared" si="11"/>
        <v>0.5865856609533675</v>
      </c>
    </row>
    <row r="118" spans="8:21" x14ac:dyDescent="0.2">
      <c r="I118">
        <v>929.45399799999996</v>
      </c>
      <c r="J118">
        <v>-13116.561926</v>
      </c>
      <c r="K118">
        <v>70540.498796999993</v>
      </c>
      <c r="L118">
        <v>-1.2212000000000001</v>
      </c>
      <c r="M118">
        <v>29.058206999999999</v>
      </c>
      <c r="N118">
        <v>172.35282100000001</v>
      </c>
      <c r="O118">
        <v>14.084879000000001</v>
      </c>
      <c r="P118">
        <f t="shared" si="12"/>
        <v>-4.0670907491499992</v>
      </c>
      <c r="Q118">
        <f>J118-3232*P118</f>
        <v>28.275375252796948</v>
      </c>
      <c r="R118">
        <f t="shared" si="10"/>
        <v>3.4542713301569931E-2</v>
      </c>
      <c r="S118">
        <f t="shared" si="11"/>
        <v>0.55337426709115034</v>
      </c>
      <c r="T118" s="1">
        <f>AVERAGE(S114:S118)</f>
        <v>0.56051718785655069</v>
      </c>
      <c r="U118">
        <f>STDEV(S114:S118)</f>
        <v>3.0170722001200915E-2</v>
      </c>
    </row>
    <row r="119" spans="8:21" x14ac:dyDescent="0.2">
      <c r="H119" t="s">
        <v>27</v>
      </c>
      <c r="I119">
        <v>929.827853</v>
      </c>
      <c r="J119">
        <v>-19495.850934999999</v>
      </c>
      <c r="K119">
        <v>104786.018192</v>
      </c>
      <c r="L119">
        <v>-0.881135</v>
      </c>
      <c r="M119">
        <v>33.40231</v>
      </c>
      <c r="N119">
        <v>222.78086400000001</v>
      </c>
      <c r="O119">
        <v>14.081534</v>
      </c>
      <c r="P119">
        <f t="shared" si="12"/>
        <v>-4.0670907491499992</v>
      </c>
      <c r="Q119">
        <f>J119-4800*P119</f>
        <v>26.184660919996531</v>
      </c>
      <c r="R119">
        <f t="shared" si="10"/>
        <v>2.7834952739241497E-2</v>
      </c>
      <c r="S119">
        <f t="shared" ref="S119:S123" si="15">R119*16.02</f>
        <v>0.4459159428826488</v>
      </c>
    </row>
    <row r="120" spans="8:21" x14ac:dyDescent="0.2">
      <c r="I120">
        <v>929.53936199999998</v>
      </c>
      <c r="J120">
        <v>-19499.081179000001</v>
      </c>
      <c r="K120">
        <v>104790.296185</v>
      </c>
      <c r="L120">
        <v>-0.89255499999999999</v>
      </c>
      <c r="M120">
        <v>33.412889</v>
      </c>
      <c r="N120">
        <v>222.94799699999999</v>
      </c>
      <c r="O120">
        <v>14.067102</v>
      </c>
      <c r="P120">
        <f t="shared" si="12"/>
        <v>-4.0670907491499992</v>
      </c>
      <c r="Q120">
        <f t="shared" ref="Q120:Q123" si="16">J120-4800*P120</f>
        <v>22.954416919994401</v>
      </c>
      <c r="R120">
        <f t="shared" si="10"/>
        <v>2.4418422582612936E-2</v>
      </c>
      <c r="S120">
        <f t="shared" si="15"/>
        <v>0.3911831297734592</v>
      </c>
    </row>
    <row r="121" spans="8:21" x14ac:dyDescent="0.2">
      <c r="I121">
        <v>929.83811200000002</v>
      </c>
      <c r="J121">
        <v>-19499.352304</v>
      </c>
      <c r="K121">
        <v>104776.048912</v>
      </c>
      <c r="L121">
        <v>-0.97840499999999997</v>
      </c>
      <c r="M121">
        <v>33.419415000000001</v>
      </c>
      <c r="N121">
        <v>222.88439299999999</v>
      </c>
      <c r="O121">
        <v>14.066449</v>
      </c>
      <c r="P121">
        <f t="shared" si="12"/>
        <v>-4.0670907491499992</v>
      </c>
      <c r="Q121">
        <f t="shared" si="16"/>
        <v>22.683291919995099</v>
      </c>
      <c r="R121">
        <f t="shared" si="10"/>
        <v>2.4126413502529281E-2</v>
      </c>
      <c r="S121">
        <f t="shared" si="15"/>
        <v>0.38650514431051908</v>
      </c>
    </row>
    <row r="122" spans="8:21" x14ac:dyDescent="0.2">
      <c r="I122">
        <v>929.72008000000005</v>
      </c>
      <c r="J122">
        <v>-19495.217847</v>
      </c>
      <c r="K122">
        <v>104757.67881100001</v>
      </c>
      <c r="L122">
        <v>-0.95942400000000005</v>
      </c>
      <c r="M122">
        <v>33.418187000000003</v>
      </c>
      <c r="N122">
        <v>222.789804</v>
      </c>
      <c r="O122">
        <v>14.070474000000001</v>
      </c>
      <c r="P122">
        <f t="shared" si="12"/>
        <v>-4.0670907491499992</v>
      </c>
      <c r="Q122">
        <f t="shared" si="16"/>
        <v>26.817748919995211</v>
      </c>
      <c r="R122">
        <f t="shared" si="10"/>
        <v>2.8516794883471273E-2</v>
      </c>
      <c r="S122">
        <f t="shared" si="15"/>
        <v>0.45683905403320979</v>
      </c>
    </row>
    <row r="123" spans="8:21" x14ac:dyDescent="0.2">
      <c r="I123">
        <v>929.62968799999999</v>
      </c>
      <c r="J123">
        <v>-19497.172616</v>
      </c>
      <c r="K123">
        <v>104771.90366500001</v>
      </c>
      <c r="L123">
        <v>-0.90636300000000003</v>
      </c>
      <c r="M123">
        <v>33.413682999999999</v>
      </c>
      <c r="N123">
        <v>222.79612399999999</v>
      </c>
      <c r="O123">
        <v>14.073893999999999</v>
      </c>
      <c r="P123">
        <f t="shared" si="12"/>
        <v>-4.0670907491499992</v>
      </c>
      <c r="Q123">
        <f t="shared" si="16"/>
        <v>24.862979919995269</v>
      </c>
      <c r="R123">
        <f t="shared" si="10"/>
        <v>2.6435319258693368E-2</v>
      </c>
      <c r="S123">
        <f t="shared" si="15"/>
        <v>0.42349381452426776</v>
      </c>
      <c r="T123" s="1">
        <f>AVERAGE(S119:S123)</f>
        <v>0.42078741710482098</v>
      </c>
      <c r="U123">
        <f>STDEV(S119:S123)</f>
        <v>3.1583919865637612E-2</v>
      </c>
    </row>
    <row r="124" spans="8:21" x14ac:dyDescent="0.2">
      <c r="H124" t="s">
        <v>172</v>
      </c>
      <c r="I124">
        <v>929.51157599999999</v>
      </c>
      <c r="J124">
        <v>-14937.141326999999</v>
      </c>
      <c r="K124">
        <v>80337.762828999999</v>
      </c>
      <c r="L124">
        <v>-1.010343</v>
      </c>
      <c r="M124">
        <v>26.789863</v>
      </c>
      <c r="N124">
        <v>212.691205</v>
      </c>
      <c r="O124">
        <v>14.099417000000001</v>
      </c>
      <c r="P124">
        <f t="shared" si="12"/>
        <v>-4.0670907491499992</v>
      </c>
      <c r="Q124">
        <f>J124-3680*P124</f>
        <v>29.752629871998579</v>
      </c>
      <c r="R124">
        <f t="shared" si="10"/>
        <v>3.9384353055637679E-2</v>
      </c>
      <c r="S124">
        <f t="shared" si="11"/>
        <v>0.63093733595131563</v>
      </c>
    </row>
    <row r="125" spans="8:21" x14ac:dyDescent="0.2">
      <c r="I125">
        <v>929.67302800000004</v>
      </c>
      <c r="J125">
        <v>-14935.298465</v>
      </c>
      <c r="K125">
        <v>80318.017861</v>
      </c>
      <c r="L125">
        <v>-1.119548</v>
      </c>
      <c r="M125">
        <v>26.794875999999999</v>
      </c>
      <c r="N125">
        <v>212.817328</v>
      </c>
      <c r="O125">
        <v>14.084956</v>
      </c>
      <c r="P125">
        <f t="shared" si="12"/>
        <v>-4.0670907491499992</v>
      </c>
      <c r="Q125">
        <f>J125-3680*P125</f>
        <v>31.595491871998092</v>
      </c>
      <c r="R125">
        <f t="shared" si="10"/>
        <v>4.1858906501383318E-2</v>
      </c>
      <c r="S125">
        <f t="shared" si="11"/>
        <v>0.67057968215216068</v>
      </c>
    </row>
    <row r="126" spans="8:21" x14ac:dyDescent="0.2">
      <c r="I126">
        <v>929.71263299999998</v>
      </c>
      <c r="J126">
        <v>-14938.994511000001</v>
      </c>
      <c r="K126">
        <v>80320.736950000006</v>
      </c>
      <c r="L126">
        <v>-1.014799</v>
      </c>
      <c r="M126">
        <v>26.820854000000001</v>
      </c>
      <c r="N126">
        <v>212.52017699999999</v>
      </c>
      <c r="O126">
        <v>14.091474</v>
      </c>
      <c r="P126">
        <f t="shared" si="12"/>
        <v>-4.0670907491499992</v>
      </c>
      <c r="Q126">
        <f>J126-3680*P126</f>
        <v>27.899445871997159</v>
      </c>
      <c r="R126">
        <f t="shared" si="10"/>
        <v>3.6909363525614781E-2</v>
      </c>
      <c r="S126">
        <f t="shared" si="11"/>
        <v>0.59128800368034873</v>
      </c>
    </row>
    <row r="127" spans="8:21" x14ac:dyDescent="0.2">
      <c r="I127">
        <v>929.56398200000001</v>
      </c>
      <c r="J127">
        <v>-14937.055453000001</v>
      </c>
      <c r="K127">
        <v>80306.403590999995</v>
      </c>
      <c r="L127">
        <v>-1.2906500000000001</v>
      </c>
      <c r="M127">
        <v>26.831071000000001</v>
      </c>
      <c r="N127">
        <v>212.52309600000001</v>
      </c>
      <c r="O127">
        <v>14.083406</v>
      </c>
      <c r="P127">
        <f t="shared" si="12"/>
        <v>-4.0670907491499992</v>
      </c>
      <c r="Q127">
        <f>J127-3680*P127</f>
        <v>29.838503871997091</v>
      </c>
      <c r="R127">
        <f t="shared" si="10"/>
        <v>3.9482199613255366E-2</v>
      </c>
      <c r="S127">
        <f t="shared" si="11"/>
        <v>0.63250483780435096</v>
      </c>
    </row>
    <row r="128" spans="8:21" x14ac:dyDescent="0.2">
      <c r="I128">
        <v>929.45587599999999</v>
      </c>
      <c r="J128">
        <v>-14939.985723</v>
      </c>
      <c r="K128">
        <v>80329.067366999996</v>
      </c>
      <c r="L128">
        <v>-1.240828</v>
      </c>
      <c r="M128">
        <v>26.809947999999999</v>
      </c>
      <c r="N128">
        <v>212.47708299999999</v>
      </c>
      <c r="O128">
        <v>14.101521999999999</v>
      </c>
      <c r="P128">
        <f t="shared" si="12"/>
        <v>-4.0670907491499992</v>
      </c>
      <c r="Q128">
        <f>J128-3680*P128</f>
        <v>26.908233871998164</v>
      </c>
      <c r="R128">
        <f t="shared" si="10"/>
        <v>3.5587152311568095E-2</v>
      </c>
      <c r="S128">
        <f t="shared" si="11"/>
        <v>0.57010618003132085</v>
      </c>
      <c r="T128" s="1">
        <f>AVERAGE(S124:S128)</f>
        <v>0.61908320792389937</v>
      </c>
      <c r="U128">
        <f>STDEV(S124:S128)</f>
        <v>3.9191421248824652E-2</v>
      </c>
    </row>
    <row r="129" spans="8:21" x14ac:dyDescent="0.2">
      <c r="H129" t="s">
        <v>17</v>
      </c>
      <c r="I129">
        <v>929.53244199999995</v>
      </c>
      <c r="J129">
        <v>-30917.565549999999</v>
      </c>
      <c r="K129">
        <v>166194.97844100001</v>
      </c>
      <c r="L129">
        <v>-0.68842599999999998</v>
      </c>
      <c r="M129">
        <v>31.494720999999998</v>
      </c>
      <c r="N129">
        <v>187.40982500000001</v>
      </c>
      <c r="O129">
        <v>28.157142</v>
      </c>
      <c r="P129">
        <f t="shared" si="12"/>
        <v>-4.0670907491499992</v>
      </c>
      <c r="Q129">
        <f>J129-7616*P129</f>
        <v>57.397595526395889</v>
      </c>
      <c r="R129">
        <f t="shared" si="10"/>
        <v>3.2362150061680167E-2</v>
      </c>
      <c r="S129">
        <f t="shared" si="11"/>
        <v>0.51844164398811632</v>
      </c>
    </row>
    <row r="130" spans="8:21" x14ac:dyDescent="0.2">
      <c r="I130">
        <v>929.65056100000004</v>
      </c>
      <c r="J130">
        <v>-30909.246216</v>
      </c>
      <c r="K130">
        <v>166191.67041200001</v>
      </c>
      <c r="L130">
        <v>-0.71058100000000002</v>
      </c>
      <c r="M130">
        <v>31.482431999999999</v>
      </c>
      <c r="N130">
        <v>187.433279</v>
      </c>
      <c r="O130">
        <v>28.164038999999999</v>
      </c>
      <c r="P130">
        <f t="shared" si="12"/>
        <v>-4.0670907491499992</v>
      </c>
      <c r="Q130">
        <f t="shared" ref="Q130:Q133" si="17">J130-7616*P130</f>
        <v>65.716929526395688</v>
      </c>
      <c r="R130">
        <f t="shared" si="10"/>
        <v>3.7058177498465558E-2</v>
      </c>
      <c r="S130">
        <f t="shared" si="11"/>
        <v>0.59367200352541827</v>
      </c>
    </row>
    <row r="131" spans="8:21" x14ac:dyDescent="0.2">
      <c r="I131">
        <v>929.35407399999997</v>
      </c>
      <c r="J131">
        <v>-30912.164331</v>
      </c>
      <c r="K131">
        <v>166190.348443</v>
      </c>
      <c r="L131">
        <v>-0.55295499999999997</v>
      </c>
      <c r="M131">
        <v>31.493783000000001</v>
      </c>
      <c r="N131">
        <v>187.34932599999999</v>
      </c>
      <c r="O131">
        <v>28.166284000000001</v>
      </c>
      <c r="P131">
        <f t="shared" si="12"/>
        <v>-4.0670907491499992</v>
      </c>
      <c r="Q131">
        <f t="shared" si="17"/>
        <v>62.79881452639529</v>
      </c>
      <c r="R131">
        <f t="shared" ref="R131:R148" si="18">Q131/(2*M131*O131)</f>
        <v>3.5397049658024787E-2</v>
      </c>
      <c r="S131">
        <f t="shared" si="11"/>
        <v>0.56706073552155711</v>
      </c>
    </row>
    <row r="132" spans="8:21" x14ac:dyDescent="0.2">
      <c r="I132">
        <v>929.48947499999997</v>
      </c>
      <c r="J132">
        <v>-30917.684829000002</v>
      </c>
      <c r="K132">
        <v>166178.14966900001</v>
      </c>
      <c r="L132">
        <v>-0.51624800000000004</v>
      </c>
      <c r="M132">
        <v>31.476044000000002</v>
      </c>
      <c r="N132">
        <v>187.359723</v>
      </c>
      <c r="O132">
        <v>28.178526999999999</v>
      </c>
      <c r="P132">
        <f t="shared" si="12"/>
        <v>-4.0670907491499992</v>
      </c>
      <c r="Q132">
        <f t="shared" si="17"/>
        <v>57.27831652639361</v>
      </c>
      <c r="R132">
        <f t="shared" si="18"/>
        <v>3.2289537063806405E-2</v>
      </c>
      <c r="S132">
        <f t="shared" si="11"/>
        <v>0.51727838376217861</v>
      </c>
    </row>
    <row r="133" spans="8:21" x14ac:dyDescent="0.2">
      <c r="I133">
        <v>929.86274800000001</v>
      </c>
      <c r="J133">
        <v>-30911.474673000001</v>
      </c>
      <c r="K133">
        <v>166173.78913300001</v>
      </c>
      <c r="L133">
        <v>-0.53027500000000005</v>
      </c>
      <c r="M133">
        <v>31.481717</v>
      </c>
      <c r="N133">
        <v>187.352543</v>
      </c>
      <c r="O133">
        <v>28.173787999999998</v>
      </c>
      <c r="P133">
        <f t="shared" si="12"/>
        <v>-4.0670907491499992</v>
      </c>
      <c r="Q133">
        <f t="shared" si="17"/>
        <v>63.488472526394617</v>
      </c>
      <c r="R133">
        <f t="shared" si="18"/>
        <v>3.578996139248275E-2</v>
      </c>
      <c r="S133">
        <f t="shared" si="11"/>
        <v>0.57335518150757359</v>
      </c>
      <c r="T133" s="1">
        <f>AVERAGE(S129:S133)</f>
        <v>0.55396158966096887</v>
      </c>
      <c r="U133">
        <f>STDEV(S129:S133)</f>
        <v>3.4394549466052582E-2</v>
      </c>
    </row>
    <row r="134" spans="8:21" x14ac:dyDescent="0.2">
      <c r="H134" t="s">
        <v>173</v>
      </c>
      <c r="I134">
        <v>929.61040000000003</v>
      </c>
      <c r="J134">
        <v>-26343.207619000001</v>
      </c>
      <c r="K134">
        <v>141600.53484899999</v>
      </c>
      <c r="L134">
        <v>-0.66413199999999994</v>
      </c>
      <c r="M134">
        <v>41.056607</v>
      </c>
      <c r="N134">
        <v>244.933784</v>
      </c>
      <c r="O134">
        <v>14.081016</v>
      </c>
      <c r="P134">
        <f t="shared" si="12"/>
        <v>-4.0670907491499992</v>
      </c>
      <c r="Q134">
        <f>J134-6488*P134</f>
        <v>44.077161485194665</v>
      </c>
      <c r="R134">
        <f t="shared" si="18"/>
        <v>3.812120108721171E-2</v>
      </c>
      <c r="S134">
        <f t="shared" si="11"/>
        <v>0.61070164141713157</v>
      </c>
    </row>
    <row r="135" spans="8:21" x14ac:dyDescent="0.2">
      <c r="I135">
        <v>929.82760699999994</v>
      </c>
      <c r="J135">
        <v>-26339.809353000001</v>
      </c>
      <c r="K135">
        <v>141594.51489300001</v>
      </c>
      <c r="L135">
        <v>-0.623201</v>
      </c>
      <c r="M135">
        <v>41.060495000000003</v>
      </c>
      <c r="N135">
        <v>244.830018</v>
      </c>
      <c r="O135">
        <v>14.085046</v>
      </c>
      <c r="P135">
        <f t="shared" si="12"/>
        <v>-4.0670907491499992</v>
      </c>
      <c r="Q135">
        <f t="shared" ref="Q135:Q138" si="19">J135-6488*P135</f>
        <v>47.475427485194814</v>
      </c>
      <c r="R135">
        <f t="shared" si="18"/>
        <v>4.1044638783094507E-2</v>
      </c>
      <c r="S135">
        <f t="shared" si="11"/>
        <v>0.657535113305174</v>
      </c>
    </row>
    <row r="136" spans="8:21" x14ac:dyDescent="0.2">
      <c r="I136">
        <v>929.67590800000005</v>
      </c>
      <c r="J136">
        <v>-26340.928588999999</v>
      </c>
      <c r="K136">
        <v>141587.72382700001</v>
      </c>
      <c r="L136">
        <v>-0.54239199999999999</v>
      </c>
      <c r="M136">
        <v>41.043368000000001</v>
      </c>
      <c r="N136">
        <v>244.82741300000001</v>
      </c>
      <c r="O136">
        <v>14.090405000000001</v>
      </c>
      <c r="P136">
        <f t="shared" si="12"/>
        <v>-4.0670907491499992</v>
      </c>
      <c r="Q136">
        <f t="shared" si="19"/>
        <v>46.356191485196177</v>
      </c>
      <c r="R136">
        <f t="shared" si="18"/>
        <v>4.007848391461636E-2</v>
      </c>
      <c r="S136">
        <f t="shared" si="11"/>
        <v>0.64205731231215402</v>
      </c>
    </row>
    <row r="137" spans="8:21" x14ac:dyDescent="0.2">
      <c r="I137">
        <v>929.749145</v>
      </c>
      <c r="J137">
        <v>-26343.586961000001</v>
      </c>
      <c r="K137">
        <v>141623.365563</v>
      </c>
      <c r="L137">
        <v>-0.62002800000000002</v>
      </c>
      <c r="M137">
        <v>41.044685999999999</v>
      </c>
      <c r="N137">
        <v>245.04542799999999</v>
      </c>
      <c r="O137">
        <v>14.080958000000001</v>
      </c>
      <c r="P137">
        <f t="shared" si="12"/>
        <v>-4.0670907491499992</v>
      </c>
      <c r="Q137">
        <f t="shared" si="19"/>
        <v>43.697819485194486</v>
      </c>
      <c r="R137">
        <f t="shared" si="18"/>
        <v>3.7804250299719191E-2</v>
      </c>
      <c r="S137">
        <f t="shared" si="11"/>
        <v>0.6056240898015014</v>
      </c>
    </row>
    <row r="138" spans="8:21" x14ac:dyDescent="0.2">
      <c r="I138">
        <v>929.70188199999996</v>
      </c>
      <c r="J138">
        <v>-26335.683290000001</v>
      </c>
      <c r="K138">
        <v>141584.29753099999</v>
      </c>
      <c r="L138">
        <v>-0.67824600000000002</v>
      </c>
      <c r="M138">
        <v>41.058497000000003</v>
      </c>
      <c r="N138">
        <v>244.96104299999999</v>
      </c>
      <c r="O138">
        <v>14.077192</v>
      </c>
      <c r="P138">
        <f t="shared" si="12"/>
        <v>-4.0670907491499992</v>
      </c>
      <c r="Q138">
        <f t="shared" si="19"/>
        <v>51.601490485194518</v>
      </c>
      <c r="R138">
        <f t="shared" si="18"/>
        <v>4.4638867623289002E-2</v>
      </c>
      <c r="S138">
        <f t="shared" si="11"/>
        <v>0.71511465932508977</v>
      </c>
      <c r="T138" s="1">
        <f>AVERAGE(S134:S138)</f>
        <v>0.64620656323221015</v>
      </c>
      <c r="U138">
        <f>STDEV(S134:S138)</f>
        <v>4.4162808617511498E-2</v>
      </c>
    </row>
    <row r="139" spans="8:21" x14ac:dyDescent="0.2">
      <c r="H139" t="s">
        <v>174</v>
      </c>
      <c r="I139">
        <v>929.76900799999999</v>
      </c>
      <c r="J139">
        <v>-13379.919690999999</v>
      </c>
      <c r="K139">
        <v>71917.900198000003</v>
      </c>
      <c r="L139">
        <v>-1.043188</v>
      </c>
      <c r="M139">
        <v>25.369933</v>
      </c>
      <c r="N139">
        <v>201.33932899999999</v>
      </c>
      <c r="O139">
        <v>14.079606999999999</v>
      </c>
      <c r="P139">
        <f t="shared" si="12"/>
        <v>-4.0670907491499992</v>
      </c>
      <c r="Q139">
        <f>J139-3296*P139</f>
        <v>25.211418198397951</v>
      </c>
      <c r="R139">
        <f t="shared" si="18"/>
        <v>3.5290468818110196E-2</v>
      </c>
      <c r="S139">
        <f t="shared" si="11"/>
        <v>0.56535331046612536</v>
      </c>
    </row>
    <row r="140" spans="8:21" x14ac:dyDescent="0.2">
      <c r="I140">
        <v>929.82364099999995</v>
      </c>
      <c r="J140">
        <v>-13378.969897999999</v>
      </c>
      <c r="K140">
        <v>71936.122195999997</v>
      </c>
      <c r="L140">
        <v>-1.122001</v>
      </c>
      <c r="M140">
        <v>25.367025000000002</v>
      </c>
      <c r="N140">
        <v>201.284829</v>
      </c>
      <c r="O140">
        <v>14.088608000000001</v>
      </c>
      <c r="P140">
        <f t="shared" si="12"/>
        <v>-4.0670907491499992</v>
      </c>
      <c r="Q140">
        <f t="shared" ref="Q140:Q143" si="20">J140-3296*P140</f>
        <v>26.161211198397723</v>
      </c>
      <c r="R140">
        <f t="shared" si="18"/>
        <v>3.6600770560934005E-2</v>
      </c>
      <c r="S140">
        <f t="shared" si="11"/>
        <v>0.58634434438616279</v>
      </c>
    </row>
    <row r="141" spans="8:21" x14ac:dyDescent="0.2">
      <c r="I141">
        <v>929.62385900000004</v>
      </c>
      <c r="J141">
        <v>-13378.14321</v>
      </c>
      <c r="K141">
        <v>71921.079026000007</v>
      </c>
      <c r="L141">
        <v>-1.074981</v>
      </c>
      <c r="M141">
        <v>25.372537999999999</v>
      </c>
      <c r="N141">
        <v>201.26365899999999</v>
      </c>
      <c r="O141">
        <v>14.084085</v>
      </c>
      <c r="P141">
        <f t="shared" si="12"/>
        <v>-4.0670907491499992</v>
      </c>
      <c r="Q141">
        <f t="shared" si="20"/>
        <v>26.987899198396917</v>
      </c>
      <c r="R141">
        <f t="shared" si="18"/>
        <v>3.7761264993811439E-2</v>
      </c>
      <c r="S141">
        <f t="shared" si="11"/>
        <v>0.60493546520085928</v>
      </c>
    </row>
    <row r="142" spans="8:21" x14ac:dyDescent="0.2">
      <c r="I142">
        <v>929.18374100000005</v>
      </c>
      <c r="J142">
        <v>-13380.315273</v>
      </c>
      <c r="K142">
        <v>71926.735046999995</v>
      </c>
      <c r="L142">
        <v>-1.3884259999999999</v>
      </c>
      <c r="M142">
        <v>25.377454</v>
      </c>
      <c r="N142">
        <v>201.35456099999999</v>
      </c>
      <c r="O142">
        <v>14.076116000000001</v>
      </c>
      <c r="P142">
        <f t="shared" si="12"/>
        <v>-4.0670907491499992</v>
      </c>
      <c r="Q142">
        <f t="shared" si="20"/>
        <v>24.815836198396937</v>
      </c>
      <c r="R142">
        <f t="shared" si="18"/>
        <v>3.4735058271361093E-2</v>
      </c>
      <c r="S142">
        <f t="shared" si="11"/>
        <v>0.55645563350720473</v>
      </c>
    </row>
    <row r="143" spans="8:21" x14ac:dyDescent="0.2">
      <c r="I143">
        <v>929.55634999999995</v>
      </c>
      <c r="J143">
        <v>-13382.418775</v>
      </c>
      <c r="K143">
        <v>71928.373630999995</v>
      </c>
      <c r="L143">
        <v>-1.2308969999999999</v>
      </c>
      <c r="M143">
        <v>25.369861</v>
      </c>
      <c r="N143">
        <v>201.377531</v>
      </c>
      <c r="O143">
        <v>14.079027</v>
      </c>
      <c r="P143">
        <f t="shared" si="12"/>
        <v>-4.0670907491499992</v>
      </c>
      <c r="Q143">
        <f t="shared" si="20"/>
        <v>22.712334198397002</v>
      </c>
      <c r="R143">
        <f t="shared" si="18"/>
        <v>3.179369800457188E-2</v>
      </c>
      <c r="S143">
        <f t="shared" si="11"/>
        <v>0.50933504203324154</v>
      </c>
      <c r="T143" s="1">
        <f>AVERAGE(S139:S143)</f>
        <v>0.56448475911871865</v>
      </c>
      <c r="U143">
        <f>STDEV(S139:S143)</f>
        <v>3.6127598954072172E-2</v>
      </c>
    </row>
    <row r="144" spans="8:21" x14ac:dyDescent="0.2">
      <c r="H144" t="s">
        <v>175</v>
      </c>
      <c r="I144">
        <v>929.38966800000003</v>
      </c>
      <c r="J144">
        <v>-19292.851632999998</v>
      </c>
      <c r="K144">
        <v>103700.384217</v>
      </c>
      <c r="L144">
        <v>-0.90622000000000003</v>
      </c>
      <c r="M144">
        <v>35.178190999999998</v>
      </c>
      <c r="N144">
        <v>209.17920699999999</v>
      </c>
      <c r="O144">
        <v>14.09254</v>
      </c>
      <c r="P144">
        <f t="shared" si="12"/>
        <v>-4.0670907491499992</v>
      </c>
      <c r="Q144">
        <f>J144-4752*P144</f>
        <v>33.963606960798643</v>
      </c>
      <c r="R144">
        <f t="shared" si="18"/>
        <v>3.4254768119236702E-2</v>
      </c>
      <c r="S144">
        <f t="shared" ref="S144:S148" si="21">R144*16.02</f>
        <v>0.54876138527017193</v>
      </c>
    </row>
    <row r="145" spans="8:21" x14ac:dyDescent="0.2">
      <c r="I145">
        <v>929.67877699999997</v>
      </c>
      <c r="J145">
        <v>-19288.178716999999</v>
      </c>
      <c r="K145">
        <v>103699.620007</v>
      </c>
      <c r="L145">
        <v>-0.89906600000000003</v>
      </c>
      <c r="M145">
        <v>35.195089000000003</v>
      </c>
      <c r="N145">
        <v>209.23499899999999</v>
      </c>
      <c r="O145">
        <v>14.081920999999999</v>
      </c>
      <c r="P145">
        <f t="shared" si="12"/>
        <v>-4.0670907491499992</v>
      </c>
      <c r="Q145">
        <f t="shared" ref="Q145:Q148" si="22">J145-4752*P145</f>
        <v>38.636522960798175</v>
      </c>
      <c r="R145">
        <f t="shared" si="18"/>
        <v>3.89784054482765E-2</v>
      </c>
      <c r="S145">
        <f t="shared" si="21"/>
        <v>0.62443405528138951</v>
      </c>
    </row>
    <row r="146" spans="8:21" x14ac:dyDescent="0.2">
      <c r="I146">
        <v>929.64245000000005</v>
      </c>
      <c r="J146">
        <v>-19293.602869999999</v>
      </c>
      <c r="K146">
        <v>103705.825876</v>
      </c>
      <c r="L146">
        <v>-0.98701300000000003</v>
      </c>
      <c r="M146">
        <v>35.188547999999997</v>
      </c>
      <c r="N146">
        <v>209.30307199999999</v>
      </c>
      <c r="O146">
        <v>14.080795999999999</v>
      </c>
      <c r="P146">
        <f t="shared" si="12"/>
        <v>-4.0670907491499992</v>
      </c>
      <c r="Q146">
        <f t="shared" si="22"/>
        <v>33.212369960798242</v>
      </c>
      <c r="R146">
        <f t="shared" si="18"/>
        <v>3.3515161621058893E-2</v>
      </c>
      <c r="S146">
        <f t="shared" si="21"/>
        <v>0.53691288916936342</v>
      </c>
    </row>
    <row r="147" spans="8:21" x14ac:dyDescent="0.2">
      <c r="I147">
        <v>929.84841300000005</v>
      </c>
      <c r="J147">
        <v>-19291.195557999999</v>
      </c>
      <c r="K147">
        <v>103696.28116300001</v>
      </c>
      <c r="L147">
        <v>-0.94675500000000001</v>
      </c>
      <c r="M147">
        <v>35.196368999999997</v>
      </c>
      <c r="N147">
        <v>209.27426500000001</v>
      </c>
      <c r="O147">
        <v>14.078306</v>
      </c>
      <c r="P147">
        <f t="shared" si="12"/>
        <v>-4.0670907491499992</v>
      </c>
      <c r="Q147">
        <f t="shared" si="22"/>
        <v>35.619681960797607</v>
      </c>
      <c r="R147">
        <f t="shared" si="18"/>
        <v>3.5942789460273426E-2</v>
      </c>
      <c r="S147">
        <f t="shared" si="21"/>
        <v>0.57580348715358032</v>
      </c>
    </row>
    <row r="148" spans="8:21" x14ac:dyDescent="0.2">
      <c r="I148">
        <v>929.46905400000003</v>
      </c>
      <c r="J148">
        <v>-19290.364799999999</v>
      </c>
      <c r="K148">
        <v>103681.215755</v>
      </c>
      <c r="L148">
        <v>-0.77617599999999998</v>
      </c>
      <c r="M148">
        <v>35.18938</v>
      </c>
      <c r="N148">
        <v>209.21759900000001</v>
      </c>
      <c r="O148">
        <v>14.082882</v>
      </c>
      <c r="P148">
        <f t="shared" si="12"/>
        <v>-4.0670907491499992</v>
      </c>
      <c r="Q148">
        <f t="shared" si="22"/>
        <v>36.450439960797667</v>
      </c>
      <c r="R148">
        <f t="shared" si="18"/>
        <v>3.6776434648340184E-2</v>
      </c>
      <c r="S148">
        <f t="shared" si="21"/>
        <v>0.58915848306640972</v>
      </c>
      <c r="T148" s="1">
        <f>AVERAGE(S144:S148)</f>
        <v>0.575014059988183</v>
      </c>
      <c r="U148">
        <f>STDEV(S144:S148)</f>
        <v>3.4582965394325503E-2</v>
      </c>
    </row>
    <row r="149" spans="8:21" x14ac:dyDescent="0.2">
      <c r="S149" s="1"/>
    </row>
    <row r="150" spans="8:21" x14ac:dyDescent="0.2">
      <c r="H150" t="s">
        <v>30</v>
      </c>
    </row>
    <row r="151" spans="8:21" x14ac:dyDescent="0.2">
      <c r="I151" t="s">
        <v>18</v>
      </c>
      <c r="J151" t="s">
        <v>5</v>
      </c>
      <c r="K151" t="s">
        <v>7</v>
      </c>
      <c r="L151" t="s">
        <v>19</v>
      </c>
      <c r="M151" t="s">
        <v>20</v>
      </c>
      <c r="N151" t="s">
        <v>21</v>
      </c>
      <c r="O151" t="s">
        <v>22</v>
      </c>
      <c r="P151" t="s">
        <v>26</v>
      </c>
      <c r="Q151" t="s">
        <v>12</v>
      </c>
      <c r="R151" t="s">
        <v>23</v>
      </c>
      <c r="S151" t="s">
        <v>23</v>
      </c>
    </row>
    <row r="152" spans="8:21" x14ac:dyDescent="0.2">
      <c r="H152" t="s">
        <v>55</v>
      </c>
      <c r="I152">
        <v>866.93425200000001</v>
      </c>
      <c r="J152">
        <v>-26302.383293999999</v>
      </c>
      <c r="K152">
        <v>62453.115488000003</v>
      </c>
      <c r="L152">
        <v>-1.0549360000000001</v>
      </c>
      <c r="M152">
        <v>28.722726000000002</v>
      </c>
      <c r="N152">
        <v>171.48878300000001</v>
      </c>
      <c r="O152">
        <v>12.67923</v>
      </c>
      <c r="P152">
        <f>$K$16</f>
        <v>-6.7554243092999995</v>
      </c>
      <c r="Q152">
        <f>J152-3904*P152</f>
        <v>70.793209507199208</v>
      </c>
      <c r="R152">
        <f>Q152/(2*M152*O152)</f>
        <v>9.7194809115946523E-2</v>
      </c>
      <c r="S152">
        <f>R152*16.02</f>
        <v>1.5570608420374632</v>
      </c>
    </row>
    <row r="153" spans="8:21" x14ac:dyDescent="0.2">
      <c r="I153">
        <v>866.82950300000005</v>
      </c>
      <c r="J153">
        <v>-26303.553294000001</v>
      </c>
      <c r="K153">
        <v>62450.798667000003</v>
      </c>
      <c r="L153">
        <v>-1.2123980000000001</v>
      </c>
      <c r="M153">
        <v>28.723044999999999</v>
      </c>
      <c r="N153">
        <v>171.48120499999999</v>
      </c>
      <c r="O153">
        <v>12.679179</v>
      </c>
      <c r="P153">
        <f>$K$16</f>
        <v>-6.7554243092999995</v>
      </c>
      <c r="Q153">
        <f>J153-3904*P153</f>
        <v>69.623209507197316</v>
      </c>
      <c r="R153">
        <f>Q153/(2*M153*O153)</f>
        <v>9.5587792519121279E-2</v>
      </c>
      <c r="S153">
        <f>R153*16.02</f>
        <v>1.5313164361563227</v>
      </c>
    </row>
    <row r="154" spans="8:21" x14ac:dyDescent="0.2">
      <c r="I154">
        <v>867.012381</v>
      </c>
      <c r="J154">
        <v>-26302.991352000001</v>
      </c>
      <c r="K154">
        <v>62452.365752999998</v>
      </c>
      <c r="L154">
        <v>-1.0359769999999999</v>
      </c>
      <c r="M154">
        <v>28.723120000000002</v>
      </c>
      <c r="N154">
        <v>171.48345699999999</v>
      </c>
      <c r="O154">
        <v>12.679297</v>
      </c>
      <c r="P154">
        <f>$K$16</f>
        <v>-6.7554243092999995</v>
      </c>
      <c r="Q154">
        <f>J154-3904*P154</f>
        <v>70.185151507197588</v>
      </c>
      <c r="R154">
        <f>Q154/(2*M154*O154)</f>
        <v>9.6358151171330564E-2</v>
      </c>
      <c r="S154">
        <f>R154*16.02</f>
        <v>1.5436575817647156</v>
      </c>
    </row>
    <row r="155" spans="8:21" x14ac:dyDescent="0.2">
      <c r="I155">
        <v>866.84349899999995</v>
      </c>
      <c r="J155">
        <v>-26303.452519999999</v>
      </c>
      <c r="K155">
        <v>62451.747342000002</v>
      </c>
      <c r="L155">
        <v>-1.03881</v>
      </c>
      <c r="M155">
        <v>28.722459000000001</v>
      </c>
      <c r="N155">
        <v>171.489282</v>
      </c>
      <c r="O155">
        <v>12.679033</v>
      </c>
      <c r="P155">
        <f>$K$16</f>
        <v>-6.7554243092999995</v>
      </c>
      <c r="Q155">
        <f>J155-3904*P155</f>
        <v>69.723983507199591</v>
      </c>
      <c r="R155">
        <f>Q155/(2*M155*O155)</f>
        <v>9.5729203501862148E-2</v>
      </c>
      <c r="S155">
        <f>R155*16.02</f>
        <v>1.5335818400998316</v>
      </c>
    </row>
    <row r="156" spans="8:21" x14ac:dyDescent="0.2">
      <c r="I156">
        <v>867.06917899999996</v>
      </c>
      <c r="J156">
        <v>-26303.791485999998</v>
      </c>
      <c r="K156">
        <v>62450.622040000002</v>
      </c>
      <c r="L156">
        <v>-1.1078349999999999</v>
      </c>
      <c r="M156">
        <v>28.722524</v>
      </c>
      <c r="N156">
        <v>171.485477</v>
      </c>
      <c r="O156">
        <v>12.679057999999999</v>
      </c>
      <c r="P156">
        <f>$K$16</f>
        <v>-6.7554243092999995</v>
      </c>
      <c r="Q156">
        <f>J156-3904*P156</f>
        <v>69.385017507200246</v>
      </c>
      <c r="R156">
        <f>Q156/(2*M156*O156)</f>
        <v>9.5263408638736821E-2</v>
      </c>
      <c r="S156">
        <f>R156*16.02</f>
        <v>1.5261198063925638</v>
      </c>
    </row>
    <row r="157" spans="8:21" x14ac:dyDescent="0.2">
      <c r="S157" s="1">
        <f>AVERAGE(S152:S156)</f>
        <v>1.5383473012901794</v>
      </c>
    </row>
    <row r="158" spans="8:21" x14ac:dyDescent="0.2">
      <c r="H158" t="s">
        <v>133</v>
      </c>
      <c r="I158">
        <v>929.46448799999996</v>
      </c>
      <c r="J158">
        <v>-21343.757613000002</v>
      </c>
      <c r="K158">
        <v>50689.088674999999</v>
      </c>
      <c r="L158">
        <v>-1.4675</v>
      </c>
      <c r="M158">
        <v>22.430820000000001</v>
      </c>
      <c r="N158">
        <v>178.22833199999999</v>
      </c>
      <c r="O158">
        <v>12.679226</v>
      </c>
      <c r="P158">
        <f>$K$16</f>
        <v>-6.7554243092999995</v>
      </c>
      <c r="Q158">
        <f>J158-3168*P158</f>
        <v>57.426598862395622</v>
      </c>
      <c r="R158">
        <f>Q158/(2*M158*O158)</f>
        <v>0.10095903868914251</v>
      </c>
      <c r="S158">
        <f>R158*16.02</f>
        <v>1.617363799800063</v>
      </c>
    </row>
    <row r="159" spans="8:21" x14ac:dyDescent="0.2">
      <c r="I159">
        <v>929.53186400000004</v>
      </c>
      <c r="J159">
        <v>-21343.507156</v>
      </c>
      <c r="K159">
        <v>50689.474761999998</v>
      </c>
      <c r="L159">
        <v>-1.375143</v>
      </c>
      <c r="M159">
        <v>22.432856999999998</v>
      </c>
      <c r="N159">
        <v>178.212602</v>
      </c>
      <c r="O159">
        <v>12.679292</v>
      </c>
      <c r="P159">
        <f>$K$16</f>
        <v>-6.7554243092999995</v>
      </c>
      <c r="Q159">
        <f t="shared" ref="Q159:Q162" si="23">J159-3168*P159</f>
        <v>57.677055862397538</v>
      </c>
      <c r="R159">
        <f>Q159/(2*M159*O159)</f>
        <v>0.10138962025082919</v>
      </c>
      <c r="S159">
        <f>R159*16.02</f>
        <v>1.6242617164182835</v>
      </c>
    </row>
    <row r="160" spans="8:21" x14ac:dyDescent="0.2">
      <c r="I160">
        <v>929.56895699999995</v>
      </c>
      <c r="J160">
        <v>-21343.591552999998</v>
      </c>
      <c r="K160">
        <v>50689.873715000002</v>
      </c>
      <c r="L160">
        <v>-1.751441</v>
      </c>
      <c r="M160">
        <v>22.431557000000002</v>
      </c>
      <c r="N160">
        <v>178.22917799999999</v>
      </c>
      <c r="O160">
        <v>12.678946</v>
      </c>
      <c r="P160">
        <f>$K$16</f>
        <v>-6.7554243092999995</v>
      </c>
      <c r="Q160">
        <f t="shared" si="23"/>
        <v>57.592658862398821</v>
      </c>
      <c r="R160">
        <f>Q160/(2*M160*O160)</f>
        <v>0.10124989035641883</v>
      </c>
      <c r="S160">
        <f>R160*16.02</f>
        <v>1.6220232435098296</v>
      </c>
    </row>
    <row r="161" spans="8:21" x14ac:dyDescent="0.2">
      <c r="I161">
        <v>929.58995600000003</v>
      </c>
      <c r="J161">
        <v>-21344.290831999999</v>
      </c>
      <c r="K161">
        <v>50688.038670000002</v>
      </c>
      <c r="L161">
        <v>-1.6792879999999999</v>
      </c>
      <c r="M161">
        <v>22.430667</v>
      </c>
      <c r="N161">
        <v>178.23005599999999</v>
      </c>
      <c r="O161">
        <v>12.678928000000001</v>
      </c>
      <c r="P161">
        <f>$K$16</f>
        <v>-6.7554243092999995</v>
      </c>
      <c r="Q161">
        <f t="shared" si="23"/>
        <v>56.893379862398433</v>
      </c>
      <c r="R161">
        <f>Q161/(2*M161*O161)</f>
        <v>0.10002464423794051</v>
      </c>
      <c r="S161">
        <f>R161*16.02</f>
        <v>1.602394800691807</v>
      </c>
    </row>
    <row r="162" spans="8:21" x14ac:dyDescent="0.2">
      <c r="I162">
        <v>929.31490699999995</v>
      </c>
      <c r="J162">
        <v>-21344.264284000001</v>
      </c>
      <c r="K162">
        <v>50687.952485000002</v>
      </c>
      <c r="L162">
        <v>-1.6611210000000001</v>
      </c>
      <c r="M162">
        <v>22.431626999999999</v>
      </c>
      <c r="N162">
        <v>178.22192200000001</v>
      </c>
      <c r="O162">
        <v>12.678941999999999</v>
      </c>
      <c r="P162">
        <f>$K$16</f>
        <v>-6.7554243092999995</v>
      </c>
      <c r="Q162">
        <f t="shared" si="23"/>
        <v>56.919927862396435</v>
      </c>
      <c r="R162">
        <f>Q162/(2*M162*O162)</f>
        <v>0.10006692524291168</v>
      </c>
      <c r="S162">
        <f>R162*16.02</f>
        <v>1.6030721423914451</v>
      </c>
    </row>
    <row r="163" spans="8:21" x14ac:dyDescent="0.2">
      <c r="S163" s="1">
        <f>AVERAGE(S158:S162)</f>
        <v>1.6138231405622858</v>
      </c>
      <c r="U163" s="1">
        <v>1.5383473012901794</v>
      </c>
    </row>
    <row r="164" spans="8:21" x14ac:dyDescent="0.2">
      <c r="H164" t="s">
        <v>28</v>
      </c>
      <c r="I164">
        <v>929.62913700000001</v>
      </c>
      <c r="J164">
        <v>-50135.400722999999</v>
      </c>
      <c r="K164">
        <v>119015.094128</v>
      </c>
      <c r="L164">
        <v>-0.53850399999999998</v>
      </c>
      <c r="M164">
        <v>32.344313</v>
      </c>
      <c r="N164">
        <v>193.45427900000001</v>
      </c>
      <c r="O164">
        <v>19.020671</v>
      </c>
      <c r="P164">
        <f>$K$16</f>
        <v>-6.7554243092999995</v>
      </c>
      <c r="Q164">
        <f>J164-7440*P164</f>
        <v>124.95613819199934</v>
      </c>
      <c r="R164">
        <f>Q164/(2*M164*O164)</f>
        <v>0.10155559017627097</v>
      </c>
      <c r="S164">
        <f>R164*16.02</f>
        <v>1.626920554623861</v>
      </c>
      <c r="U164" s="1">
        <v>1.6138231405622858</v>
      </c>
    </row>
    <row r="165" spans="8:21" x14ac:dyDescent="0.2">
      <c r="I165">
        <v>929.37850800000001</v>
      </c>
      <c r="J165">
        <v>-50134.682859</v>
      </c>
      <c r="K165">
        <v>119016.24409199999</v>
      </c>
      <c r="L165">
        <v>-0.769146</v>
      </c>
      <c r="M165">
        <v>32.344287000000001</v>
      </c>
      <c r="N165">
        <v>193.46096600000001</v>
      </c>
      <c r="O165">
        <v>19.020212999999998</v>
      </c>
      <c r="P165">
        <f>$K$16</f>
        <v>-6.7554243092999995</v>
      </c>
      <c r="Q165">
        <f>J165-7440*P165</f>
        <v>125.67400219199772</v>
      </c>
      <c r="R165">
        <f>Q165/(2*M165*O165)</f>
        <v>0.10214156129398512</v>
      </c>
      <c r="S165">
        <f>R165*16.02</f>
        <v>1.6363078119296415</v>
      </c>
      <c r="U165" s="1">
        <v>1.633167301293085</v>
      </c>
    </row>
    <row r="166" spans="8:21" x14ac:dyDescent="0.2">
      <c r="I166">
        <v>929.25592400000005</v>
      </c>
      <c r="J166">
        <v>-50135.208659000004</v>
      </c>
      <c r="K166">
        <v>119014.218526</v>
      </c>
      <c r="L166">
        <v>-0.81149199999999999</v>
      </c>
      <c r="M166">
        <v>32.343587999999997</v>
      </c>
      <c r="N166">
        <v>193.46056400000001</v>
      </c>
      <c r="O166">
        <v>19.020340000000001</v>
      </c>
      <c r="P166">
        <f>$K$16</f>
        <v>-6.7554243092999995</v>
      </c>
      <c r="Q166">
        <f>J166-7440*P166</f>
        <v>125.14820219199464</v>
      </c>
      <c r="R166">
        <f>Q166/(2*M166*O166)</f>
        <v>0.10171573632751862</v>
      </c>
      <c r="S166">
        <f>R166*16.02</f>
        <v>1.6294860959668482</v>
      </c>
      <c r="U166" s="1">
        <v>1.839042816062598</v>
      </c>
    </row>
    <row r="167" spans="8:21" x14ac:dyDescent="0.2">
      <c r="I167">
        <v>929.71108100000004</v>
      </c>
      <c r="J167">
        <v>-50133.823560999997</v>
      </c>
      <c r="K167">
        <v>119018.357559</v>
      </c>
      <c r="L167">
        <v>-0.42552400000000001</v>
      </c>
      <c r="M167">
        <v>32.343938999999999</v>
      </c>
      <c r="N167">
        <v>193.46184700000001</v>
      </c>
      <c r="O167">
        <v>19.020668000000001</v>
      </c>
      <c r="P167">
        <f>$K$16</f>
        <v>-6.7554243092999995</v>
      </c>
      <c r="Q167">
        <f>J167-7440*P167</f>
        <v>126.53330019200075</v>
      </c>
      <c r="R167">
        <f>Q167/(2*M167*O167)</f>
        <v>0.1028386022480733</v>
      </c>
      <c r="S167">
        <f>R167*16.02</f>
        <v>1.6474744080141341</v>
      </c>
      <c r="U167" s="1">
        <v>1.5676658377525972</v>
      </c>
    </row>
    <row r="168" spans="8:21" x14ac:dyDescent="0.2">
      <c r="I168">
        <v>929.59728500000006</v>
      </c>
      <c r="J168">
        <v>-50135.502855999999</v>
      </c>
      <c r="K168">
        <v>119014.423453</v>
      </c>
      <c r="L168">
        <v>-0.48513800000000001</v>
      </c>
      <c r="M168">
        <v>32.344005000000003</v>
      </c>
      <c r="N168">
        <v>193.45996199999999</v>
      </c>
      <c r="O168">
        <v>19.020187</v>
      </c>
      <c r="P168">
        <f>$K$16</f>
        <v>-6.7554243092999995</v>
      </c>
      <c r="Q168">
        <f>J168-7440*P168</f>
        <v>124.85400519199902</v>
      </c>
      <c r="R168">
        <f>Q168/(2*M168*O168)</f>
        <v>0.10147613208058305</v>
      </c>
      <c r="S168">
        <f>R168*16.02</f>
        <v>1.6256476359309404</v>
      </c>
      <c r="U168" s="1">
        <v>1.8754277679241351</v>
      </c>
    </row>
    <row r="169" spans="8:21" x14ac:dyDescent="0.2">
      <c r="S169" s="1">
        <f>AVERAGE(S164:S168)</f>
        <v>1.633167301293085</v>
      </c>
      <c r="U169" s="1">
        <v>1.6378354198643019</v>
      </c>
    </row>
    <row r="170" spans="8:21" x14ac:dyDescent="0.2">
      <c r="H170" t="s">
        <v>134</v>
      </c>
      <c r="I170">
        <v>929.44558300000006</v>
      </c>
      <c r="J170">
        <v>-21756.591829000001</v>
      </c>
      <c r="K170">
        <v>51739.943496</v>
      </c>
      <c r="L170">
        <v>-1.583923</v>
      </c>
      <c r="M170">
        <v>26.155569</v>
      </c>
      <c r="N170">
        <v>156.06188399999999</v>
      </c>
      <c r="O170">
        <v>12.675499</v>
      </c>
      <c r="P170">
        <f>$K$16</f>
        <v>-6.7554243092999995</v>
      </c>
      <c r="Q170">
        <f>J170-3232*P170</f>
        <v>76.939538657596131</v>
      </c>
      <c r="R170">
        <f>Q170/(2*M170*O170)</f>
        <v>0.11603535748285164</v>
      </c>
      <c r="S170">
        <f>R170*16.02</f>
        <v>1.8588864268752832</v>
      </c>
      <c r="U170" s="1">
        <v>1.96082706787297</v>
      </c>
    </row>
    <row r="171" spans="8:21" x14ac:dyDescent="0.2">
      <c r="I171">
        <v>929.39676499999996</v>
      </c>
      <c r="J171">
        <v>-21758.178898999999</v>
      </c>
      <c r="K171">
        <v>51735.785100000001</v>
      </c>
      <c r="L171">
        <v>-1.6614150000000001</v>
      </c>
      <c r="M171">
        <v>26.156075000000001</v>
      </c>
      <c r="N171">
        <v>156.04868400000001</v>
      </c>
      <c r="O171">
        <v>12.675307999999999</v>
      </c>
      <c r="P171">
        <f>$K$16</f>
        <v>-6.7554243092999995</v>
      </c>
      <c r="Q171">
        <f t="shared" ref="Q171:Q174" si="24">J171-3232*P171</f>
        <v>75.352468657598365</v>
      </c>
      <c r="R171">
        <f>Q171/(2*M171*O171)</f>
        <v>0.11364135259953533</v>
      </c>
      <c r="S171">
        <f>R171*16.02</f>
        <v>1.8205344686445559</v>
      </c>
      <c r="U171" s="1">
        <v>1.7877419479493941</v>
      </c>
    </row>
    <row r="172" spans="8:21" x14ac:dyDescent="0.2">
      <c r="I172">
        <v>929.32867199999998</v>
      </c>
      <c r="J172">
        <v>-21758.049040000002</v>
      </c>
      <c r="K172">
        <v>51736.939030000001</v>
      </c>
      <c r="L172">
        <v>-1.628182</v>
      </c>
      <c r="M172">
        <v>26.154857</v>
      </c>
      <c r="N172">
        <v>156.06103999999999</v>
      </c>
      <c r="O172">
        <v>12.675177</v>
      </c>
      <c r="P172">
        <f>$K$16</f>
        <v>-6.7554243092999995</v>
      </c>
      <c r="Q172">
        <f t="shared" si="24"/>
        <v>75.482327657595306</v>
      </c>
      <c r="R172">
        <f>Q172/(2*M172*O172)</f>
        <v>0.11384367475279047</v>
      </c>
      <c r="S172">
        <f>R172*16.02</f>
        <v>1.8237756695397034</v>
      </c>
      <c r="U172" s="1">
        <v>1.7175541897910267</v>
      </c>
    </row>
    <row r="173" spans="8:21" x14ac:dyDescent="0.2">
      <c r="I173">
        <v>929.61495100000002</v>
      </c>
      <c r="J173">
        <v>-21757.186450000001</v>
      </c>
      <c r="K173">
        <v>51739.078234000001</v>
      </c>
      <c r="L173">
        <v>-1.727511</v>
      </c>
      <c r="M173">
        <v>26.155010000000001</v>
      </c>
      <c r="N173">
        <v>156.068195</v>
      </c>
      <c r="O173">
        <v>12.675046999999999</v>
      </c>
      <c r="P173">
        <f>$K$16</f>
        <v>-6.7554243092999995</v>
      </c>
      <c r="Q173">
        <f t="shared" si="24"/>
        <v>76.344917657595943</v>
      </c>
      <c r="R173">
        <f>Q173/(2*M173*O173)</f>
        <v>0.11514515441930921</v>
      </c>
      <c r="S173">
        <f>R173*16.02</f>
        <v>1.8446253737973335</v>
      </c>
    </row>
    <row r="174" spans="8:21" x14ac:dyDescent="0.2">
      <c r="I174">
        <v>929.51300700000002</v>
      </c>
      <c r="J174">
        <v>-21757.066430999999</v>
      </c>
      <c r="K174">
        <v>51739.833597999997</v>
      </c>
      <c r="L174">
        <v>-1.6081570000000001</v>
      </c>
      <c r="M174">
        <v>26.156752000000001</v>
      </c>
      <c r="N174">
        <v>156.059224</v>
      </c>
      <c r="O174">
        <v>12.675115999999999</v>
      </c>
      <c r="P174">
        <f>$K$16</f>
        <v>-6.7554243092999995</v>
      </c>
      <c r="Q174">
        <f t="shared" si="24"/>
        <v>76.464936657597718</v>
      </c>
      <c r="R174">
        <f>Q174/(2*M174*O174)</f>
        <v>0.11531786151411451</v>
      </c>
      <c r="S174">
        <f>R174*16.02</f>
        <v>1.8473921414561143</v>
      </c>
    </row>
    <row r="175" spans="8:21" x14ac:dyDescent="0.2">
      <c r="S175" s="1">
        <f>AVERAGE(S170:S174)</f>
        <v>1.839042816062598</v>
      </c>
    </row>
    <row r="176" spans="8:21" x14ac:dyDescent="0.2">
      <c r="H176" t="s">
        <v>27</v>
      </c>
      <c r="I176">
        <v>929.32969100000003</v>
      </c>
      <c r="J176">
        <v>-32351.468513</v>
      </c>
      <c r="K176">
        <v>76743.654649000004</v>
      </c>
      <c r="L176">
        <v>-0.89201200000000003</v>
      </c>
      <c r="M176">
        <v>30.083801999999999</v>
      </c>
      <c r="N176">
        <v>201.19528</v>
      </c>
      <c r="O176">
        <v>12.679206000000001</v>
      </c>
      <c r="P176">
        <f>$K$16</f>
        <v>-6.7554243092999995</v>
      </c>
      <c r="Q176">
        <f>J176-4800*P176</f>
        <v>74.568171639999491</v>
      </c>
      <c r="R176">
        <f>Q176/(2*M176*O176)</f>
        <v>9.7745938179107067E-2</v>
      </c>
      <c r="S176">
        <f>R176*16.02</f>
        <v>1.5658899296292952</v>
      </c>
    </row>
    <row r="177" spans="8:19" x14ac:dyDescent="0.2">
      <c r="I177">
        <v>929.57745599999998</v>
      </c>
      <c r="J177">
        <v>-32351.431657000001</v>
      </c>
      <c r="K177">
        <v>76743.315568000005</v>
      </c>
      <c r="L177">
        <v>-1.0035149999999999</v>
      </c>
      <c r="M177">
        <v>30.084481</v>
      </c>
      <c r="N177">
        <v>201.189131</v>
      </c>
      <c r="O177">
        <v>12.679252</v>
      </c>
      <c r="P177">
        <f>$K$16</f>
        <v>-6.7554243092999995</v>
      </c>
      <c r="Q177">
        <f>J177-4800*P177</f>
        <v>74.605027639998298</v>
      </c>
      <c r="R177">
        <f>Q177/(2*M177*O177)</f>
        <v>9.7791688020601661E-2</v>
      </c>
      <c r="S177">
        <f>R177*16.02</f>
        <v>1.5666228420900385</v>
      </c>
    </row>
    <row r="178" spans="8:19" x14ac:dyDescent="0.2">
      <c r="I178">
        <v>929.23004900000001</v>
      </c>
      <c r="J178">
        <v>-32351.476817999999</v>
      </c>
      <c r="K178">
        <v>76743.738574999996</v>
      </c>
      <c r="L178">
        <v>-1.0880190000000001</v>
      </c>
      <c r="M178">
        <v>30.083722999999999</v>
      </c>
      <c r="N178">
        <v>201.191855</v>
      </c>
      <c r="O178">
        <v>12.679468999999999</v>
      </c>
      <c r="P178">
        <f>$K$16</f>
        <v>-6.7554243092999995</v>
      </c>
      <c r="Q178">
        <f>J178-4800*P178</f>
        <v>74.559866640000109</v>
      </c>
      <c r="R178">
        <f>Q178/(2*M178*O178)</f>
        <v>9.7733281172749376E-2</v>
      </c>
      <c r="S178">
        <f>R178*16.02</f>
        <v>1.565687164387445</v>
      </c>
    </row>
    <row r="179" spans="8:19" x14ac:dyDescent="0.2">
      <c r="I179">
        <v>929.31324800000004</v>
      </c>
      <c r="J179">
        <v>-32351.304268</v>
      </c>
      <c r="K179">
        <v>76744.331678999995</v>
      </c>
      <c r="L179">
        <v>-1.089521</v>
      </c>
      <c r="M179">
        <v>30.084022999999998</v>
      </c>
      <c r="N179">
        <v>201.19397799999999</v>
      </c>
      <c r="O179">
        <v>12.679307</v>
      </c>
      <c r="P179">
        <f>$K$16</f>
        <v>-6.7554243092999995</v>
      </c>
      <c r="Q179">
        <f>J179-4800*P179</f>
        <v>74.732416639999428</v>
      </c>
      <c r="R179">
        <f>Q179/(2*M179*O179)</f>
        <v>9.7959734923877606E-2</v>
      </c>
      <c r="S179">
        <f>R179*16.02</f>
        <v>1.5693149534805193</v>
      </c>
    </row>
    <row r="180" spans="8:19" x14ac:dyDescent="0.2">
      <c r="I180">
        <v>929.465236</v>
      </c>
      <c r="J180">
        <v>-32351.234156999999</v>
      </c>
      <c r="K180">
        <v>76744.391340000002</v>
      </c>
      <c r="L180">
        <v>-1.0020849999999999</v>
      </c>
      <c r="M180">
        <v>30.084081000000001</v>
      </c>
      <c r="N180">
        <v>201.19760299999999</v>
      </c>
      <c r="O180">
        <v>12.679064</v>
      </c>
      <c r="P180">
        <f>$K$16</f>
        <v>-6.7554243092999995</v>
      </c>
      <c r="Q180">
        <f>J180-4800*P180</f>
        <v>74.802527640000335</v>
      </c>
      <c r="R180">
        <f>Q180/(2*M180*O180)</f>
        <v>9.8053327039680852E-2</v>
      </c>
      <c r="S180">
        <f>R180*16.02</f>
        <v>1.5708142991756873</v>
      </c>
    </row>
    <row r="181" spans="8:19" x14ac:dyDescent="0.2">
      <c r="S181" s="1">
        <f>AVERAGE(S176:S180)</f>
        <v>1.5676658377525972</v>
      </c>
    </row>
    <row r="182" spans="8:19" x14ac:dyDescent="0.2">
      <c r="H182" t="s">
        <v>172</v>
      </c>
      <c r="I182">
        <v>929.503873</v>
      </c>
      <c r="J182">
        <v>-24788.325669000002</v>
      </c>
      <c r="K182">
        <v>58891.452028</v>
      </c>
      <c r="L182">
        <v>-1.079019</v>
      </c>
      <c r="M182">
        <v>24.160554000000001</v>
      </c>
      <c r="N182">
        <v>192.29567700000001</v>
      </c>
      <c r="O182">
        <v>12.675817</v>
      </c>
      <c r="P182">
        <f>$K$16</f>
        <v>-6.7554243092999995</v>
      </c>
      <c r="Q182">
        <f>J182-3680*P182</f>
        <v>71.635789223997563</v>
      </c>
      <c r="R182">
        <f>Q182/(2*M182*O182)</f>
        <v>0.11695457233286258</v>
      </c>
      <c r="S182">
        <f>R182*16.02</f>
        <v>1.8736122487724585</v>
      </c>
    </row>
    <row r="183" spans="8:19" x14ac:dyDescent="0.2">
      <c r="I183">
        <v>929.33505200000002</v>
      </c>
      <c r="J183">
        <v>-24789.015670000001</v>
      </c>
      <c r="K183">
        <v>58889.899808000002</v>
      </c>
      <c r="L183">
        <v>-0.93587299999999995</v>
      </c>
      <c r="M183">
        <v>24.160985</v>
      </c>
      <c r="N183">
        <v>192.28567200000001</v>
      </c>
      <c r="O183">
        <v>12.675917</v>
      </c>
      <c r="P183">
        <f>$K$16</f>
        <v>-6.7554243092999995</v>
      </c>
      <c r="Q183">
        <f t="shared" ref="Q183:Q186" si="25">J183-3680*P183</f>
        <v>70.945788223998534</v>
      </c>
      <c r="R183">
        <f>Q183/(2*M183*O183)</f>
        <v>0.11582507763366111</v>
      </c>
      <c r="S183">
        <f>R183*16.02</f>
        <v>1.8555177436912509</v>
      </c>
    </row>
    <row r="184" spans="8:19" x14ac:dyDescent="0.2">
      <c r="I184">
        <v>929.49547900000005</v>
      </c>
      <c r="J184">
        <v>-24787.973217999999</v>
      </c>
      <c r="K184">
        <v>58891.803169999999</v>
      </c>
      <c r="L184">
        <v>-1.248891</v>
      </c>
      <c r="M184">
        <v>24.159949999999998</v>
      </c>
      <c r="N184">
        <v>192.295829</v>
      </c>
      <c r="O184">
        <v>12.676199</v>
      </c>
      <c r="P184">
        <f>$K$16</f>
        <v>-6.7554243092999995</v>
      </c>
      <c r="Q184">
        <f t="shared" si="25"/>
        <v>71.988240224000037</v>
      </c>
      <c r="R184">
        <f>Q184/(2*M184*O184)</f>
        <v>0.11752938996673376</v>
      </c>
      <c r="S184">
        <f>R184*16.02</f>
        <v>1.8828208272670748</v>
      </c>
    </row>
    <row r="185" spans="8:19" x14ac:dyDescent="0.2">
      <c r="I185">
        <v>929.19448699999998</v>
      </c>
      <c r="J185">
        <v>-24788.253923</v>
      </c>
      <c r="K185">
        <v>58891.703109000002</v>
      </c>
      <c r="L185">
        <v>-1.269126</v>
      </c>
      <c r="M185">
        <v>24.160433000000001</v>
      </c>
      <c r="N185">
        <v>192.293544</v>
      </c>
      <c r="O185">
        <v>12.676076</v>
      </c>
      <c r="P185">
        <f>$K$16</f>
        <v>-6.7554243092999995</v>
      </c>
      <c r="Q185">
        <f t="shared" si="25"/>
        <v>71.707535223999002</v>
      </c>
      <c r="R185">
        <f>Q185/(2*M185*O185)</f>
        <v>0.11706990111212454</v>
      </c>
      <c r="S185">
        <f>R185*16.02</f>
        <v>1.875459815816235</v>
      </c>
    </row>
    <row r="186" spans="8:19" x14ac:dyDescent="0.2">
      <c r="I186">
        <v>929.20562600000005</v>
      </c>
      <c r="J186">
        <v>-24787.707685000001</v>
      </c>
      <c r="K186">
        <v>58892.674062999999</v>
      </c>
      <c r="L186">
        <v>-1.4956400000000001</v>
      </c>
      <c r="M186">
        <v>24.160647000000001</v>
      </c>
      <c r="N186">
        <v>192.294872</v>
      </c>
      <c r="O186">
        <v>12.676085</v>
      </c>
      <c r="P186">
        <f>$K$16</f>
        <v>-6.7554243092999995</v>
      </c>
      <c r="Q186">
        <f t="shared" si="25"/>
        <v>72.253773223997996</v>
      </c>
      <c r="R186">
        <f>Q186/(2*M186*O186)</f>
        <v>0.11796056205203845</v>
      </c>
      <c r="S186">
        <f>R186*16.02</f>
        <v>1.8897282040736558</v>
      </c>
    </row>
    <row r="187" spans="8:19" x14ac:dyDescent="0.2">
      <c r="S187" s="1">
        <f>AVERAGE(S182:S186)</f>
        <v>1.8754277679241351</v>
      </c>
    </row>
    <row r="188" spans="8:19" x14ac:dyDescent="0.2">
      <c r="H188" t="s">
        <v>17</v>
      </c>
      <c r="I188">
        <v>929.27635999999995</v>
      </c>
      <c r="J188">
        <v>-51301.466598999999</v>
      </c>
      <c r="K188">
        <v>121916.317054</v>
      </c>
      <c r="L188">
        <v>-0.53426200000000001</v>
      </c>
      <c r="M188">
        <v>28.374385</v>
      </c>
      <c r="N188">
        <v>169.49654100000001</v>
      </c>
      <c r="O188">
        <v>25.349803999999999</v>
      </c>
      <c r="P188">
        <f>$K$16</f>
        <v>-6.7554243092999995</v>
      </c>
      <c r="Q188">
        <f>J188-7616*P188</f>
        <v>147.84494062879821</v>
      </c>
      <c r="R188">
        <f>Q188/(2*M188*O188)</f>
        <v>0.10277214206419985</v>
      </c>
      <c r="S188">
        <f>R188*16.02</f>
        <v>1.6464097158684816</v>
      </c>
    </row>
    <row r="189" spans="8:19" x14ac:dyDescent="0.2">
      <c r="I189">
        <v>929.51468</v>
      </c>
      <c r="J189">
        <v>-51301.771185999998</v>
      </c>
      <c r="K189">
        <v>121915.92413</v>
      </c>
      <c r="L189">
        <v>-0.67271300000000001</v>
      </c>
      <c r="M189">
        <v>28.374576000000001</v>
      </c>
      <c r="N189">
        <v>169.495848</v>
      </c>
      <c r="O189">
        <v>25.349654999999998</v>
      </c>
      <c r="P189">
        <f>$K$16</f>
        <v>-6.7554243092999995</v>
      </c>
      <c r="Q189">
        <f>J189-7616*P189</f>
        <v>147.54035362879949</v>
      </c>
      <c r="R189">
        <f>Q189/(2*M189*O189)</f>
        <v>0.10256032553628863</v>
      </c>
      <c r="S189">
        <f>R189*16.02</f>
        <v>1.6430164150913438</v>
      </c>
    </row>
    <row r="190" spans="8:19" x14ac:dyDescent="0.2">
      <c r="I190">
        <v>929.31641100000002</v>
      </c>
      <c r="J190">
        <v>-51302.571873000001</v>
      </c>
      <c r="K190">
        <v>121912.92348300001</v>
      </c>
      <c r="L190">
        <v>-0.61521700000000001</v>
      </c>
      <c r="M190">
        <v>28.373998</v>
      </c>
      <c r="N190">
        <v>169.49552</v>
      </c>
      <c r="O190">
        <v>25.349595999999998</v>
      </c>
      <c r="P190">
        <f>$K$16</f>
        <v>-6.7554243092999995</v>
      </c>
      <c r="Q190">
        <f>J190-7616*P190</f>
        <v>146.73966662879684</v>
      </c>
      <c r="R190">
        <f>Q190/(2*M190*O190)</f>
        <v>0.10200605603629399</v>
      </c>
      <c r="S190">
        <f>R190*16.02</f>
        <v>1.6341370177014298</v>
      </c>
    </row>
    <row r="191" spans="8:19" x14ac:dyDescent="0.2">
      <c r="I191">
        <v>929.35932400000002</v>
      </c>
      <c r="J191">
        <v>-51303.517998000003</v>
      </c>
      <c r="K191">
        <v>121909.92855</v>
      </c>
      <c r="L191">
        <v>-0.74909199999999998</v>
      </c>
      <c r="M191">
        <v>28.374388</v>
      </c>
      <c r="N191">
        <v>169.489836</v>
      </c>
      <c r="O191">
        <v>25.349475000000002</v>
      </c>
      <c r="P191">
        <f>$K$16</f>
        <v>-6.7554243092999995</v>
      </c>
      <c r="Q191">
        <f>J191-7616*P191</f>
        <v>145.79354162879463</v>
      </c>
      <c r="R191">
        <f>Q191/(2*M191*O191)</f>
        <v>0.10134744813725828</v>
      </c>
      <c r="S191">
        <f>R191*16.02</f>
        <v>1.6235861191588776</v>
      </c>
    </row>
    <row r="192" spans="8:19" x14ac:dyDescent="0.2">
      <c r="I192">
        <v>929.39873499999999</v>
      </c>
      <c r="J192">
        <v>-51301.861105999997</v>
      </c>
      <c r="K192">
        <v>121914.52743</v>
      </c>
      <c r="L192">
        <v>-0.70243900000000004</v>
      </c>
      <c r="M192">
        <v>28.374248999999999</v>
      </c>
      <c r="N192">
        <v>169.49521999999999</v>
      </c>
      <c r="O192">
        <v>25.34975</v>
      </c>
      <c r="P192">
        <f>$K$16</f>
        <v>-6.7554243092999995</v>
      </c>
      <c r="Q192">
        <f>J192-7616*P192</f>
        <v>147.45043362880097</v>
      </c>
      <c r="R192">
        <f>Q192/(2*M192*O192)</f>
        <v>0.10249861619858777</v>
      </c>
      <c r="S192">
        <f>R192*16.02</f>
        <v>1.6420278315013761</v>
      </c>
    </row>
    <row r="193" spans="8:19" x14ac:dyDescent="0.2">
      <c r="S193" s="1">
        <f>AVERAGE(S188:S192)</f>
        <v>1.6378354198643019</v>
      </c>
    </row>
    <row r="194" spans="8:19" x14ac:dyDescent="0.2">
      <c r="H194" t="s">
        <v>173</v>
      </c>
      <c r="I194">
        <v>929.27942800000005</v>
      </c>
      <c r="J194">
        <v>-43714.258177999996</v>
      </c>
      <c r="K194">
        <v>103802.044089</v>
      </c>
      <c r="L194">
        <v>-0.71420300000000003</v>
      </c>
      <c r="M194">
        <v>37.013727000000003</v>
      </c>
      <c r="N194">
        <v>221.25637699999999</v>
      </c>
      <c r="O194">
        <v>12.674982</v>
      </c>
      <c r="P194">
        <f>$K$16</f>
        <v>-6.7554243092999995</v>
      </c>
      <c r="Q194">
        <f>J194-6488*P194</f>
        <v>114.93474073839752</v>
      </c>
      <c r="R194">
        <f>Q194/(2*M194*O194)</f>
        <v>0.12249296756125813</v>
      </c>
      <c r="S194">
        <f>R194*16.02</f>
        <v>1.9623373403313553</v>
      </c>
    </row>
    <row r="195" spans="8:19" x14ac:dyDescent="0.2">
      <c r="I195">
        <v>929.61656200000004</v>
      </c>
      <c r="J195">
        <v>-43714.62455</v>
      </c>
      <c r="K195">
        <v>103801.01431100001</v>
      </c>
      <c r="L195">
        <v>-0.69051799999999997</v>
      </c>
      <c r="M195">
        <v>37.015374000000001</v>
      </c>
      <c r="N195">
        <v>221.24625700000001</v>
      </c>
      <c r="O195">
        <v>12.674872000000001</v>
      </c>
      <c r="P195">
        <f>$K$16</f>
        <v>-6.7554243092999995</v>
      </c>
      <c r="Q195">
        <f t="shared" ref="Q195:Q198" si="26">J195-6488*P195</f>
        <v>114.56836873839347</v>
      </c>
      <c r="R195">
        <f>Q195/(2*M195*O195)</f>
        <v>0.12209812923783188</v>
      </c>
      <c r="S195">
        <f>R195*16.02</f>
        <v>1.9560120303900665</v>
      </c>
    </row>
    <row r="196" spans="8:19" x14ac:dyDescent="0.2">
      <c r="I196">
        <v>929.35933</v>
      </c>
      <c r="J196">
        <v>-43715.543659000003</v>
      </c>
      <c r="K196">
        <v>103800.916988</v>
      </c>
      <c r="L196">
        <v>-0.67629700000000004</v>
      </c>
      <c r="M196">
        <v>37.013725000000001</v>
      </c>
      <c r="N196">
        <v>221.24947499999999</v>
      </c>
      <c r="O196">
        <v>12.675241</v>
      </c>
      <c r="P196">
        <f>$K$16</f>
        <v>-6.7554243092999995</v>
      </c>
      <c r="Q196">
        <f t="shared" si="26"/>
        <v>113.64925973839127</v>
      </c>
      <c r="R196">
        <f>Q196/(2*M196*O196)</f>
        <v>0.12112048358224681</v>
      </c>
      <c r="S196">
        <f>R196*16.02</f>
        <v>1.9403501469875939</v>
      </c>
    </row>
    <row r="197" spans="8:19" x14ac:dyDescent="0.2">
      <c r="I197">
        <v>929.29280300000005</v>
      </c>
      <c r="J197">
        <v>-43713.974815000001</v>
      </c>
      <c r="K197">
        <v>103801.910814</v>
      </c>
      <c r="L197">
        <v>-0.62059600000000004</v>
      </c>
      <c r="M197">
        <v>37.012059999999998</v>
      </c>
      <c r="N197">
        <v>221.265299</v>
      </c>
      <c r="O197">
        <v>12.675026000000001</v>
      </c>
      <c r="P197">
        <f>$K$16</f>
        <v>-6.7554243092999995</v>
      </c>
      <c r="Q197">
        <f t="shared" si="26"/>
        <v>115.21810373839253</v>
      </c>
      <c r="R197">
        <f>Q197/(2*M197*O197)</f>
        <v>0.12280006912321204</v>
      </c>
      <c r="S197">
        <f>R197*16.02</f>
        <v>1.9672571073538567</v>
      </c>
    </row>
    <row r="198" spans="8:19" x14ac:dyDescent="0.2">
      <c r="I198">
        <v>929.40529700000002</v>
      </c>
      <c r="J198">
        <v>-43713.33842</v>
      </c>
      <c r="K198">
        <v>103806.761436</v>
      </c>
      <c r="L198">
        <v>-0.76483999999999996</v>
      </c>
      <c r="M198">
        <v>37.010595000000002</v>
      </c>
      <c r="N198">
        <v>221.281858</v>
      </c>
      <c r="O198">
        <v>12.675171000000001</v>
      </c>
      <c r="P198">
        <f>$K$16</f>
        <v>-6.7554243092999995</v>
      </c>
      <c r="Q198">
        <f t="shared" si="26"/>
        <v>115.85449873839389</v>
      </c>
      <c r="R198">
        <f>Q198/(2*M198*O198)</f>
        <v>0.12348181737215842</v>
      </c>
      <c r="S198">
        <f>R198*16.02</f>
        <v>1.9781787143019778</v>
      </c>
    </row>
    <row r="199" spans="8:19" x14ac:dyDescent="0.2">
      <c r="S199" s="1">
        <f>AVERAGE(S194:S198)</f>
        <v>1.96082706787297</v>
      </c>
    </row>
    <row r="200" spans="8:19" x14ac:dyDescent="0.2">
      <c r="H200" t="s">
        <v>174</v>
      </c>
      <c r="I200">
        <v>929.24579500000004</v>
      </c>
      <c r="J200">
        <v>-22201.050265000002</v>
      </c>
      <c r="K200">
        <v>52748.690519999996</v>
      </c>
      <c r="L200">
        <v>-1.3276060000000001</v>
      </c>
      <c r="M200">
        <v>22.886078000000001</v>
      </c>
      <c r="N200">
        <v>181.85645199999999</v>
      </c>
      <c r="O200">
        <v>12.673942</v>
      </c>
      <c r="P200">
        <f>$K$16</f>
        <v>-6.7554243092999995</v>
      </c>
      <c r="Q200">
        <f>J200-3296*P200</f>
        <v>64.828258452795126</v>
      </c>
      <c r="R200">
        <f>Q200/(2*M200*O200)</f>
        <v>0.11175096192389523</v>
      </c>
      <c r="S200">
        <f>R200*16.02</f>
        <v>1.7902504100208017</v>
      </c>
    </row>
    <row r="201" spans="8:19" x14ac:dyDescent="0.2">
      <c r="I201">
        <v>929.67653299999995</v>
      </c>
      <c r="J201">
        <v>-22201.199571000001</v>
      </c>
      <c r="K201">
        <v>52751.798884000003</v>
      </c>
      <c r="L201">
        <v>-1.671324</v>
      </c>
      <c r="M201">
        <v>22.883099999999999</v>
      </c>
      <c r="N201">
        <v>181.88674</v>
      </c>
      <c r="O201">
        <v>12.674227999999999</v>
      </c>
      <c r="P201">
        <f>$K$16</f>
        <v>-6.7554243092999995</v>
      </c>
      <c r="Q201">
        <f t="shared" ref="Q201:Q204" si="27">J201-3296*P201</f>
        <v>64.678952452795784</v>
      </c>
      <c r="R201">
        <f>Q201/(2*M201*O201)</f>
        <v>0.11150558172789024</v>
      </c>
      <c r="S201">
        <f>R201*16.02</f>
        <v>1.7863194192808016</v>
      </c>
    </row>
    <row r="202" spans="8:19" x14ac:dyDescent="0.2">
      <c r="I202">
        <v>929.46918400000004</v>
      </c>
      <c r="J202">
        <v>-22201.510684000001</v>
      </c>
      <c r="K202">
        <v>52749.529718999998</v>
      </c>
      <c r="L202">
        <v>-1.4083410000000001</v>
      </c>
      <c r="M202">
        <v>22.885672</v>
      </c>
      <c r="N202">
        <v>181.85665399999999</v>
      </c>
      <c r="O202">
        <v>12.674355</v>
      </c>
      <c r="P202">
        <f>$K$16</f>
        <v>-6.7554243092999995</v>
      </c>
      <c r="Q202">
        <f t="shared" si="27"/>
        <v>64.367839452796034</v>
      </c>
      <c r="R202">
        <f>Q202/(2*M202*O202)</f>
        <v>0.11095564434139922</v>
      </c>
      <c r="S202">
        <f>R202*16.02</f>
        <v>1.7775094223492154</v>
      </c>
    </row>
    <row r="203" spans="8:19" x14ac:dyDescent="0.2">
      <c r="I203">
        <v>929.52324099999998</v>
      </c>
      <c r="J203">
        <v>-22200.709450999999</v>
      </c>
      <c r="K203">
        <v>52751.688183999999</v>
      </c>
      <c r="L203">
        <v>-1.644558</v>
      </c>
      <c r="M203">
        <v>22.882809999999999</v>
      </c>
      <c r="N203">
        <v>181.88301200000001</v>
      </c>
      <c r="O203">
        <v>12.674621999999999</v>
      </c>
      <c r="P203">
        <f>$K$16</f>
        <v>-6.7554243092999995</v>
      </c>
      <c r="Q203">
        <f t="shared" si="27"/>
        <v>65.169072452797991</v>
      </c>
      <c r="R203">
        <f>Q203/(2*M203*O203)</f>
        <v>0.11234847284782007</v>
      </c>
      <c r="S203">
        <f>R203*16.02</f>
        <v>1.7998225350220776</v>
      </c>
    </row>
    <row r="204" spans="8:19" x14ac:dyDescent="0.2">
      <c r="I204">
        <v>929.52479900000003</v>
      </c>
      <c r="J204">
        <v>-22201.248782999999</v>
      </c>
      <c r="K204">
        <v>52750.899384999997</v>
      </c>
      <c r="L204">
        <v>-1.494219</v>
      </c>
      <c r="M204">
        <v>22.885033</v>
      </c>
      <c r="N204">
        <v>181.868121</v>
      </c>
      <c r="O204">
        <v>12.674239</v>
      </c>
      <c r="P204">
        <f>$K$16</f>
        <v>-6.7554243092999995</v>
      </c>
      <c r="Q204">
        <f t="shared" si="27"/>
        <v>64.629740452797705</v>
      </c>
      <c r="R204">
        <f>Q204/(2*M204*O204)</f>
        <v>0.11141123302584725</v>
      </c>
      <c r="S204">
        <f>R204*16.02</f>
        <v>1.784807953074073</v>
      </c>
    </row>
    <row r="205" spans="8:19" x14ac:dyDescent="0.2">
      <c r="S205" s="1">
        <f>AVERAGE(S200:S204)</f>
        <v>1.7877419479493941</v>
      </c>
    </row>
    <row r="206" spans="8:19" x14ac:dyDescent="0.2">
      <c r="H206" t="s">
        <v>175</v>
      </c>
      <c r="I206">
        <v>929.46236499999998</v>
      </c>
      <c r="J206">
        <v>-32015.350795999999</v>
      </c>
      <c r="K206">
        <v>76024.336184</v>
      </c>
      <c r="L206">
        <v>-1.389745</v>
      </c>
      <c r="M206">
        <v>31.747185000000002</v>
      </c>
      <c r="N206">
        <v>188.91947200000001</v>
      </c>
      <c r="O206">
        <v>12.675666</v>
      </c>
      <c r="P206">
        <f>$K$16</f>
        <v>-6.7554243092999995</v>
      </c>
      <c r="Q206">
        <f>J206-4752*P206</f>
        <v>86.425521793596999</v>
      </c>
      <c r="R206">
        <f>Q206/(2*M206*O206)</f>
        <v>0.10738311667260299</v>
      </c>
      <c r="S206">
        <f>R206*16.02</f>
        <v>1.7202775290950998</v>
      </c>
    </row>
    <row r="207" spans="8:19" x14ac:dyDescent="0.2">
      <c r="I207">
        <v>929.32196099999999</v>
      </c>
      <c r="J207">
        <v>-32015.347848000001</v>
      </c>
      <c r="K207">
        <v>76018.834558000002</v>
      </c>
      <c r="L207">
        <v>-0.65753099999999998</v>
      </c>
      <c r="M207">
        <v>31.749563999999999</v>
      </c>
      <c r="N207">
        <v>188.88030900000001</v>
      </c>
      <c r="O207">
        <v>12.676427</v>
      </c>
      <c r="P207">
        <f>$K$16</f>
        <v>-6.7554243092999995</v>
      </c>
      <c r="Q207">
        <f t="shared" ref="Q207:Q210" si="28">J207-4752*P207</f>
        <v>86.428469793594559</v>
      </c>
      <c r="R207">
        <f>Q207/(2*M207*O207)</f>
        <v>0.10737228679936948</v>
      </c>
      <c r="S207">
        <f>R207*16.02</f>
        <v>1.7201040345258991</v>
      </c>
    </row>
    <row r="208" spans="8:19" x14ac:dyDescent="0.2">
      <c r="I208">
        <v>929.38051099999996</v>
      </c>
      <c r="J208">
        <v>-32015.246636</v>
      </c>
      <c r="K208">
        <v>76026.051517999993</v>
      </c>
      <c r="L208">
        <v>-0.88102000000000003</v>
      </c>
      <c r="M208">
        <v>31.745856</v>
      </c>
      <c r="N208">
        <v>188.93288999999999</v>
      </c>
      <c r="O208">
        <v>12.675582</v>
      </c>
      <c r="P208">
        <f>$K$16</f>
        <v>-6.7554243092999995</v>
      </c>
      <c r="Q208">
        <f t="shared" si="28"/>
        <v>86.529681793595955</v>
      </c>
      <c r="R208">
        <f>Q208/(2*M208*O208)</f>
        <v>0.10751774813865896</v>
      </c>
      <c r="S208">
        <f>R208*16.02</f>
        <v>1.7224343251813163</v>
      </c>
    </row>
    <row r="209" spans="8:22" x14ac:dyDescent="0.2">
      <c r="I209">
        <v>929.55667100000005</v>
      </c>
      <c r="J209">
        <v>-32015.642352999999</v>
      </c>
      <c r="K209">
        <v>76020.934374000004</v>
      </c>
      <c r="L209">
        <v>-1.1832609999999999</v>
      </c>
      <c r="M209">
        <v>31.748336999999999</v>
      </c>
      <c r="N209">
        <v>188.89628200000001</v>
      </c>
      <c r="O209">
        <v>12.676194000000001</v>
      </c>
      <c r="P209">
        <f>$K$16</f>
        <v>-6.7554243092999995</v>
      </c>
      <c r="Q209">
        <f t="shared" si="28"/>
        <v>86.133964793596533</v>
      </c>
      <c r="R209">
        <f>Q209/(2*M209*O209)</f>
        <v>0.10701251824818613</v>
      </c>
      <c r="S209">
        <f>R209*16.02</f>
        <v>1.7143405423359417</v>
      </c>
    </row>
    <row r="210" spans="8:22" x14ac:dyDescent="0.2">
      <c r="I210">
        <v>929.44025799999997</v>
      </c>
      <c r="J210">
        <v>-32015.825142999998</v>
      </c>
      <c r="K210">
        <v>76018.606639000005</v>
      </c>
      <c r="L210">
        <v>-0.93590700000000004</v>
      </c>
      <c r="M210">
        <v>31.749552999999999</v>
      </c>
      <c r="N210">
        <v>188.880798</v>
      </c>
      <c r="O210">
        <v>12.676360000000001</v>
      </c>
      <c r="P210">
        <f>$K$16</f>
        <v>-6.7554243092999995</v>
      </c>
      <c r="Q210">
        <f t="shared" si="28"/>
        <v>85.951174793597602</v>
      </c>
      <c r="R210">
        <f>Q210/(2*M210*O210)</f>
        <v>0.10677993244799484</v>
      </c>
      <c r="S210">
        <f>R210*16.02</f>
        <v>1.7106145178168775</v>
      </c>
    </row>
    <row r="211" spans="8:22" x14ac:dyDescent="0.2">
      <c r="S211" s="1">
        <f>AVERAGE(S206:S210)</f>
        <v>1.7175541897910267</v>
      </c>
    </row>
    <row r="212" spans="8:22" x14ac:dyDescent="0.2">
      <c r="H212" t="s">
        <v>111</v>
      </c>
      <c r="I212">
        <v>867.22313199999996</v>
      </c>
      <c r="J212">
        <v>-25747.109186000002</v>
      </c>
      <c r="K212">
        <v>61211.235329000003</v>
      </c>
      <c r="L212">
        <v>-1.115389</v>
      </c>
      <c r="M212">
        <v>28.467987000000001</v>
      </c>
      <c r="N212">
        <v>169.64552900000001</v>
      </c>
      <c r="O212">
        <v>12.674537000000001</v>
      </c>
      <c r="P212">
        <f>$K$16</f>
        <v>-6.7554243092999995</v>
      </c>
      <c r="Q212">
        <f>J212-3824*P212</f>
        <v>85.633372763197258</v>
      </c>
      <c r="R212">
        <f>Q212/(2*M212*O212)</f>
        <v>0.11866542294464819</v>
      </c>
      <c r="S212">
        <f>R212*16.02</f>
        <v>1.9010200755732638</v>
      </c>
    </row>
    <row r="213" spans="8:22" x14ac:dyDescent="0.2">
      <c r="I213">
        <v>866.87764600000003</v>
      </c>
      <c r="J213">
        <v>-25747.648960999999</v>
      </c>
      <c r="K213">
        <v>61209.812338000003</v>
      </c>
      <c r="L213">
        <v>-1.147224</v>
      </c>
      <c r="M213">
        <v>28.467177</v>
      </c>
      <c r="N213">
        <v>169.64976799999999</v>
      </c>
      <c r="O213">
        <v>12.674286</v>
      </c>
      <c r="P213">
        <f>$K$16</f>
        <v>-6.7554243092999995</v>
      </c>
      <c r="Q213">
        <f>J213-3824*P213</f>
        <v>85.093597763199796</v>
      </c>
      <c r="R213">
        <f>Q213/(2*M213*O213)</f>
        <v>0.11792312667961706</v>
      </c>
      <c r="S213">
        <f>R213*16.02</f>
        <v>1.8891284894074654</v>
      </c>
    </row>
    <row r="214" spans="8:22" x14ac:dyDescent="0.2">
      <c r="I214">
        <v>866.98027300000001</v>
      </c>
      <c r="J214">
        <v>-25748.104624</v>
      </c>
      <c r="K214">
        <v>61208.128153999998</v>
      </c>
      <c r="L214">
        <v>-1.1289499999999999</v>
      </c>
      <c r="M214">
        <v>28.467518999999999</v>
      </c>
      <c r="N214">
        <v>169.64400599999999</v>
      </c>
      <c r="O214">
        <v>12.674215999999999</v>
      </c>
      <c r="P214">
        <f>$K$16</f>
        <v>-6.7554243092999995</v>
      </c>
      <c r="Q214">
        <f>J214-3824*P214</f>
        <v>84.637934763199155</v>
      </c>
      <c r="R214">
        <f>Q214/(2*M214*O214)</f>
        <v>0.11729090534205475</v>
      </c>
      <c r="S214">
        <f>R214*16.02</f>
        <v>1.8790003035797169</v>
      </c>
    </row>
    <row r="215" spans="8:22" x14ac:dyDescent="0.2">
      <c r="I215">
        <v>867.02418899999998</v>
      </c>
      <c r="J215">
        <v>-25747.306186000002</v>
      </c>
      <c r="K215">
        <v>61210.274021999998</v>
      </c>
      <c r="L215">
        <v>-1.1552500000000001</v>
      </c>
      <c r="M215">
        <v>28.466304999999998</v>
      </c>
      <c r="N215">
        <v>169.653639</v>
      </c>
      <c r="O215">
        <v>12.674481</v>
      </c>
      <c r="P215">
        <f>$K$16</f>
        <v>-6.7554243092999995</v>
      </c>
      <c r="Q215">
        <f>J215-3824*P215</f>
        <v>85.436372763197141</v>
      </c>
      <c r="R215">
        <f>Q215/(2*M215*O215)</f>
        <v>0.11839995117749869</v>
      </c>
      <c r="S215">
        <f>R215*16.02</f>
        <v>1.8967672178635289</v>
      </c>
    </row>
    <row r="216" spans="8:22" x14ac:dyDescent="0.2">
      <c r="I216">
        <v>866.82255999999995</v>
      </c>
      <c r="J216">
        <v>-25747.752508000001</v>
      </c>
      <c r="K216">
        <v>61210.637647000003</v>
      </c>
      <c r="L216">
        <v>-1.0505389999999999</v>
      </c>
      <c r="M216">
        <v>28.468654000000001</v>
      </c>
      <c r="N216">
        <v>169.64338000000001</v>
      </c>
      <c r="O216">
        <v>12.674276000000001</v>
      </c>
      <c r="P216">
        <f>$K$16</f>
        <v>-6.7554243092999995</v>
      </c>
      <c r="Q216">
        <f>J216-3824*P216</f>
        <v>84.99005076319736</v>
      </c>
      <c r="R216">
        <f>Q216/(2*M216*O216)</f>
        <v>0.11777361306203822</v>
      </c>
      <c r="S216">
        <f>R216*16.02</f>
        <v>1.8867332812538522</v>
      </c>
    </row>
    <row r="217" spans="8:22" x14ac:dyDescent="0.2">
      <c r="S217" s="1">
        <f>AVERAGE(S212:S216)</f>
        <v>1.8905298735355653</v>
      </c>
    </row>
    <row r="218" spans="8:22" x14ac:dyDescent="0.2">
      <c r="S218" s="1"/>
    </row>
    <row r="219" spans="8:22" x14ac:dyDescent="0.2">
      <c r="H219" t="s">
        <v>31</v>
      </c>
      <c r="U219" t="s">
        <v>25</v>
      </c>
      <c r="V219" t="s">
        <v>24</v>
      </c>
    </row>
    <row r="220" spans="8:22" x14ac:dyDescent="0.2">
      <c r="H220" t="s">
        <v>16</v>
      </c>
      <c r="I220" t="s">
        <v>18</v>
      </c>
      <c r="J220" t="s">
        <v>5</v>
      </c>
      <c r="K220" t="s">
        <v>7</v>
      </c>
      <c r="L220" t="s">
        <v>19</v>
      </c>
      <c r="M220" t="s">
        <v>20</v>
      </c>
      <c r="N220" t="s">
        <v>21</v>
      </c>
      <c r="O220" t="s">
        <v>22</v>
      </c>
      <c r="P220" t="s">
        <v>4</v>
      </c>
      <c r="Q220" t="s">
        <v>10</v>
      </c>
      <c r="R220" t="s">
        <v>13</v>
      </c>
      <c r="S220" t="s">
        <v>26</v>
      </c>
      <c r="T220" t="s">
        <v>12</v>
      </c>
      <c r="U220" t="s">
        <v>23</v>
      </c>
      <c r="V220" t="s">
        <v>23</v>
      </c>
    </row>
    <row r="221" spans="8:22" x14ac:dyDescent="0.2">
      <c r="H221" t="s">
        <v>17</v>
      </c>
      <c r="I221">
        <v>867.48918300000003</v>
      </c>
      <c r="J221">
        <v>-17757.541152000002</v>
      </c>
      <c r="K221">
        <v>114768.668045</v>
      </c>
      <c r="L221">
        <v>-0.62976799999999999</v>
      </c>
      <c r="M221">
        <v>30.626294999999999</v>
      </c>
      <c r="N221">
        <v>137.44277600000001</v>
      </c>
      <c r="O221">
        <v>27.265163000000001</v>
      </c>
      <c r="P221">
        <v>3011</v>
      </c>
      <c r="Q221">
        <v>861</v>
      </c>
      <c r="R221">
        <f>Q221/(Q221+P221)</f>
        <v>0.22236570247933884</v>
      </c>
      <c r="S221">
        <f>-4.062-2.5481*R221</f>
        <v>-4.6286100464876032</v>
      </c>
      <c r="T221">
        <f>J221-(SUM(P221:Q221)*S221)</f>
        <v>164.43694799999867</v>
      </c>
      <c r="U221">
        <f>T221/(2*M221*O221)</f>
        <v>9.8461591676131624E-2</v>
      </c>
      <c r="V221">
        <f>U221*16.02</f>
        <v>1.5773546986516285</v>
      </c>
    </row>
    <row r="222" spans="8:22" x14ac:dyDescent="0.2">
      <c r="I222">
        <v>867.41361600000005</v>
      </c>
      <c r="J222">
        <v>-17761.465174000001</v>
      </c>
      <c r="K222">
        <v>114877.640885</v>
      </c>
      <c r="L222">
        <v>-0.58378099999999999</v>
      </c>
      <c r="M222">
        <v>30.630396999999999</v>
      </c>
      <c r="N222">
        <v>137.532048</v>
      </c>
      <c r="O222">
        <v>27.269687000000001</v>
      </c>
      <c r="P222">
        <v>3007</v>
      </c>
      <c r="Q222">
        <v>865</v>
      </c>
      <c r="R222">
        <f>Q222/(Q222+P222)</f>
        <v>0.22339876033057851</v>
      </c>
      <c r="S222">
        <f>-4.062-2.5481*R222</f>
        <v>-4.631242381198347</v>
      </c>
      <c r="T222">
        <f>J222-(SUM(P222:Q222)*S222)</f>
        <v>170.70532599999933</v>
      </c>
      <c r="U222">
        <f>T222/(2*M222*O222)</f>
        <v>0.10218432883330246</v>
      </c>
      <c r="V222">
        <f>U222*16.02</f>
        <v>1.6369929479095053</v>
      </c>
    </row>
    <row r="223" spans="8:22" x14ac:dyDescent="0.2">
      <c r="I223">
        <v>867.43207700000005</v>
      </c>
      <c r="J223">
        <v>-17726.300636</v>
      </c>
      <c r="K223">
        <v>115003.196368</v>
      </c>
      <c r="L223">
        <v>-0.70682500000000004</v>
      </c>
      <c r="M223">
        <v>30.625140999999999</v>
      </c>
      <c r="N223">
        <v>137.636527</v>
      </c>
      <c r="O223">
        <v>27.283467000000002</v>
      </c>
      <c r="P223">
        <v>3025</v>
      </c>
      <c r="Q223">
        <v>847</v>
      </c>
      <c r="R223">
        <f>Q223/(Q223+P223)</f>
        <v>0.21875</v>
      </c>
      <c r="S223">
        <f>-4.062-2.5481*R223</f>
        <v>-4.6193968750000005</v>
      </c>
      <c r="T223">
        <f>J223-(SUM(P223:Q223)*S223)</f>
        <v>160.00406400000065</v>
      </c>
      <c r="U223">
        <f>T223/(2*M223*O223)</f>
        <v>9.5746600743253654E-2</v>
      </c>
      <c r="V223">
        <f>U223*16.02</f>
        <v>1.5338605439069235</v>
      </c>
    </row>
    <row r="224" spans="8:22" x14ac:dyDescent="0.2">
      <c r="I224">
        <v>867.51752899999997</v>
      </c>
      <c r="J224">
        <v>-17764.669322000002</v>
      </c>
      <c r="K224">
        <v>114761.51205200001</v>
      </c>
      <c r="L224">
        <v>-0.70968200000000004</v>
      </c>
      <c r="M224">
        <v>30.630541000000001</v>
      </c>
      <c r="N224">
        <v>137.503703</v>
      </c>
      <c r="O224">
        <v>27.247622</v>
      </c>
      <c r="P224">
        <v>3010</v>
      </c>
      <c r="Q224">
        <v>862</v>
      </c>
      <c r="R224">
        <f>Q224/(Q224+P224)</f>
        <v>0.22262396694214875</v>
      </c>
      <c r="S224">
        <f>-4.062-2.5481*R224</f>
        <v>-4.6292681301652898</v>
      </c>
      <c r="T224">
        <f>J224-(SUM(P224:Q224)*S224)</f>
        <v>159.85687800000233</v>
      </c>
      <c r="U224">
        <f>T224/(2*M224*O224)</f>
        <v>9.5767479649284434E-2</v>
      </c>
      <c r="V224">
        <f>U224*16.02</f>
        <v>1.5341950239815365</v>
      </c>
    </row>
    <row r="225" spans="8:22" x14ac:dyDescent="0.2">
      <c r="I225">
        <v>867.671875</v>
      </c>
      <c r="J225">
        <v>-17682.395578</v>
      </c>
      <c r="K225">
        <v>115165.981721</v>
      </c>
      <c r="L225">
        <v>-0.62584200000000001</v>
      </c>
      <c r="M225">
        <v>30.649529999999999</v>
      </c>
      <c r="N225">
        <v>137.67911899999999</v>
      </c>
      <c r="O225">
        <v>27.291885000000001</v>
      </c>
      <c r="P225">
        <v>3039</v>
      </c>
      <c r="Q225">
        <v>833</v>
      </c>
      <c r="R225">
        <f>Q225/(Q225+P225)</f>
        <v>0.21513429752066116</v>
      </c>
      <c r="S225">
        <f>-4.062-2.5481*R225</f>
        <v>-4.6101837035123969</v>
      </c>
      <c r="T225">
        <f>J225-(SUM(P225:Q225)*S225)</f>
        <v>168.23572200000126</v>
      </c>
      <c r="U225">
        <f>T225/(2*M225*O225)</f>
        <v>0.10056129764992036</v>
      </c>
      <c r="V225">
        <f>U225*16.02</f>
        <v>1.6109919883517241</v>
      </c>
    </row>
    <row r="226" spans="8:22" x14ac:dyDescent="0.2">
      <c r="V226" s="1">
        <f>AVERAGE(V221:V225)</f>
        <v>1.5786790405602635</v>
      </c>
    </row>
    <row r="227" spans="8:22" x14ac:dyDescent="0.2">
      <c r="H227" t="s">
        <v>27</v>
      </c>
      <c r="I227">
        <v>929.71567000000005</v>
      </c>
      <c r="J227">
        <v>-6715.5513799999999</v>
      </c>
      <c r="K227">
        <v>57603.112134000003</v>
      </c>
      <c r="L227">
        <v>-1.2656780000000001</v>
      </c>
      <c r="M227">
        <v>32.439534999999999</v>
      </c>
      <c r="N227">
        <v>130.26559800000001</v>
      </c>
      <c r="O227">
        <v>13.631544</v>
      </c>
      <c r="P227">
        <v>1125</v>
      </c>
      <c r="Q227">
        <v>339</v>
      </c>
      <c r="R227">
        <f>Q227/(Q227+P227)</f>
        <v>0.23155737704918034</v>
      </c>
      <c r="S227">
        <f>-4.062-2.5481*R227</f>
        <v>-4.6520313524590167</v>
      </c>
      <c r="T227">
        <f>J227-(SUM(P227:Q227)*S227)</f>
        <v>95.022520000000441</v>
      </c>
      <c r="U227">
        <f>T227/(2*M227*O227)</f>
        <v>0.10744269124824576</v>
      </c>
      <c r="V227">
        <f>U227*16.02</f>
        <v>1.721231913796897</v>
      </c>
    </row>
    <row r="228" spans="8:22" x14ac:dyDescent="0.2">
      <c r="I228">
        <v>930.13451599999996</v>
      </c>
      <c r="J228">
        <v>-6673.6369839999998</v>
      </c>
      <c r="K228">
        <v>57763.692243999998</v>
      </c>
      <c r="L228">
        <v>-1.6651560000000001</v>
      </c>
      <c r="M228">
        <v>32.486114000000001</v>
      </c>
      <c r="N228">
        <v>130.580263</v>
      </c>
      <c r="O228">
        <v>13.617077999999999</v>
      </c>
      <c r="P228">
        <v>1144</v>
      </c>
      <c r="Q228">
        <v>320</v>
      </c>
      <c r="R228">
        <f>Q228/(Q228+P228)</f>
        <v>0.21857923497267759</v>
      </c>
      <c r="S228">
        <f>-4.062-2.5481*R228</f>
        <v>-4.6189617486338799</v>
      </c>
      <c r="T228">
        <f>J228-(SUM(P228:Q228)*S228)</f>
        <v>88.523016000000098</v>
      </c>
      <c r="U228">
        <f>T228/(2*M228*O228)</f>
        <v>0.10005631802042886</v>
      </c>
      <c r="V228">
        <f>U228*16.02</f>
        <v>1.6029022146872702</v>
      </c>
    </row>
    <row r="229" spans="8:22" x14ac:dyDescent="0.2">
      <c r="I229">
        <v>929.75187400000004</v>
      </c>
      <c r="J229">
        <v>-6683.3364879999999</v>
      </c>
      <c r="K229">
        <v>57690.377654999997</v>
      </c>
      <c r="L229">
        <v>-1.4540379999999999</v>
      </c>
      <c r="M229">
        <v>32.448708000000003</v>
      </c>
      <c r="N229">
        <v>130.68673699999999</v>
      </c>
      <c r="O229">
        <v>13.604357</v>
      </c>
      <c r="P229">
        <v>1141</v>
      </c>
      <c r="Q229">
        <v>323</v>
      </c>
      <c r="R229">
        <f>Q229/(Q229+P229)</f>
        <v>0.22062841530054644</v>
      </c>
      <c r="S229">
        <f>-4.062-2.5481*R229</f>
        <v>-4.6241832650273222</v>
      </c>
      <c r="T229">
        <f>J229-(SUM(P229:Q229)*S229)</f>
        <v>86.467811999999867</v>
      </c>
      <c r="U229">
        <f>T229/(2*M229*O229)</f>
        <v>9.7937506957974235E-2</v>
      </c>
      <c r="V229">
        <f>U229*16.02</f>
        <v>1.5689588614667471</v>
      </c>
    </row>
    <row r="230" spans="8:22" x14ac:dyDescent="0.2">
      <c r="I230">
        <v>929.33474799999999</v>
      </c>
      <c r="J230">
        <v>-6664.0948600000002</v>
      </c>
      <c r="K230">
        <v>57872.793363999997</v>
      </c>
      <c r="L230">
        <v>-1.573299</v>
      </c>
      <c r="M230">
        <v>32.484127000000001</v>
      </c>
      <c r="N230">
        <v>130.52472399999999</v>
      </c>
      <c r="O230">
        <v>13.649412999999999</v>
      </c>
      <c r="P230">
        <v>1147</v>
      </c>
      <c r="Q230">
        <v>317</v>
      </c>
      <c r="R230">
        <f>Q230/(Q230+P230)</f>
        <v>0.21653005464480873</v>
      </c>
      <c r="S230">
        <f>-4.062-2.5481*R230</f>
        <v>-4.6137402322404375</v>
      </c>
      <c r="T230">
        <f>J230-(SUM(P230:Q230)*S230)</f>
        <v>90.42084000000068</v>
      </c>
      <c r="U230">
        <f>T230/(2*M230*O230)</f>
        <v>0.1019655267534116</v>
      </c>
      <c r="V230">
        <f>U230*16.02</f>
        <v>1.6334877385896538</v>
      </c>
    </row>
    <row r="231" spans="8:22" x14ac:dyDescent="0.2">
      <c r="I231">
        <v>929.78302699999995</v>
      </c>
      <c r="J231">
        <v>-6690.720593</v>
      </c>
      <c r="K231">
        <v>57764.565478999997</v>
      </c>
      <c r="L231">
        <v>-1.5014149999999999</v>
      </c>
      <c r="M231">
        <v>32.465904000000002</v>
      </c>
      <c r="N231">
        <v>130.79917800000001</v>
      </c>
      <c r="O231">
        <v>13.602923000000001</v>
      </c>
      <c r="P231">
        <v>1137</v>
      </c>
      <c r="Q231">
        <v>327</v>
      </c>
      <c r="R231">
        <f>Q231/(Q231+P231)</f>
        <v>0.22336065573770492</v>
      </c>
      <c r="S231">
        <f>-4.062-2.5481*R231</f>
        <v>-4.6311452868852463</v>
      </c>
      <c r="T231">
        <f>J231-(SUM(P231:Q231)*S231)</f>
        <v>89.276107000000593</v>
      </c>
      <c r="U231">
        <f>T231/(2*M231*O231)</f>
        <v>0.10107540926594197</v>
      </c>
      <c r="V231">
        <f>U231*16.02</f>
        <v>1.6192280564403903</v>
      </c>
    </row>
    <row r="232" spans="8:22" x14ac:dyDescent="0.2">
      <c r="V232" s="1">
        <f>AVERAGE(V227:V231)</f>
        <v>1.6291617569961918</v>
      </c>
    </row>
    <row r="233" spans="8:22" x14ac:dyDescent="0.2">
      <c r="H233" t="s">
        <v>28</v>
      </c>
      <c r="I233">
        <v>929.59074099999998</v>
      </c>
      <c r="J233">
        <v>-5799.4043899999997</v>
      </c>
      <c r="K233">
        <v>49737.253527000001</v>
      </c>
      <c r="L233">
        <v>-1.7459420000000001</v>
      </c>
      <c r="M233">
        <v>34.783853999999998</v>
      </c>
      <c r="N233">
        <v>140.79071999999999</v>
      </c>
      <c r="O233">
        <v>10.15629</v>
      </c>
      <c r="P233">
        <v>964</v>
      </c>
      <c r="Q233">
        <v>296</v>
      </c>
      <c r="R233">
        <f>Q233/(Q233+P233)</f>
        <v>0.23492063492063492</v>
      </c>
      <c r="S233">
        <f>-4.062-2.5481*R233</f>
        <v>-4.66060126984127</v>
      </c>
      <c r="T233">
        <f>J233-(SUM(P233:Q233)*S233)</f>
        <v>72.953210000000581</v>
      </c>
      <c r="U233">
        <f>T233/(2*M233*O233)</f>
        <v>0.10325274769888952</v>
      </c>
      <c r="V233">
        <f>U233*16.02</f>
        <v>1.6541090181362101</v>
      </c>
    </row>
    <row r="234" spans="8:22" x14ac:dyDescent="0.2">
      <c r="I234">
        <v>930.34398299999998</v>
      </c>
      <c r="J234">
        <v>-5742.9985589999997</v>
      </c>
      <c r="K234">
        <v>50003.915927000002</v>
      </c>
      <c r="L234">
        <v>-1.83738</v>
      </c>
      <c r="M234">
        <v>34.861494</v>
      </c>
      <c r="N234">
        <v>140.599234</v>
      </c>
      <c r="O234">
        <v>10.201912</v>
      </c>
      <c r="P234">
        <v>987</v>
      </c>
      <c r="Q234">
        <v>273</v>
      </c>
      <c r="R234">
        <f t="shared" ref="R234:R255" si="29">Q234/(Q234+P234)</f>
        <v>0.21666666666666667</v>
      </c>
      <c r="S234">
        <f>-4.062-2.5481*R234</f>
        <v>-4.6140883333333331</v>
      </c>
      <c r="T234">
        <f>J234-(SUM(P234:Q234)*S234)</f>
        <v>70.752741000000242</v>
      </c>
      <c r="U234">
        <f>T234/(2*M234*O234)</f>
        <v>9.9468531342257263E-2</v>
      </c>
      <c r="V234">
        <f>U234*16.02</f>
        <v>1.5934858721029612</v>
      </c>
    </row>
    <row r="235" spans="8:22" x14ac:dyDescent="0.2">
      <c r="I235">
        <v>929.89045099999998</v>
      </c>
      <c r="J235">
        <v>-5753.7510650000004</v>
      </c>
      <c r="K235">
        <v>50048.627013999998</v>
      </c>
      <c r="L235">
        <v>-1.866479</v>
      </c>
      <c r="M235">
        <v>34.808675999999998</v>
      </c>
      <c r="N235">
        <v>141.079814</v>
      </c>
      <c r="O235">
        <v>10.191651</v>
      </c>
      <c r="P235">
        <v>983</v>
      </c>
      <c r="Q235">
        <v>277</v>
      </c>
      <c r="R235">
        <f t="shared" si="29"/>
        <v>0.21984126984126984</v>
      </c>
      <c r="S235">
        <f>-4.062-2.5481*R235</f>
        <v>-4.6221775396825402</v>
      </c>
      <c r="T235">
        <f>J235-(SUM(P235:Q235)*S235)</f>
        <v>70.192635000000337</v>
      </c>
      <c r="U235">
        <f>T235/(2*M235*O235)</f>
        <v>9.8930340154775295E-2</v>
      </c>
      <c r="V235">
        <f>U235*16.02</f>
        <v>1.5848640492795001</v>
      </c>
    </row>
    <row r="236" spans="8:22" x14ac:dyDescent="0.2">
      <c r="I236">
        <v>929.76478599999996</v>
      </c>
      <c r="J236">
        <v>-5719.932116</v>
      </c>
      <c r="K236">
        <v>50237.961433999997</v>
      </c>
      <c r="L236">
        <v>-1.880002</v>
      </c>
      <c r="M236">
        <v>34.897899000000002</v>
      </c>
      <c r="N236">
        <v>141.11586</v>
      </c>
      <c r="O236">
        <v>10.201465000000001</v>
      </c>
      <c r="P236">
        <v>994</v>
      </c>
      <c r="Q236">
        <v>266</v>
      </c>
      <c r="R236">
        <f t="shared" si="29"/>
        <v>0.21111111111111111</v>
      </c>
      <c r="S236">
        <f>-4.062-2.5481*R236</f>
        <v>-4.5999322222222228</v>
      </c>
      <c r="T236">
        <f>J236-(SUM(P236:Q236)*S236)</f>
        <v>75.982484000001023</v>
      </c>
      <c r="U236">
        <f>T236/(2*M236*O236)</f>
        <v>0.10671406568381867</v>
      </c>
      <c r="V236">
        <f>U236*16.02</f>
        <v>1.7095593322547751</v>
      </c>
    </row>
    <row r="237" spans="8:22" x14ac:dyDescent="0.2">
      <c r="I237">
        <v>929.88733300000001</v>
      </c>
      <c r="J237">
        <v>-5786.5899310000004</v>
      </c>
      <c r="K237">
        <v>49984.450152999998</v>
      </c>
      <c r="L237">
        <v>-1.7765040000000001</v>
      </c>
      <c r="M237">
        <v>34.861440000000002</v>
      </c>
      <c r="N237">
        <v>140.89654300000001</v>
      </c>
      <c r="O237">
        <v>10.176447</v>
      </c>
      <c r="P237">
        <v>969</v>
      </c>
      <c r="Q237">
        <v>291</v>
      </c>
      <c r="R237">
        <f t="shared" si="29"/>
        <v>0.23095238095238096</v>
      </c>
      <c r="S237">
        <f>-4.062-2.5481*R237</f>
        <v>-4.6504897619047618</v>
      </c>
      <c r="T237">
        <f>J237-(SUM(P237:Q237)*S237)</f>
        <v>73.027168999999049</v>
      </c>
      <c r="U237">
        <f>T237/(2*M237*O237)</f>
        <v>0.10292312687546851</v>
      </c>
      <c r="V237">
        <f>U237*16.02</f>
        <v>1.6488284925450054</v>
      </c>
    </row>
    <row r="238" spans="8:22" x14ac:dyDescent="0.2">
      <c r="V238" s="1">
        <f>AVERAGE(V233:V237)</f>
        <v>1.6381693528636905</v>
      </c>
    </row>
    <row r="239" spans="8:22" x14ac:dyDescent="0.2">
      <c r="H239" t="s">
        <v>55</v>
      </c>
      <c r="I239">
        <v>867.15839300000005</v>
      </c>
      <c r="J239">
        <v>-9048.0828509999992</v>
      </c>
      <c r="K239">
        <v>78742.599570000006</v>
      </c>
      <c r="L239">
        <v>-1.012135</v>
      </c>
      <c r="M239">
        <v>30.897727</v>
      </c>
      <c r="N239">
        <v>186.59892199999999</v>
      </c>
      <c r="O239">
        <v>13.657712</v>
      </c>
      <c r="P239">
        <v>1541</v>
      </c>
      <c r="Q239">
        <v>435</v>
      </c>
      <c r="R239">
        <f>Q239/(Q239+P239)</f>
        <v>0.22014170040485831</v>
      </c>
      <c r="S239">
        <f>-4.062-2.5481*R239</f>
        <v>-4.6229430668016196</v>
      </c>
      <c r="T239">
        <f>J239-(SUM(P239:Q239)*S239)</f>
        <v>86.852649000000383</v>
      </c>
      <c r="U239">
        <f>T239/(2*M239*O239)</f>
        <v>0.10290787045995348</v>
      </c>
      <c r="V239">
        <f>U239*16.02</f>
        <v>1.6485840847684547</v>
      </c>
    </row>
    <row r="240" spans="8:22" x14ac:dyDescent="0.2">
      <c r="I240">
        <v>867.29983500000003</v>
      </c>
      <c r="J240">
        <v>-8984.6322999999993</v>
      </c>
      <c r="K240">
        <v>79189.356394999995</v>
      </c>
      <c r="L240">
        <v>-0.93703199999999998</v>
      </c>
      <c r="M240">
        <v>30.896063999999999</v>
      </c>
      <c r="N240">
        <v>187.444557</v>
      </c>
      <c r="O240">
        <v>13.674002</v>
      </c>
      <c r="P240">
        <v>1566</v>
      </c>
      <c r="Q240">
        <v>410</v>
      </c>
      <c r="R240">
        <f>Q240/(Q240+P240)</f>
        <v>0.20748987854251011</v>
      </c>
      <c r="S240">
        <f>-4.062-2.5481*R240</f>
        <v>-4.59070495951417</v>
      </c>
      <c r="T240">
        <f>J240-(SUM(P240:Q240)*S240)</f>
        <v>86.60070000000087</v>
      </c>
      <c r="U240">
        <f>T240/(2*M240*O240)</f>
        <v>0.10249262391607035</v>
      </c>
      <c r="V240">
        <f>U240*16.02</f>
        <v>1.641931835135447</v>
      </c>
    </row>
    <row r="241" spans="8:22" x14ac:dyDescent="0.2">
      <c r="I241">
        <v>867.38218300000005</v>
      </c>
      <c r="J241">
        <v>-9080.8781070000005</v>
      </c>
      <c r="K241">
        <v>78874.224862999996</v>
      </c>
      <c r="L241">
        <v>-0.93583000000000005</v>
      </c>
      <c r="M241">
        <v>30.889704999999999</v>
      </c>
      <c r="N241">
        <v>187.242188</v>
      </c>
      <c r="O241">
        <v>13.637059000000001</v>
      </c>
      <c r="P241">
        <v>1527</v>
      </c>
      <c r="Q241">
        <v>449</v>
      </c>
      <c r="R241">
        <f>Q241/(Q241+P241)</f>
        <v>0.22722672064777327</v>
      </c>
      <c r="S241">
        <f>-4.062-2.5481*R241</f>
        <v>-4.6409964068825911</v>
      </c>
      <c r="T241">
        <f>J241-(SUM(P241:Q241)*S241)</f>
        <v>89.730792999998812</v>
      </c>
      <c r="U241">
        <f>T241/(2*M241*O241)</f>
        <v>0.10650672483187713</v>
      </c>
      <c r="V241">
        <f>U241*16.02</f>
        <v>1.7062377318066717</v>
      </c>
    </row>
    <row r="242" spans="8:22" x14ac:dyDescent="0.2">
      <c r="I242">
        <v>867.36051799999996</v>
      </c>
      <c r="J242">
        <v>-9027.7867679999999</v>
      </c>
      <c r="K242">
        <v>79122.787419999993</v>
      </c>
      <c r="L242">
        <v>-1.0675859999999999</v>
      </c>
      <c r="M242">
        <v>30.903358999999998</v>
      </c>
      <c r="N242">
        <v>187.52314799999999</v>
      </c>
      <c r="O242">
        <v>13.653529000000001</v>
      </c>
      <c r="P242">
        <v>1550</v>
      </c>
      <c r="Q242">
        <v>426</v>
      </c>
      <c r="R242">
        <f>Q242/(Q242+P242)</f>
        <v>0.21558704453441296</v>
      </c>
      <c r="S242">
        <f>-4.062-2.5481*R242</f>
        <v>-4.6113373481781377</v>
      </c>
      <c r="T242">
        <f>J242-(SUM(P242:Q242)*S242)</f>
        <v>84.215831999999864</v>
      </c>
      <c r="U242">
        <f>T242/(2*M242*O242)</f>
        <v>9.9796002158844918E-2</v>
      </c>
      <c r="V242">
        <f>U242*16.02</f>
        <v>1.5987319545846956</v>
      </c>
    </row>
    <row r="243" spans="8:22" x14ac:dyDescent="0.2">
      <c r="I243">
        <v>867.50789399999996</v>
      </c>
      <c r="J243">
        <v>-8964.0455590000001</v>
      </c>
      <c r="K243">
        <v>79375.759158999994</v>
      </c>
      <c r="L243">
        <v>-0.98590599999999995</v>
      </c>
      <c r="M243">
        <v>30.940857999999999</v>
      </c>
      <c r="N243">
        <v>187.507464</v>
      </c>
      <c r="O243">
        <v>13.681737</v>
      </c>
      <c r="P243">
        <v>1574</v>
      </c>
      <c r="Q243">
        <v>402</v>
      </c>
      <c r="R243">
        <f>Q243/(Q243+P243)</f>
        <v>0.20344129554655871</v>
      </c>
      <c r="S243">
        <f>-4.062-2.5481*R243</f>
        <v>-4.5803887651821862</v>
      </c>
      <c r="T243">
        <f>J243-(SUM(P243:Q243)*S243)</f>
        <v>86.802641000000222</v>
      </c>
      <c r="U243">
        <f>T243/(2*M243*O243)</f>
        <v>0.10252489962231132</v>
      </c>
      <c r="V243">
        <f>U243*16.02</f>
        <v>1.6424488919494273</v>
      </c>
    </row>
    <row r="244" spans="8:22" x14ac:dyDescent="0.2">
      <c r="V244" s="1">
        <f>AVERAGE(V239:V243)</f>
        <v>1.6475868996489393</v>
      </c>
    </row>
    <row r="245" spans="8:22" x14ac:dyDescent="0.2">
      <c r="H245">
        <v>100</v>
      </c>
      <c r="I245">
        <v>991.72469699999999</v>
      </c>
      <c r="J245">
        <v>-21453.319332999999</v>
      </c>
      <c r="K245">
        <v>102453.56785000001</v>
      </c>
      <c r="L245">
        <v>-0.73094599999999998</v>
      </c>
      <c r="M245">
        <v>27.297885999999998</v>
      </c>
      <c r="N245">
        <v>27.315632999999998</v>
      </c>
      <c r="O245">
        <v>137.40056799999999</v>
      </c>
      <c r="P245">
        <v>3642</v>
      </c>
      <c r="Q245">
        <v>1030</v>
      </c>
      <c r="R245">
        <f t="shared" si="29"/>
        <v>0.22046232876712329</v>
      </c>
      <c r="S245">
        <f>-4.062-2.5481*R245</f>
        <v>-4.6237600599315067</v>
      </c>
      <c r="T245">
        <f>J245-(SUM(P245:Q245)*S245)</f>
        <v>148.88766699999906</v>
      </c>
      <c r="U245">
        <f>T245/(2*M245*N245)</f>
        <v>9.9836292381171837E-2</v>
      </c>
      <c r="V245">
        <f>U245*16.02</f>
        <v>1.5993774039463728</v>
      </c>
    </row>
    <row r="246" spans="8:22" x14ac:dyDescent="0.2">
      <c r="I246">
        <v>992.65693299999998</v>
      </c>
      <c r="J246">
        <v>-21418.596515000001</v>
      </c>
      <c r="K246">
        <v>102616.276791</v>
      </c>
      <c r="L246">
        <v>-0.68483700000000003</v>
      </c>
      <c r="M246">
        <v>27.310624000000001</v>
      </c>
      <c r="N246">
        <v>27.348403999999999</v>
      </c>
      <c r="O246">
        <v>137.38981799999999</v>
      </c>
      <c r="P246">
        <v>3653</v>
      </c>
      <c r="Q246">
        <v>1019</v>
      </c>
      <c r="R246">
        <f t="shared" si="29"/>
        <v>0.21810787671232876</v>
      </c>
      <c r="S246">
        <f>-4.062-2.5481*R246</f>
        <v>-4.6177606806506848</v>
      </c>
      <c r="T246">
        <f>J246-(SUM(P246:Q246)*S246)</f>
        <v>155.58138499999768</v>
      </c>
      <c r="U246">
        <f>T246/(2*M246*N246)</f>
        <v>0.10415113994103724</v>
      </c>
      <c r="V246">
        <f>U246*16.02</f>
        <v>1.6685012618554165</v>
      </c>
    </row>
    <row r="247" spans="8:22" x14ac:dyDescent="0.2">
      <c r="I247">
        <v>992.77417300000002</v>
      </c>
      <c r="J247">
        <v>-21482.092142000001</v>
      </c>
      <c r="K247">
        <v>102335.17074099999</v>
      </c>
      <c r="L247">
        <v>-1.0132220000000001</v>
      </c>
      <c r="M247">
        <v>27.301302</v>
      </c>
      <c r="N247">
        <v>27.307904000000001</v>
      </c>
      <c r="O247">
        <v>137.26342399999999</v>
      </c>
      <c r="P247">
        <v>3630</v>
      </c>
      <c r="Q247">
        <v>1042</v>
      </c>
      <c r="R247">
        <f t="shared" si="29"/>
        <v>0.22303082191780821</v>
      </c>
      <c r="S247">
        <f>-4.062-2.5481*R247</f>
        <v>-4.630304837328767</v>
      </c>
      <c r="T247">
        <f>J247-(SUM(P247:Q247)*S247)</f>
        <v>150.6920579999969</v>
      </c>
      <c r="U247">
        <f>T247/(2*M247*N247)</f>
        <v>0.10106217530093507</v>
      </c>
      <c r="V247">
        <f>U247*16.02</f>
        <v>1.6190160483209799</v>
      </c>
    </row>
    <row r="248" spans="8:22" x14ac:dyDescent="0.2">
      <c r="I248">
        <v>993.24034099999994</v>
      </c>
      <c r="J248">
        <v>-21393.715802999999</v>
      </c>
      <c r="K248">
        <v>102775.851991</v>
      </c>
      <c r="L248">
        <v>-1.0978030000000001</v>
      </c>
      <c r="M248">
        <v>27.337713000000001</v>
      </c>
      <c r="N248">
        <v>27.333836000000002</v>
      </c>
      <c r="O248">
        <v>137.54036600000001</v>
      </c>
      <c r="P248">
        <v>3665</v>
      </c>
      <c r="Q248">
        <v>1007</v>
      </c>
      <c r="R248">
        <f t="shared" si="29"/>
        <v>0.21553938356164384</v>
      </c>
      <c r="S248">
        <f>-4.062-2.5481*R248</f>
        <v>-4.6112159032534246</v>
      </c>
      <c r="T248">
        <f>J248-(SUM(P248:Q248)*S248)</f>
        <v>149.88489699999991</v>
      </c>
      <c r="U248">
        <f>T248/(2*M248*N248)</f>
        <v>0.10029172794941071</v>
      </c>
      <c r="V248">
        <f>U248*16.02</f>
        <v>1.6066734817495596</v>
      </c>
    </row>
    <row r="249" spans="8:22" x14ac:dyDescent="0.2">
      <c r="I249">
        <v>992.27002000000005</v>
      </c>
      <c r="J249">
        <v>-21375.883765999999</v>
      </c>
      <c r="K249">
        <v>102717.139465</v>
      </c>
      <c r="L249">
        <v>-1.0015829999999999</v>
      </c>
      <c r="M249">
        <v>27.350193999999998</v>
      </c>
      <c r="N249">
        <v>27.316455999999999</v>
      </c>
      <c r="O249">
        <v>137.48638800000001</v>
      </c>
      <c r="P249">
        <v>3670</v>
      </c>
      <c r="Q249">
        <v>1002</v>
      </c>
      <c r="R249">
        <f t="shared" si="29"/>
        <v>0.21446917808219179</v>
      </c>
      <c r="S249">
        <f>-4.062-2.5481*R249</f>
        <v>-4.6084889126712332</v>
      </c>
      <c r="T249">
        <f>J249-(SUM(P249:Q249)*S249)</f>
        <v>154.97643400000379</v>
      </c>
      <c r="U249">
        <f>T249/(2*M249*N249)</f>
        <v>0.10371722841575107</v>
      </c>
      <c r="V249">
        <f>U249*16.02</f>
        <v>1.661549999220332</v>
      </c>
    </row>
    <row r="250" spans="8:22" x14ac:dyDescent="0.2">
      <c r="V250" s="1">
        <f>AVERAGE(V245:V249)</f>
        <v>1.6310236390185324</v>
      </c>
    </row>
    <row r="251" spans="8:22" x14ac:dyDescent="0.2">
      <c r="H251">
        <v>110</v>
      </c>
      <c r="I251">
        <v>985.81100800000002</v>
      </c>
      <c r="J251">
        <v>-8271.7777019999994</v>
      </c>
      <c r="K251">
        <v>40000.369347</v>
      </c>
      <c r="L251">
        <v>0.28001500000000001</v>
      </c>
      <c r="M251">
        <v>96.730936</v>
      </c>
      <c r="N251">
        <v>24.182734</v>
      </c>
      <c r="O251">
        <v>17.099775000000001</v>
      </c>
      <c r="P251">
        <v>1393</v>
      </c>
      <c r="Q251">
        <v>407</v>
      </c>
      <c r="R251">
        <f t="shared" si="29"/>
        <v>0.22611111111111112</v>
      </c>
      <c r="S251">
        <f>-4.062-2.5481*R251</f>
        <v>-4.6381537222222224</v>
      </c>
      <c r="T251">
        <f>J251-(SUM(P251:Q251)*S251)</f>
        <v>76.898998000000574</v>
      </c>
      <c r="U251">
        <f>T251/(2*O251*N251)</f>
        <v>9.2981145121166425E-2</v>
      </c>
      <c r="V251">
        <f>U251*16.02</f>
        <v>1.4895579448410861</v>
      </c>
    </row>
    <row r="252" spans="8:22" x14ac:dyDescent="0.2">
      <c r="I252">
        <v>985.14469899999995</v>
      </c>
      <c r="J252">
        <v>-8235.7920040000008</v>
      </c>
      <c r="K252">
        <v>40081.065048999997</v>
      </c>
      <c r="L252">
        <v>0.431035</v>
      </c>
      <c r="M252">
        <v>96.795978000000005</v>
      </c>
      <c r="N252">
        <v>24.198993999999999</v>
      </c>
      <c r="O252">
        <v>17.111273000000001</v>
      </c>
      <c r="P252">
        <v>1409</v>
      </c>
      <c r="Q252">
        <v>391</v>
      </c>
      <c r="R252">
        <f t="shared" si="29"/>
        <v>0.21722222222222223</v>
      </c>
      <c r="S252">
        <f>-4.062-2.5481*R252</f>
        <v>-4.6155039444444448</v>
      </c>
      <c r="T252">
        <f>J252-(SUM(P252:Q252)*S252)</f>
        <v>72.115095999999539</v>
      </c>
      <c r="U252">
        <f>T252/(2*O252*N252)</f>
        <v>8.7079626617023051E-2</v>
      </c>
      <c r="V252">
        <f>U252*16.02</f>
        <v>1.3950156184047093</v>
      </c>
    </row>
    <row r="253" spans="8:22" x14ac:dyDescent="0.2">
      <c r="I253">
        <v>984.87029700000005</v>
      </c>
      <c r="J253">
        <v>-8254.0729030000002</v>
      </c>
      <c r="K253">
        <v>40027.401175999999</v>
      </c>
      <c r="L253">
        <v>0.34198200000000001</v>
      </c>
      <c r="M253">
        <v>96.752729000000002</v>
      </c>
      <c r="N253">
        <v>24.188182000000001</v>
      </c>
      <c r="O253">
        <v>17.103628</v>
      </c>
      <c r="P253">
        <v>1402</v>
      </c>
      <c r="Q253">
        <v>398</v>
      </c>
      <c r="R253">
        <f t="shared" si="29"/>
        <v>0.22111111111111112</v>
      </c>
      <c r="S253">
        <f>-4.062-2.5481*R253</f>
        <v>-4.6254132222222228</v>
      </c>
      <c r="T253">
        <f>J253-(SUM(P253:Q253)*S253)</f>
        <v>71.670897000001787</v>
      </c>
      <c r="U253">
        <f>T253/(2*O253*N253)</f>
        <v>8.6620637242946968E-2</v>
      </c>
      <c r="V253">
        <f>U253*16.02</f>
        <v>1.3876626086320103</v>
      </c>
    </row>
    <row r="254" spans="8:22" x14ac:dyDescent="0.2">
      <c r="I254">
        <v>984.51210500000002</v>
      </c>
      <c r="J254">
        <v>-8232.8499909999991</v>
      </c>
      <c r="K254">
        <v>40121.916451999998</v>
      </c>
      <c r="L254">
        <v>0.14550299999999999</v>
      </c>
      <c r="M254">
        <v>96.828851999999998</v>
      </c>
      <c r="N254">
        <v>24.207212999999999</v>
      </c>
      <c r="O254">
        <v>17.117083999999998</v>
      </c>
      <c r="P254">
        <v>1409</v>
      </c>
      <c r="Q254">
        <v>391</v>
      </c>
      <c r="R254">
        <f t="shared" si="29"/>
        <v>0.21722222222222223</v>
      </c>
      <c r="S254">
        <f>-4.062-2.5481*R254</f>
        <v>-4.6155039444444448</v>
      </c>
      <c r="T254">
        <f>J254-(SUM(P254:Q254)*S254)</f>
        <v>75.057109000001219</v>
      </c>
      <c r="U254">
        <f>T254/(2*O254*N254)</f>
        <v>9.0570603872012309E-2</v>
      </c>
      <c r="V254">
        <f>U254*16.02</f>
        <v>1.4509410740296371</v>
      </c>
    </row>
    <row r="255" spans="8:22" x14ac:dyDescent="0.2">
      <c r="I255">
        <v>985.61237300000005</v>
      </c>
      <c r="J255">
        <v>-8280.1064050000004</v>
      </c>
      <c r="K255">
        <v>39996.690619000001</v>
      </c>
      <c r="L255">
        <v>0.28850399999999998</v>
      </c>
      <c r="M255">
        <v>96.728004999999996</v>
      </c>
      <c r="N255">
        <v>24.182001</v>
      </c>
      <c r="O255">
        <v>17.099257000000001</v>
      </c>
      <c r="P255">
        <v>1393</v>
      </c>
      <c r="Q255">
        <v>407</v>
      </c>
      <c r="R255">
        <f t="shared" si="29"/>
        <v>0.22611111111111112</v>
      </c>
      <c r="S255">
        <f>-4.062-2.5481*R255</f>
        <v>-4.6381537222222224</v>
      </c>
      <c r="T255">
        <f>J255-(SUM(P255:Q255)*S255)</f>
        <v>68.570294999999533</v>
      </c>
      <c r="U255">
        <f>T255/(2*O255*N255)</f>
        <v>8.2915657256440067E-2</v>
      </c>
      <c r="V255">
        <f>U255*16.02</f>
        <v>1.32830882924817</v>
      </c>
    </row>
    <row r="256" spans="8:22" x14ac:dyDescent="0.2">
      <c r="V256" s="1">
        <f>AVERAGE(V251:V255)</f>
        <v>1.4102972150311224</v>
      </c>
    </row>
    <row r="257" spans="8:22" x14ac:dyDescent="0.2">
      <c r="H257">
        <v>111</v>
      </c>
      <c r="I257">
        <v>985.23890500000005</v>
      </c>
      <c r="J257">
        <v>-12431.893690999999</v>
      </c>
      <c r="K257">
        <v>61251.199046000002</v>
      </c>
      <c r="L257">
        <v>0.46611200000000003</v>
      </c>
      <c r="M257">
        <v>94.493543000000003</v>
      </c>
      <c r="N257">
        <v>19.365869</v>
      </c>
      <c r="O257">
        <v>33.471425000000004</v>
      </c>
      <c r="P257">
        <v>2103</v>
      </c>
      <c r="Q257">
        <v>608</v>
      </c>
      <c r="R257">
        <f>Q257/(Q257+P257)</f>
        <v>0.22427148653633347</v>
      </c>
      <c r="S257">
        <f>-4.062-2.5481*R257</f>
        <v>-4.6334661748432318</v>
      </c>
      <c r="T257">
        <f>J257-(SUM(P257:Q257)*S257)</f>
        <v>129.43310900000142</v>
      </c>
      <c r="U257">
        <f>T257/(2*N257*O257)</f>
        <v>9.9839913357042814E-2</v>
      </c>
      <c r="V257">
        <f>U257*16.02</f>
        <v>1.5994354119798257</v>
      </c>
    </row>
    <row r="258" spans="8:22" x14ac:dyDescent="0.2">
      <c r="I258">
        <v>985.14020100000005</v>
      </c>
      <c r="J258">
        <v>-12422.055388999999</v>
      </c>
      <c r="K258">
        <v>61497.236776999998</v>
      </c>
      <c r="L258">
        <v>0.35171799999999998</v>
      </c>
      <c r="M258">
        <v>94.619872999999998</v>
      </c>
      <c r="N258">
        <v>19.391760000000001</v>
      </c>
      <c r="O258">
        <v>33.516173999999999</v>
      </c>
      <c r="P258">
        <v>2102</v>
      </c>
      <c r="Q258">
        <v>609</v>
      </c>
      <c r="R258">
        <f>Q258/(Q258+P258)</f>
        <v>0.22464035411287347</v>
      </c>
      <c r="S258">
        <f>-4.062-2.5481*R258</f>
        <v>-4.6344060863150132</v>
      </c>
      <c r="T258">
        <f>J258-(SUM(P258:Q258)*S258)</f>
        <v>141.81951100000151</v>
      </c>
      <c r="U258">
        <f>T258/(2*N258*O258)</f>
        <v>0.10910240497888163</v>
      </c>
      <c r="V258">
        <f>U258*16.02</f>
        <v>1.7478205277616836</v>
      </c>
    </row>
    <row r="259" spans="8:22" x14ac:dyDescent="0.2">
      <c r="I259">
        <v>985.66000399999996</v>
      </c>
      <c r="J259">
        <v>-12416.645269000001</v>
      </c>
      <c r="K259">
        <v>61316.184562000002</v>
      </c>
      <c r="L259">
        <v>3.1952000000000001E-2</v>
      </c>
      <c r="M259">
        <v>94.526934999999995</v>
      </c>
      <c r="N259">
        <v>19.372712</v>
      </c>
      <c r="O259">
        <v>33.483252999999998</v>
      </c>
      <c r="P259">
        <v>2109</v>
      </c>
      <c r="Q259">
        <v>602</v>
      </c>
      <c r="R259">
        <f>Q259/(Q259+P259)</f>
        <v>0.22205828107709333</v>
      </c>
      <c r="S259">
        <f>-4.062-2.5481*R259</f>
        <v>-4.6278267060125415</v>
      </c>
      <c r="T259">
        <f>J259-(SUM(P259:Q259)*S259)</f>
        <v>129.39293100000032</v>
      </c>
      <c r="U259">
        <f>T259/(2*N259*O259)</f>
        <v>9.9738420977853265E-2</v>
      </c>
      <c r="V259">
        <f>U259*16.02</f>
        <v>1.5978095040652092</v>
      </c>
    </row>
    <row r="260" spans="8:22" x14ac:dyDescent="0.2">
      <c r="I260">
        <v>985.08895900000005</v>
      </c>
      <c r="J260">
        <v>-12392.485430000001</v>
      </c>
      <c r="K260">
        <v>61481.922814999998</v>
      </c>
      <c r="L260">
        <v>0.27611799999999997</v>
      </c>
      <c r="M260">
        <v>94.612020999999999</v>
      </c>
      <c r="N260">
        <v>19.390149999999998</v>
      </c>
      <c r="O260">
        <v>33.513393000000001</v>
      </c>
      <c r="P260">
        <v>2118</v>
      </c>
      <c r="Q260">
        <v>593</v>
      </c>
      <c r="R260">
        <f>Q260/(Q260+P260)</f>
        <v>0.21873847288823312</v>
      </c>
      <c r="S260">
        <f>-4.062-2.5481*R260</f>
        <v>-4.6193675027665071</v>
      </c>
      <c r="T260">
        <f>J260-(SUM(P260:Q260)*S260)</f>
        <v>130.61987000000045</v>
      </c>
      <c r="U260">
        <f>T260/(2*N260*O260)</f>
        <v>0.10050315223113269</v>
      </c>
      <c r="V260">
        <f>U260*16.02</f>
        <v>1.6100604987427458</v>
      </c>
    </row>
    <row r="261" spans="8:22" x14ac:dyDescent="0.2">
      <c r="I261">
        <v>984.94417399999998</v>
      </c>
      <c r="J261">
        <v>-12379.714698</v>
      </c>
      <c r="K261">
        <v>61519.735097999997</v>
      </c>
      <c r="L261">
        <v>5.8765999999999999E-2</v>
      </c>
      <c r="M261">
        <v>94.631398000000004</v>
      </c>
      <c r="N261">
        <v>19.394121999999999</v>
      </c>
      <c r="O261">
        <v>33.520256000000003</v>
      </c>
      <c r="P261">
        <v>2124</v>
      </c>
      <c r="Q261">
        <v>587</v>
      </c>
      <c r="R261">
        <f>Q261/(Q261+P261)</f>
        <v>0.216525267428993</v>
      </c>
      <c r="S261">
        <f>-4.062-2.5481*R261</f>
        <v>-4.6137280339358178</v>
      </c>
      <c r="T261">
        <f>J261-(SUM(P261:Q261)*S261)</f>
        <v>128.10200200000145</v>
      </c>
      <c r="U261">
        <f>T261/(2*N261*O261)</f>
        <v>9.8525460039212961E-2</v>
      </c>
      <c r="V261">
        <f>U261*16.02</f>
        <v>1.5783778698281916</v>
      </c>
    </row>
    <row r="262" spans="8:22" x14ac:dyDescent="0.2">
      <c r="H262" t="s">
        <v>29</v>
      </c>
      <c r="V262" s="1">
        <f>AVERAGE(V257:V261)</f>
        <v>1.6267007624755312</v>
      </c>
    </row>
    <row r="263" spans="8:22" x14ac:dyDescent="0.2">
      <c r="I263" t="s">
        <v>18</v>
      </c>
      <c r="J263" t="s">
        <v>5</v>
      </c>
      <c r="K263" t="s">
        <v>7</v>
      </c>
      <c r="L263" t="s">
        <v>19</v>
      </c>
      <c r="M263" t="s">
        <v>20</v>
      </c>
      <c r="N263" t="s">
        <v>21</v>
      </c>
      <c r="O263" t="s">
        <v>22</v>
      </c>
      <c r="P263" t="s">
        <v>26</v>
      </c>
      <c r="Q263" t="s">
        <v>12</v>
      </c>
      <c r="R263" t="s">
        <v>23</v>
      </c>
      <c r="S263" t="s">
        <v>23</v>
      </c>
    </row>
    <row r="264" spans="8:22" x14ac:dyDescent="0.2">
      <c r="H264" t="s">
        <v>17</v>
      </c>
      <c r="I264">
        <v>929.82267999999999</v>
      </c>
      <c r="J264">
        <v>-15611.029721999999</v>
      </c>
      <c r="K264">
        <v>167493.310489</v>
      </c>
      <c r="L264">
        <v>-0.56612099999999999</v>
      </c>
      <c r="M264">
        <v>31.484995000000001</v>
      </c>
      <c r="N264">
        <v>189.45189300000001</v>
      </c>
      <c r="O264">
        <v>28.079957</v>
      </c>
      <c r="P264">
        <f>$D$16</f>
        <v>-4.0670907491499992</v>
      </c>
      <c r="Q264">
        <f>J264-3872*P264</f>
        <v>136.74565870879815</v>
      </c>
      <c r="R264">
        <f>Q264/(2*M264*O264)</f>
        <v>7.7336316839883235E-2</v>
      </c>
      <c r="S264">
        <f>R264*16.02</f>
        <v>1.2389277957749294</v>
      </c>
    </row>
    <row r="265" spans="8:22" x14ac:dyDescent="0.2">
      <c r="I265">
        <v>929.62541799999997</v>
      </c>
      <c r="J265">
        <v>-15610.127924</v>
      </c>
      <c r="K265">
        <v>167408.91930499999</v>
      </c>
      <c r="L265">
        <v>-0.56833</v>
      </c>
      <c r="M265">
        <v>31.470041999999999</v>
      </c>
      <c r="N265">
        <v>189.377149</v>
      </c>
      <c r="O265">
        <v>28.090212999999999</v>
      </c>
      <c r="P265">
        <f>$D$16</f>
        <v>-4.0670907491499992</v>
      </c>
      <c r="Q265">
        <f>J265-3872*P265</f>
        <v>137.64745670879711</v>
      </c>
      <c r="R265">
        <f>Q265/(2*M265*O265)</f>
        <v>7.7854880220388042E-2</v>
      </c>
      <c r="S265">
        <f>R265*16.02</f>
        <v>1.2472351811306164</v>
      </c>
    </row>
    <row r="266" spans="8:22" x14ac:dyDescent="0.2">
      <c r="I266">
        <v>929.44872299999997</v>
      </c>
      <c r="J266">
        <v>-15611.888496</v>
      </c>
      <c r="K266">
        <v>167537.85698899999</v>
      </c>
      <c r="L266">
        <v>-0.50968999999999998</v>
      </c>
      <c r="M266">
        <v>31.483616999999999</v>
      </c>
      <c r="N266">
        <v>189.583821</v>
      </c>
      <c r="O266">
        <v>28.069098</v>
      </c>
      <c r="P266">
        <f>$D$16</f>
        <v>-4.0670907491499992</v>
      </c>
      <c r="Q266">
        <f>J266-3872*P266</f>
        <v>135.88688470879788</v>
      </c>
      <c r="R266">
        <f>Q266/(2*M266*O266)</f>
        <v>7.6883734316104374E-2</v>
      </c>
      <c r="S266">
        <f>R266*16.02</f>
        <v>1.231677423743992</v>
      </c>
    </row>
    <row r="267" spans="8:22" x14ac:dyDescent="0.2">
      <c r="I267">
        <v>929.64928099999997</v>
      </c>
      <c r="J267">
        <v>-15611.773718</v>
      </c>
      <c r="K267">
        <v>167604.99426000001</v>
      </c>
      <c r="L267">
        <v>-0.55988199999999999</v>
      </c>
      <c r="M267">
        <v>31.475482</v>
      </c>
      <c r="N267">
        <v>189.496588</v>
      </c>
      <c r="O267">
        <v>28.100519999999999</v>
      </c>
      <c r="P267">
        <f>$D$16</f>
        <v>-4.0670907491499992</v>
      </c>
      <c r="Q267">
        <f>J267-3872*P267</f>
        <v>136.00166270879708</v>
      </c>
      <c r="R267">
        <f>Q267/(2*M267*O267)</f>
        <v>7.6882496346480714E-2</v>
      </c>
      <c r="S267">
        <f>R267*16.02</f>
        <v>1.2316575914706209</v>
      </c>
    </row>
    <row r="268" spans="8:22" x14ac:dyDescent="0.2">
      <c r="I268">
        <v>929.52815199999998</v>
      </c>
      <c r="J268">
        <v>-15610.613174</v>
      </c>
      <c r="K268">
        <v>167486.763905</v>
      </c>
      <c r="L268">
        <v>-0.54702499999999998</v>
      </c>
      <c r="M268">
        <v>31.500349</v>
      </c>
      <c r="N268">
        <v>189.37528800000001</v>
      </c>
      <c r="O268">
        <v>28.076528</v>
      </c>
      <c r="P268">
        <f>$D$16</f>
        <v>-4.0670907491499992</v>
      </c>
      <c r="Q268">
        <f>J268-3872*P268</f>
        <v>137.16220670879738</v>
      </c>
      <c r="R268">
        <f>Q268/(2*M268*O268)</f>
        <v>7.7543553917537575E-2</v>
      </c>
      <c r="S268">
        <f>R268*16.02</f>
        <v>1.2422477337589519</v>
      </c>
    </row>
    <row r="269" spans="8:22" x14ac:dyDescent="0.2">
      <c r="S269" s="1">
        <f>AVERAGE(S264:S268)</f>
        <v>1.2383491451758224</v>
      </c>
    </row>
    <row r="270" spans="8:22" x14ac:dyDescent="0.2">
      <c r="H270" t="s">
        <v>27</v>
      </c>
      <c r="I270">
        <v>929.52114600000004</v>
      </c>
      <c r="J270">
        <v>-5879.1196760000003</v>
      </c>
      <c r="K270">
        <v>62790.447577999999</v>
      </c>
      <c r="L270">
        <v>-1.5245839999999999</v>
      </c>
      <c r="M270">
        <v>33.345516000000003</v>
      </c>
      <c r="N270">
        <v>134.12621899999999</v>
      </c>
      <c r="O270">
        <v>14.039327999999999</v>
      </c>
      <c r="P270">
        <f>$D$16</f>
        <v>-4.0670907491499992</v>
      </c>
      <c r="Q270">
        <f>J270-1464*P270</f>
        <v>75.101180755598762</v>
      </c>
      <c r="R270">
        <f>Q270/(2*M270*O270)</f>
        <v>8.0210829326103142E-2</v>
      </c>
      <c r="S270">
        <f>R270*16.02</f>
        <v>1.2849774858041723</v>
      </c>
    </row>
    <row r="271" spans="8:22" x14ac:dyDescent="0.2">
      <c r="I271">
        <v>929.93415500000003</v>
      </c>
      <c r="J271">
        <v>-5881.6067350000003</v>
      </c>
      <c r="K271">
        <v>62762.810042999998</v>
      </c>
      <c r="L271">
        <v>-1.342578</v>
      </c>
      <c r="M271">
        <v>33.413421999999997</v>
      </c>
      <c r="N271">
        <v>134.00790799999999</v>
      </c>
      <c r="O271">
        <v>14.017011</v>
      </c>
      <c r="P271">
        <f>$D$16</f>
        <v>-4.0670907491499992</v>
      </c>
      <c r="Q271">
        <f>J271-1464*P271</f>
        <v>72.614121755598717</v>
      </c>
      <c r="R271">
        <f>Q271/(2*M271*O271)</f>
        <v>7.752017126554514E-2</v>
      </c>
      <c r="S271">
        <f>R271*16.02</f>
        <v>1.2418731436740331</v>
      </c>
    </row>
    <row r="272" spans="8:22" x14ac:dyDescent="0.2">
      <c r="I272">
        <v>929.55778499999997</v>
      </c>
      <c r="J272">
        <v>-5879.1337679999997</v>
      </c>
      <c r="K272">
        <v>62715.698533000002</v>
      </c>
      <c r="L272">
        <v>-1.559974</v>
      </c>
      <c r="M272">
        <v>33.329163000000001</v>
      </c>
      <c r="N272">
        <v>134.055521</v>
      </c>
      <c r="O272">
        <v>14.036899999999999</v>
      </c>
      <c r="P272">
        <f>$D$16</f>
        <v>-4.0670907491499992</v>
      </c>
      <c r="Q272">
        <f>J272-1464*P272</f>
        <v>75.087088755599325</v>
      </c>
      <c r="R272">
        <f>Q272/(2*M272*O272)</f>
        <v>8.0249005204199822E-2</v>
      </c>
      <c r="S272">
        <f>R272*16.02</f>
        <v>1.2855890633712812</v>
      </c>
    </row>
    <row r="273" spans="8:19" x14ac:dyDescent="0.2">
      <c r="I273">
        <v>929.96528000000001</v>
      </c>
      <c r="J273">
        <v>-5880.4299849999998</v>
      </c>
      <c r="K273">
        <v>62742.426769999998</v>
      </c>
      <c r="L273">
        <v>-1.5211669999999999</v>
      </c>
      <c r="M273">
        <v>33.351075999999999</v>
      </c>
      <c r="N273">
        <v>134.07842099999999</v>
      </c>
      <c r="O273">
        <v>14.031276</v>
      </c>
      <c r="P273">
        <f>$D$16</f>
        <v>-4.0670907491499992</v>
      </c>
      <c r="Q273">
        <f>J273-1464*P273</f>
        <v>73.790871755599255</v>
      </c>
      <c r="R273">
        <f>Q273/(2*M273*O273)</f>
        <v>7.8843451492761105E-2</v>
      </c>
      <c r="S273">
        <f>R273*16.02</f>
        <v>1.2630720929140329</v>
      </c>
    </row>
    <row r="274" spans="8:19" x14ac:dyDescent="0.2">
      <c r="I274">
        <v>929.90007200000002</v>
      </c>
      <c r="J274">
        <v>-5880.9324399999996</v>
      </c>
      <c r="K274">
        <v>62778.279308999998</v>
      </c>
      <c r="L274">
        <v>-1.3053250000000001</v>
      </c>
      <c r="M274">
        <v>33.357919000000003</v>
      </c>
      <c r="N274">
        <v>134.213301</v>
      </c>
      <c r="O274">
        <v>14.0223</v>
      </c>
      <c r="P274">
        <f>$D$16</f>
        <v>-4.0670907491499992</v>
      </c>
      <c r="Q274">
        <f>J274-1464*P274</f>
        <v>73.288416755599428</v>
      </c>
      <c r="R274">
        <f>Q274/(2*M274*O274)</f>
        <v>7.8340644464456655E-2</v>
      </c>
      <c r="S274">
        <f>R274*16.02</f>
        <v>1.2550171243205956</v>
      </c>
    </row>
    <row r="275" spans="8:19" x14ac:dyDescent="0.2">
      <c r="S275" s="1">
        <f>AVERAGE(S270:S274)</f>
        <v>1.2661057820168231</v>
      </c>
    </row>
    <row r="276" spans="8:19" x14ac:dyDescent="0.2">
      <c r="H276" t="s">
        <v>28</v>
      </c>
      <c r="I276">
        <v>930.15843900000004</v>
      </c>
      <c r="J276">
        <v>-10130.183677999999</v>
      </c>
      <c r="K276">
        <v>108655.369701</v>
      </c>
      <c r="L276">
        <v>-0.89871900000000005</v>
      </c>
      <c r="M276">
        <v>35.836193000000002</v>
      </c>
      <c r="N276">
        <v>143.94562300000001</v>
      </c>
      <c r="O276">
        <v>21.063652999999999</v>
      </c>
      <c r="P276">
        <f>$D$16</f>
        <v>-4.0670907491499992</v>
      </c>
      <c r="Q276">
        <f>J276-2520*P276</f>
        <v>118.88500985799874</v>
      </c>
      <c r="R276">
        <f>Q276/(2*M276*O276)</f>
        <v>7.8748364703981083E-2</v>
      </c>
      <c r="S276">
        <f>R276*16.02</f>
        <v>1.261548802557777</v>
      </c>
    </row>
    <row r="277" spans="8:19" x14ac:dyDescent="0.2">
      <c r="I277">
        <v>929.58563300000003</v>
      </c>
      <c r="J277">
        <v>-10128.987845</v>
      </c>
      <c r="K277">
        <v>108561.060896</v>
      </c>
      <c r="L277">
        <v>-0.85040300000000002</v>
      </c>
      <c r="M277">
        <v>35.844450000000002</v>
      </c>
      <c r="N277">
        <v>143.89204100000001</v>
      </c>
      <c r="O277">
        <v>21.048338999999999</v>
      </c>
      <c r="P277">
        <f>$D$16</f>
        <v>-4.0670907491499992</v>
      </c>
      <c r="Q277">
        <f>J277-2520*P277</f>
        <v>120.0808428579985</v>
      </c>
      <c r="R277">
        <f>Q277/(2*M277*O277)</f>
        <v>7.9580008504238631E-2</v>
      </c>
      <c r="S277">
        <f>R277*16.02</f>
        <v>1.2748717362379027</v>
      </c>
    </row>
    <row r="278" spans="8:19" x14ac:dyDescent="0.2">
      <c r="I278">
        <v>929.55044699999996</v>
      </c>
      <c r="J278">
        <v>-10127.474768</v>
      </c>
      <c r="K278">
        <v>108613.062045</v>
      </c>
      <c r="L278">
        <v>-0.95003599999999999</v>
      </c>
      <c r="M278">
        <v>35.841135999999999</v>
      </c>
      <c r="N278">
        <v>144.176006</v>
      </c>
      <c r="O278">
        <v>21.018899999999999</v>
      </c>
      <c r="P278">
        <f>$D$16</f>
        <v>-4.0670907491499992</v>
      </c>
      <c r="Q278">
        <f>J278-2520*P278</f>
        <v>121.59391985799812</v>
      </c>
      <c r="R278">
        <f>Q278/(2*M278*O278)</f>
        <v>8.0703080640980557E-2</v>
      </c>
      <c r="S278">
        <f>R278*16.02</f>
        <v>1.2928633518685084</v>
      </c>
    </row>
    <row r="279" spans="8:19" x14ac:dyDescent="0.2">
      <c r="I279">
        <v>929.57311500000003</v>
      </c>
      <c r="J279">
        <v>-10126.992286000001</v>
      </c>
      <c r="K279">
        <v>108626.431987</v>
      </c>
      <c r="L279">
        <v>-0.85332600000000003</v>
      </c>
      <c r="M279">
        <v>35.815975999999999</v>
      </c>
      <c r="N279">
        <v>144.07870299999999</v>
      </c>
      <c r="O279">
        <v>21.050498999999999</v>
      </c>
      <c r="P279">
        <f>$D$16</f>
        <v>-4.0670907491499992</v>
      </c>
      <c r="Q279">
        <f>J279-2520*P279</f>
        <v>122.07640185799755</v>
      </c>
      <c r="R279">
        <f>Q279/(2*M279*O279)</f>
        <v>8.095851603194866E-2</v>
      </c>
      <c r="S279">
        <f>R279*16.02</f>
        <v>1.2969554268318175</v>
      </c>
    </row>
    <row r="280" spans="8:19" x14ac:dyDescent="0.2">
      <c r="I280">
        <v>929.96322899999996</v>
      </c>
      <c r="J280">
        <v>-10126.719370000001</v>
      </c>
      <c r="K280">
        <v>108651.832753</v>
      </c>
      <c r="L280">
        <v>-0.80464999999999998</v>
      </c>
      <c r="M280">
        <v>35.862209</v>
      </c>
      <c r="N280">
        <v>144.074701</v>
      </c>
      <c r="O280">
        <v>21.028845</v>
      </c>
      <c r="P280">
        <f>$D$16</f>
        <v>-4.0670907491499992</v>
      </c>
      <c r="Q280">
        <f>J280-2520*P280</f>
        <v>122.34931785799745</v>
      </c>
      <c r="R280">
        <f>Q280/(2*M280*O280)</f>
        <v>8.1118348373431501E-2</v>
      </c>
      <c r="S280">
        <f>R280*16.02</f>
        <v>1.2995159409423727</v>
      </c>
    </row>
    <row r="281" spans="8:19" x14ac:dyDescent="0.2">
      <c r="S281" s="1">
        <f>AVERAGE(S276:S280)</f>
        <v>1.2851510516876756</v>
      </c>
    </row>
    <row r="282" spans="8:19" x14ac:dyDescent="0.2">
      <c r="H282" t="s">
        <v>55</v>
      </c>
      <c r="I282">
        <v>867.66395999999997</v>
      </c>
      <c r="J282">
        <v>-7964.7915659999999</v>
      </c>
      <c r="K282">
        <v>85792.411194999993</v>
      </c>
      <c r="L282">
        <v>-0.977935</v>
      </c>
      <c r="M282">
        <v>31.79843</v>
      </c>
      <c r="N282">
        <v>191.94116500000001</v>
      </c>
      <c r="O282">
        <v>14.056554</v>
      </c>
      <c r="P282">
        <f>$D$16</f>
        <v>-4.0670907491499992</v>
      </c>
      <c r="Q282">
        <f>J282-1976*P282</f>
        <v>71.779754320398752</v>
      </c>
      <c r="R282">
        <f>Q282/(2*M282*O282)</f>
        <v>8.0294801476298347E-2</v>
      </c>
      <c r="S282">
        <f>R282*16.02</f>
        <v>1.2863227196502995</v>
      </c>
    </row>
    <row r="283" spans="8:19" x14ac:dyDescent="0.2">
      <c r="I283">
        <v>867.61686199999997</v>
      </c>
      <c r="J283">
        <v>-7962.3531709999997</v>
      </c>
      <c r="K283">
        <v>85678.260834000001</v>
      </c>
      <c r="L283">
        <v>-1.046745</v>
      </c>
      <c r="M283">
        <v>31.774338</v>
      </c>
      <c r="N283">
        <v>191.86798300000001</v>
      </c>
      <c r="O283">
        <v>14.053874</v>
      </c>
      <c r="P283">
        <f>$D$16</f>
        <v>-4.0670907491499992</v>
      </c>
      <c r="Q283">
        <f>J283-1976*P283</f>
        <v>74.218149320398879</v>
      </c>
      <c r="R283">
        <f>Q283/(2*M283*O283)</f>
        <v>8.3101250385986702E-2</v>
      </c>
      <c r="S283">
        <f>R283*16.02</f>
        <v>1.331282031183507</v>
      </c>
    </row>
    <row r="284" spans="8:19" x14ac:dyDescent="0.2">
      <c r="I284">
        <v>867.37911299999996</v>
      </c>
      <c r="J284">
        <v>-7964.330954</v>
      </c>
      <c r="K284">
        <v>85771.479433999993</v>
      </c>
      <c r="L284">
        <v>-0.78793299999999999</v>
      </c>
      <c r="M284">
        <v>31.797664000000001</v>
      </c>
      <c r="N284">
        <v>191.86350300000001</v>
      </c>
      <c r="O284">
        <v>14.059148</v>
      </c>
      <c r="P284">
        <f>$D$16</f>
        <v>-4.0670907491499992</v>
      </c>
      <c r="Q284">
        <f>J284-1976*P284</f>
        <v>72.240366320398607</v>
      </c>
      <c r="R284">
        <f>Q284/(2*M284*O284)</f>
        <v>8.0797091074292171E-2</v>
      </c>
      <c r="S284">
        <f>R284*16.02</f>
        <v>1.2943693990101606</v>
      </c>
    </row>
    <row r="285" spans="8:19" x14ac:dyDescent="0.2">
      <c r="I285">
        <v>867.34611099999995</v>
      </c>
      <c r="J285">
        <v>-7962.4712040000004</v>
      </c>
      <c r="K285">
        <v>85692.998263999994</v>
      </c>
      <c r="L285">
        <v>-1.0285420000000001</v>
      </c>
      <c r="M285">
        <v>31.81399</v>
      </c>
      <c r="N285">
        <v>191.662499</v>
      </c>
      <c r="O285">
        <v>14.053788000000001</v>
      </c>
      <c r="P285">
        <f>$D$16</f>
        <v>-4.0670907491499992</v>
      </c>
      <c r="Q285">
        <f>J285-1976*P285</f>
        <v>74.100116320398229</v>
      </c>
      <c r="R285">
        <f>Q285/(2*M285*O285)</f>
        <v>8.2866187032351768E-2</v>
      </c>
      <c r="S285">
        <f>R285*16.02</f>
        <v>1.3275163162582753</v>
      </c>
    </row>
    <row r="286" spans="8:19" x14ac:dyDescent="0.2">
      <c r="I286">
        <v>867.44824200000005</v>
      </c>
      <c r="J286">
        <v>-7961.4193910000004</v>
      </c>
      <c r="K286">
        <v>85742.304684999996</v>
      </c>
      <c r="L286">
        <v>-0.97544299999999995</v>
      </c>
      <c r="M286">
        <v>31.798528999999998</v>
      </c>
      <c r="N286">
        <v>191.99919600000001</v>
      </c>
      <c r="O286">
        <v>14.044057</v>
      </c>
      <c r="P286">
        <f>$D$16</f>
        <v>-4.0670907491499992</v>
      </c>
      <c r="Q286">
        <f>J286-1976*P286</f>
        <v>75.151929320398267</v>
      </c>
      <c r="R286">
        <f>Q286/(2*M286*O286)</f>
        <v>8.4141553342240633E-2</v>
      </c>
      <c r="S286">
        <f>R286*16.02</f>
        <v>1.347947684542695</v>
      </c>
    </row>
    <row r="287" spans="8:19" x14ac:dyDescent="0.2">
      <c r="S287" s="1">
        <f>AVERAGE(S282:S286)</f>
        <v>1.3174876301289875</v>
      </c>
    </row>
    <row r="288" spans="8:19" x14ac:dyDescent="0.2">
      <c r="H288">
        <v>100</v>
      </c>
      <c r="I288">
        <v>867.87168399999996</v>
      </c>
      <c r="J288">
        <v>-18874.584128999999</v>
      </c>
      <c r="K288">
        <v>111482.344245</v>
      </c>
      <c r="L288">
        <v>-0.69283499999999998</v>
      </c>
      <c r="M288">
        <v>28.101345999999999</v>
      </c>
      <c r="N288">
        <v>28.121903</v>
      </c>
      <c r="O288">
        <v>141.07030499999999</v>
      </c>
      <c r="P288">
        <f>$D$16</f>
        <v>-4.0670907491499992</v>
      </c>
      <c r="Q288">
        <f>J288-4672*P288</f>
        <v>126.86385102879649</v>
      </c>
      <c r="R288">
        <f>Q288/(2*M288*N288)</f>
        <v>8.0266821699608304E-2</v>
      </c>
      <c r="S288">
        <f>R288*16.02</f>
        <v>1.2858744836277249</v>
      </c>
    </row>
    <row r="289" spans="8:19" x14ac:dyDescent="0.2">
      <c r="I289">
        <v>867.66539899999998</v>
      </c>
      <c r="J289">
        <v>-18873.509797999999</v>
      </c>
      <c r="K289">
        <v>111367.445626</v>
      </c>
      <c r="L289">
        <v>-0.76644299999999999</v>
      </c>
      <c r="M289">
        <v>28.104635999999999</v>
      </c>
      <c r="N289">
        <v>28.107032</v>
      </c>
      <c r="O289">
        <v>140.98304899999999</v>
      </c>
      <c r="P289">
        <f>$D$16</f>
        <v>-4.0670907491499992</v>
      </c>
      <c r="Q289">
        <f>J289-4672*P289</f>
        <v>127.93818202879629</v>
      </c>
      <c r="R289">
        <f>Q289/(2*M289*N289)</f>
        <v>8.0979898216097732E-2</v>
      </c>
      <c r="S289">
        <f>R289*16.02</f>
        <v>1.2972979694218856</v>
      </c>
    </row>
    <row r="290" spans="8:19" x14ac:dyDescent="0.2">
      <c r="I290">
        <v>867.71858499999996</v>
      </c>
      <c r="J290">
        <v>-18870.351111</v>
      </c>
      <c r="K290">
        <v>111417.93717799999</v>
      </c>
      <c r="L290">
        <v>-0.78803500000000004</v>
      </c>
      <c r="M290">
        <v>28.10943</v>
      </c>
      <c r="N290">
        <v>28.114338</v>
      </c>
      <c r="O290">
        <v>140.98627300000001</v>
      </c>
      <c r="P290">
        <f>$D$16</f>
        <v>-4.0670907491499992</v>
      </c>
      <c r="Q290">
        <f>J290-4672*P290</f>
        <v>131.09686902879548</v>
      </c>
      <c r="R290">
        <f>Q290/(2*M290*N290)</f>
        <v>8.2943512519256191E-2</v>
      </c>
      <c r="S290">
        <f>R290*16.02</f>
        <v>1.3287550705584841</v>
      </c>
    </row>
    <row r="291" spans="8:19" x14ac:dyDescent="0.2">
      <c r="I291">
        <v>867.74519099999998</v>
      </c>
      <c r="J291">
        <v>-18873.098832</v>
      </c>
      <c r="K291">
        <v>111426.579086</v>
      </c>
      <c r="L291">
        <v>-0.73177700000000001</v>
      </c>
      <c r="M291">
        <v>28.112562</v>
      </c>
      <c r="N291">
        <v>28.120681999999999</v>
      </c>
      <c r="O291">
        <v>140.949735</v>
      </c>
      <c r="P291">
        <f>$D$16</f>
        <v>-4.0670907491499992</v>
      </c>
      <c r="Q291">
        <f>J291-4672*P291</f>
        <v>128.34914802879575</v>
      </c>
      <c r="R291">
        <f>Q291/(2*M291*N291)</f>
        <v>8.1177695647110915E-2</v>
      </c>
      <c r="S291">
        <f>R291*16.02</f>
        <v>1.3004666842667167</v>
      </c>
    </row>
    <row r="292" spans="8:19" x14ac:dyDescent="0.2">
      <c r="I292">
        <v>867.66281000000004</v>
      </c>
      <c r="J292">
        <v>-18870.314413</v>
      </c>
      <c r="K292">
        <v>111413.83809999999</v>
      </c>
      <c r="L292">
        <v>-0.74956999999999996</v>
      </c>
      <c r="M292">
        <v>28.116516000000001</v>
      </c>
      <c r="N292">
        <v>28.111263000000001</v>
      </c>
      <c r="O292">
        <v>140.96118000000001</v>
      </c>
      <c r="P292">
        <f>$D$16</f>
        <v>-4.0670907491499992</v>
      </c>
      <c r="Q292">
        <f>J292-4672*P292</f>
        <v>131.13356702879537</v>
      </c>
      <c r="R292">
        <f>Q292/(2*M292*N292)</f>
        <v>8.2954894606536114E-2</v>
      </c>
      <c r="S292">
        <f>R292*16.02</f>
        <v>1.3289374115967085</v>
      </c>
    </row>
    <row r="293" spans="8:19" x14ac:dyDescent="0.2">
      <c r="S293" s="1">
        <f>AVERAGE(S288:S292)</f>
        <v>1.308266323894304</v>
      </c>
    </row>
    <row r="294" spans="8:19" x14ac:dyDescent="0.2">
      <c r="H294">
        <v>110</v>
      </c>
      <c r="I294">
        <v>867.68583000000001</v>
      </c>
      <c r="J294">
        <v>-7261.6925970000002</v>
      </c>
      <c r="K294">
        <v>43514.906102000001</v>
      </c>
      <c r="L294">
        <v>-1.7006190000000001</v>
      </c>
      <c r="M294">
        <v>99.645550999999998</v>
      </c>
      <c r="N294">
        <v>24.882957999999999</v>
      </c>
      <c r="O294">
        <v>17.550172</v>
      </c>
      <c r="P294">
        <f>$D$16</f>
        <v>-4.0670907491499992</v>
      </c>
      <c r="Q294">
        <f>J294-1800*P294</f>
        <v>59.070751469998868</v>
      </c>
      <c r="R294">
        <f>Q294/(2*N294*O294)</f>
        <v>6.7633072355060359E-2</v>
      </c>
      <c r="S294">
        <f>R294*16.02</f>
        <v>1.0834818191280668</v>
      </c>
    </row>
    <row r="295" spans="8:19" x14ac:dyDescent="0.2">
      <c r="I295">
        <v>867.59726899999998</v>
      </c>
      <c r="J295">
        <v>-7262.0009570000002</v>
      </c>
      <c r="K295">
        <v>43520.230417999999</v>
      </c>
      <c r="L295">
        <v>-1.6628050000000001</v>
      </c>
      <c r="M295">
        <v>99.681755999999993</v>
      </c>
      <c r="N295">
        <v>24.886900000000001</v>
      </c>
      <c r="O295">
        <v>17.543143000000001</v>
      </c>
      <c r="P295">
        <f>$D$16</f>
        <v>-4.0670907491499992</v>
      </c>
      <c r="Q295">
        <f>J295-1800*P295</f>
        <v>58.762391469998875</v>
      </c>
      <c r="R295">
        <f>Q295/(2*N295*O295)</f>
        <v>6.7296311338900489E-2</v>
      </c>
      <c r="S295">
        <f>R295*16.02</f>
        <v>1.0780869076491857</v>
      </c>
    </row>
    <row r="296" spans="8:19" x14ac:dyDescent="0.2">
      <c r="I296">
        <v>867.78006100000005</v>
      </c>
      <c r="J296">
        <v>-7263.5533340000002</v>
      </c>
      <c r="K296">
        <v>43524.725443000003</v>
      </c>
      <c r="L296">
        <v>-1.939001</v>
      </c>
      <c r="M296">
        <v>99.673675000000003</v>
      </c>
      <c r="N296">
        <v>24.8812</v>
      </c>
      <c r="O296">
        <v>17.550373</v>
      </c>
      <c r="P296">
        <f>$D$16</f>
        <v>-4.0670907491499992</v>
      </c>
      <c r="Q296">
        <f>J296-1800*P296</f>
        <v>57.210014469998896</v>
      </c>
      <c r="R296">
        <f>Q296/(2*N296*O296)</f>
        <v>6.5506498939134322E-2</v>
      </c>
      <c r="S296">
        <f>R296*16.02</f>
        <v>1.0494141130049317</v>
      </c>
    </row>
    <row r="297" spans="8:19" x14ac:dyDescent="0.2">
      <c r="I297">
        <v>867.64565400000004</v>
      </c>
      <c r="J297">
        <v>-7262.3251419999997</v>
      </c>
      <c r="K297">
        <v>43490.106092000002</v>
      </c>
      <c r="L297">
        <v>-1.745681</v>
      </c>
      <c r="M297">
        <v>99.555644000000001</v>
      </c>
      <c r="N297">
        <v>24.869178000000002</v>
      </c>
      <c r="O297">
        <v>17.565712000000001</v>
      </c>
      <c r="P297">
        <f>$D$16</f>
        <v>-4.0670907491499992</v>
      </c>
      <c r="Q297">
        <f>J297-1800*P297</f>
        <v>58.438206469999386</v>
      </c>
      <c r="R297">
        <f>Q297/(2*N297*O297)</f>
        <v>6.6886688367653949E-2</v>
      </c>
      <c r="S297">
        <f>R297*16.02</f>
        <v>1.0715247476498162</v>
      </c>
    </row>
    <row r="298" spans="8:19" x14ac:dyDescent="0.2">
      <c r="I298">
        <v>867.62388499999997</v>
      </c>
      <c r="J298">
        <v>-7261.5665120000003</v>
      </c>
      <c r="K298">
        <v>43492.373922999999</v>
      </c>
      <c r="L298">
        <v>-1.7505740000000001</v>
      </c>
      <c r="M298">
        <v>99.606763000000001</v>
      </c>
      <c r="N298">
        <v>24.891539999999999</v>
      </c>
      <c r="O298">
        <v>17.541865999999999</v>
      </c>
      <c r="P298">
        <f>$D$16</f>
        <v>-4.0670907491499992</v>
      </c>
      <c r="Q298">
        <f>J298-1800*P298</f>
        <v>59.196836469998743</v>
      </c>
      <c r="R298">
        <f>Q298/(2*N298*O298)</f>
        <v>6.7786146657539986E-2</v>
      </c>
      <c r="S298">
        <f>R298*16.02</f>
        <v>1.0859340694537905</v>
      </c>
    </row>
    <row r="299" spans="8:19" x14ac:dyDescent="0.2">
      <c r="S299" s="1">
        <f>AVERAGE(S294:S298)</f>
        <v>1.0736883313771581</v>
      </c>
    </row>
    <row r="300" spans="8:19" x14ac:dyDescent="0.2">
      <c r="H300">
        <v>111</v>
      </c>
      <c r="I300">
        <v>929.50275499999998</v>
      </c>
      <c r="J300">
        <v>-13947.884765000001</v>
      </c>
      <c r="K300">
        <v>83830.451895999999</v>
      </c>
      <c r="L300">
        <v>-0.99854600000000004</v>
      </c>
      <c r="M300">
        <v>122.099784</v>
      </c>
      <c r="N300">
        <v>19.917655</v>
      </c>
      <c r="O300">
        <v>34.470646000000002</v>
      </c>
      <c r="P300">
        <f>$D$16</f>
        <v>-4.0670907491499992</v>
      </c>
      <c r="Q300">
        <f>J300-3456*P300</f>
        <v>107.98086406239599</v>
      </c>
      <c r="R300">
        <f>Q300/(2*N300*O300)</f>
        <v>7.8637405219315629E-2</v>
      </c>
      <c r="S300">
        <f>R300*16.02</f>
        <v>1.2597712316134364</v>
      </c>
    </row>
    <row r="301" spans="8:19" x14ac:dyDescent="0.2">
      <c r="I301">
        <v>929.87217999999996</v>
      </c>
      <c r="J301">
        <v>-13942.402912</v>
      </c>
      <c r="K301">
        <v>83728.721844999993</v>
      </c>
      <c r="L301">
        <v>-1.024683</v>
      </c>
      <c r="M301">
        <v>121.961978</v>
      </c>
      <c r="N301">
        <v>19.910148</v>
      </c>
      <c r="O301">
        <v>34.480713999999999</v>
      </c>
      <c r="P301">
        <f>$D$16</f>
        <v>-4.0670907491499992</v>
      </c>
      <c r="Q301">
        <f>J301-3456*P301</f>
        <v>113.46271706239713</v>
      </c>
      <c r="R301">
        <f>Q301/(2*N301*O301)</f>
        <v>8.2636600904990906E-2</v>
      </c>
      <c r="S301">
        <f>R301*16.02</f>
        <v>1.3238383464979542</v>
      </c>
    </row>
    <row r="302" spans="8:19" x14ac:dyDescent="0.2">
      <c r="I302">
        <v>929.59925999999996</v>
      </c>
      <c r="J302">
        <v>-13944.814541</v>
      </c>
      <c r="K302">
        <v>83788.828068999996</v>
      </c>
      <c r="L302">
        <v>-0.92513999999999996</v>
      </c>
      <c r="M302">
        <v>122.04830200000001</v>
      </c>
      <c r="N302">
        <v>19.90409</v>
      </c>
      <c r="O302">
        <v>34.491548000000002</v>
      </c>
      <c r="P302">
        <f>$D$16</f>
        <v>-4.0670907491499992</v>
      </c>
      <c r="Q302">
        <f>J302-3456*P302</f>
        <v>111.05108806239696</v>
      </c>
      <c r="R302">
        <f>Q302/(2*N302*O302)</f>
        <v>8.0879379263418871E-2</v>
      </c>
      <c r="S302">
        <f>R302*16.02</f>
        <v>1.2956876557999704</v>
      </c>
    </row>
    <row r="303" spans="8:19" x14ac:dyDescent="0.2">
      <c r="I303">
        <v>929.74878799999999</v>
      </c>
      <c r="J303">
        <v>-13950.526926</v>
      </c>
      <c r="K303">
        <v>83746.114568999998</v>
      </c>
      <c r="L303">
        <v>-0.83132499999999998</v>
      </c>
      <c r="M303">
        <v>122.000022</v>
      </c>
      <c r="N303">
        <v>19.906932000000001</v>
      </c>
      <c r="O303">
        <v>34.482683999999999</v>
      </c>
      <c r="P303">
        <f>$D$16</f>
        <v>-4.0670907491499992</v>
      </c>
      <c r="Q303">
        <f>J303-3456*P303</f>
        <v>105.33870306239623</v>
      </c>
      <c r="R303">
        <f>Q303/(2*N303*O303)</f>
        <v>7.6727769991363964E-2</v>
      </c>
      <c r="S303">
        <f>R303*16.02</f>
        <v>1.2291788752616506</v>
      </c>
    </row>
    <row r="304" spans="8:19" x14ac:dyDescent="0.2">
      <c r="I304">
        <v>929.69400199999995</v>
      </c>
      <c r="J304">
        <v>-13944.900941</v>
      </c>
      <c r="K304">
        <v>83785.327671000006</v>
      </c>
      <c r="L304">
        <v>-1.1303589999999999</v>
      </c>
      <c r="M304">
        <v>122.072993</v>
      </c>
      <c r="N304">
        <v>19.904256</v>
      </c>
      <c r="O304">
        <v>34.482850999999997</v>
      </c>
      <c r="P304">
        <f>$D$16</f>
        <v>-4.0670907491499992</v>
      </c>
      <c r="Q304">
        <f>J304-3456*P304</f>
        <v>110.96468806239682</v>
      </c>
      <c r="R304">
        <f>Q304/(2*N304*O304)</f>
        <v>8.0836162197547676E-2</v>
      </c>
      <c r="S304">
        <f>R304*16.02</f>
        <v>1.2949953184047138</v>
      </c>
    </row>
    <row r="305" spans="8:19" x14ac:dyDescent="0.2">
      <c r="S305" s="1">
        <f>AVERAGE(S300:S304)</f>
        <v>1.2806942855155452</v>
      </c>
    </row>
    <row r="306" spans="8:19" x14ac:dyDescent="0.2">
      <c r="H306" t="s">
        <v>30</v>
      </c>
    </row>
    <row r="307" spans="8:19" x14ac:dyDescent="0.2">
      <c r="I307" t="s">
        <v>18</v>
      </c>
      <c r="J307" t="s">
        <v>5</v>
      </c>
      <c r="K307" t="s">
        <v>7</v>
      </c>
      <c r="L307" t="s">
        <v>19</v>
      </c>
      <c r="M307" t="s">
        <v>20</v>
      </c>
      <c r="N307" t="s">
        <v>21</v>
      </c>
      <c r="O307" t="s">
        <v>22</v>
      </c>
      <c r="P307" t="s">
        <v>26</v>
      </c>
      <c r="Q307" t="s">
        <v>12</v>
      </c>
      <c r="R307" t="s">
        <v>23</v>
      </c>
      <c r="S307" t="s">
        <v>23</v>
      </c>
    </row>
    <row r="308" spans="8:19" x14ac:dyDescent="0.2">
      <c r="H308" t="s">
        <v>17</v>
      </c>
      <c r="I308">
        <v>929.20806300000004</v>
      </c>
      <c r="J308">
        <v>-25727.480442</v>
      </c>
      <c r="K308">
        <v>122533.930587</v>
      </c>
      <c r="L308">
        <v>-0.52171100000000004</v>
      </c>
      <c r="M308">
        <v>28.393498000000001</v>
      </c>
      <c r="N308">
        <v>170.293103</v>
      </c>
      <c r="O308">
        <v>25.341978999999998</v>
      </c>
      <c r="P308">
        <f>$K$16</f>
        <v>-6.7554243092999995</v>
      </c>
      <c r="Q308">
        <f>J308-3872*P308</f>
        <v>429.52248360959857</v>
      </c>
      <c r="R308">
        <f>Q308/(2*M308*O308)</f>
        <v>0.29846710979027086</v>
      </c>
      <c r="S308">
        <f>R308*16.02</f>
        <v>4.7814430988401391</v>
      </c>
    </row>
    <row r="309" spans="8:19" x14ac:dyDescent="0.2">
      <c r="I309">
        <v>929.29613900000004</v>
      </c>
      <c r="J309">
        <v>-25728.070121000001</v>
      </c>
      <c r="K309">
        <v>122510.44143399999</v>
      </c>
      <c r="L309">
        <v>-0.61347499999999999</v>
      </c>
      <c r="M309">
        <v>28.393377999999998</v>
      </c>
      <c r="N309">
        <v>170.261889</v>
      </c>
      <c r="O309">
        <v>25.341873</v>
      </c>
      <c r="P309">
        <f>$K$16</f>
        <v>-6.7554243092999995</v>
      </c>
      <c r="Q309">
        <f>J309-3872*P309</f>
        <v>428.93280460959795</v>
      </c>
      <c r="R309">
        <f>Q309/(2*M309*O309)</f>
        <v>0.29805985933481083</v>
      </c>
      <c r="S309">
        <f>R309*16.02</f>
        <v>4.7749189465436697</v>
      </c>
    </row>
    <row r="310" spans="8:19" x14ac:dyDescent="0.2">
      <c r="I310">
        <v>929.76498500000002</v>
      </c>
      <c r="J310">
        <v>-25727.420773999998</v>
      </c>
      <c r="K310">
        <v>122563.797081</v>
      </c>
      <c r="L310">
        <v>-0.63714400000000004</v>
      </c>
      <c r="M310">
        <v>28.393840999999998</v>
      </c>
      <c r="N310">
        <v>170.330974</v>
      </c>
      <c r="O310">
        <v>25.342213000000001</v>
      </c>
      <c r="P310">
        <f>$K$16</f>
        <v>-6.7554243092999995</v>
      </c>
      <c r="Q310">
        <f>J310-3872*P310</f>
        <v>429.58215160960026</v>
      </c>
      <c r="R310">
        <f>Q310/(2*M310*O310)</f>
        <v>0.29850220967731994</v>
      </c>
      <c r="S310">
        <f>R310*16.02</f>
        <v>4.7820053990306652</v>
      </c>
    </row>
    <row r="311" spans="8:19" x14ac:dyDescent="0.2">
      <c r="I311">
        <v>929.438222</v>
      </c>
      <c r="J311">
        <v>-25726.821907000001</v>
      </c>
      <c r="K311">
        <v>122643.445031</v>
      </c>
      <c r="L311">
        <v>-0.64698500000000003</v>
      </c>
      <c r="M311">
        <v>28.394099000000001</v>
      </c>
      <c r="N311">
        <v>170.441271</v>
      </c>
      <c r="O311">
        <v>25.342040999999998</v>
      </c>
      <c r="P311">
        <f>$K$16</f>
        <v>-6.7554243092999995</v>
      </c>
      <c r="Q311">
        <f>J311-3872*P311</f>
        <v>430.18101860959723</v>
      </c>
      <c r="R311">
        <f>Q311/(2*M311*O311)</f>
        <v>0.29891765493502392</v>
      </c>
      <c r="S311">
        <f>R311*16.02</f>
        <v>4.7886608320590831</v>
      </c>
    </row>
    <row r="312" spans="8:19" x14ac:dyDescent="0.2">
      <c r="I312">
        <v>929.44090900000003</v>
      </c>
      <c r="J312">
        <v>-25727.827299</v>
      </c>
      <c r="K312">
        <v>122522.602787</v>
      </c>
      <c r="L312">
        <v>-0.69710799999999995</v>
      </c>
      <c r="M312">
        <v>28.393630999999999</v>
      </c>
      <c r="N312">
        <v>170.27799200000001</v>
      </c>
      <c r="O312">
        <v>25.341766</v>
      </c>
      <c r="P312">
        <f>$K$16</f>
        <v>-6.7554243092999995</v>
      </c>
      <c r="Q312">
        <f>J312-3872*P312</f>
        <v>429.17562660959811</v>
      </c>
      <c r="R312">
        <f>Q312/(2*M312*O312)</f>
        <v>0.29822719504501738</v>
      </c>
      <c r="S312">
        <f>R312*16.02</f>
        <v>4.777599664621178</v>
      </c>
    </row>
    <row r="313" spans="8:19" x14ac:dyDescent="0.2">
      <c r="S313" s="1">
        <f>AVERAGE(S308:S312)</f>
        <v>4.7809255882189472</v>
      </c>
    </row>
    <row r="314" spans="8:19" x14ac:dyDescent="0.2">
      <c r="H314" t="s">
        <v>27</v>
      </c>
      <c r="I314">
        <v>929.58869400000003</v>
      </c>
      <c r="J314">
        <v>-9659.5274690000006</v>
      </c>
      <c r="K314">
        <v>45955.091487999998</v>
      </c>
      <c r="L314">
        <v>-1.5614589999999999</v>
      </c>
      <c r="M314">
        <v>30.097446999999999</v>
      </c>
      <c r="N314">
        <v>120.59230100000001</v>
      </c>
      <c r="O314">
        <v>12.661490000000001</v>
      </c>
      <c r="P314">
        <f>$K$16</f>
        <v>-6.7554243092999995</v>
      </c>
      <c r="Q314">
        <f>J314-1464*P314</f>
        <v>230.41371981519842</v>
      </c>
      <c r="R314">
        <f>Q314/(2*M314*O314)</f>
        <v>0.3023179019195778</v>
      </c>
      <c r="S314">
        <f>R314*16.02</f>
        <v>4.8431327887516362</v>
      </c>
    </row>
    <row r="315" spans="8:19" x14ac:dyDescent="0.2">
      <c r="I315">
        <v>929.29312900000002</v>
      </c>
      <c r="J315">
        <v>-9659.1154310000002</v>
      </c>
      <c r="K315">
        <v>45972.999905999997</v>
      </c>
      <c r="L315">
        <v>-1.8313699999999999</v>
      </c>
      <c r="M315">
        <v>30.098444000000001</v>
      </c>
      <c r="N315">
        <v>120.626773</v>
      </c>
      <c r="O315">
        <v>12.662381</v>
      </c>
      <c r="P315">
        <f>$K$16</f>
        <v>-6.7554243092999995</v>
      </c>
      <c r="Q315">
        <f>J315-1464*P315</f>
        <v>230.82575781519881</v>
      </c>
      <c r="R315">
        <f>Q315/(2*M315*O315)</f>
        <v>0.30282718049205554</v>
      </c>
      <c r="S315">
        <f>R315*16.02</f>
        <v>4.8512914314827293</v>
      </c>
    </row>
    <row r="316" spans="8:19" x14ac:dyDescent="0.2">
      <c r="I316">
        <v>929.33131200000003</v>
      </c>
      <c r="J316">
        <v>-9659.9918409999991</v>
      </c>
      <c r="K316">
        <v>46073.346544</v>
      </c>
      <c r="L316">
        <v>-1.4062790000000001</v>
      </c>
      <c r="M316">
        <v>30.099263000000001</v>
      </c>
      <c r="N316">
        <v>120.88229800000001</v>
      </c>
      <c r="O316">
        <v>12.662853</v>
      </c>
      <c r="P316">
        <f>$K$16</f>
        <v>-6.7554243092999995</v>
      </c>
      <c r="Q316">
        <f>J316-1464*P316</f>
        <v>229.94934781519987</v>
      </c>
      <c r="R316">
        <f>Q316/(2*M316*O316)</f>
        <v>0.30165793896895782</v>
      </c>
      <c r="S316">
        <f>R316*16.02</f>
        <v>4.8325601822827045</v>
      </c>
    </row>
    <row r="317" spans="8:19" x14ac:dyDescent="0.2">
      <c r="I317">
        <v>929.61457099999996</v>
      </c>
      <c r="J317">
        <v>-9658.8876930000006</v>
      </c>
      <c r="K317">
        <v>45975.512269999999</v>
      </c>
      <c r="L317">
        <v>-1.6983189999999999</v>
      </c>
      <c r="M317">
        <v>30.097693</v>
      </c>
      <c r="N317">
        <v>120.625964</v>
      </c>
      <c r="O317">
        <v>12.663475</v>
      </c>
      <c r="P317">
        <f>$K$16</f>
        <v>-6.7554243092999995</v>
      </c>
      <c r="Q317">
        <f>J317-1464*P317</f>
        <v>231.0534958151984</v>
      </c>
      <c r="R317">
        <f>Q317/(2*M317*O317)</f>
        <v>0.30310733261171974</v>
      </c>
      <c r="S317">
        <f>R317*16.02</f>
        <v>4.8557794684397502</v>
      </c>
    </row>
    <row r="318" spans="8:19" x14ac:dyDescent="0.2">
      <c r="I318">
        <v>929.63959499999999</v>
      </c>
      <c r="J318">
        <v>-9659.8101690000003</v>
      </c>
      <c r="K318">
        <v>46013.022742000001</v>
      </c>
      <c r="L318">
        <v>-1.7466090000000001</v>
      </c>
      <c r="M318">
        <v>30.099411</v>
      </c>
      <c r="N318">
        <v>120.72846199999999</v>
      </c>
      <c r="O318">
        <v>12.662324</v>
      </c>
      <c r="P318">
        <f>$K$16</f>
        <v>-6.7554243092999995</v>
      </c>
      <c r="Q318">
        <f>J318-1464*P318</f>
        <v>230.13101981519867</v>
      </c>
      <c r="R318">
        <f>Q318/(2*M318*O318)</f>
        <v>0.30190739247035875</v>
      </c>
      <c r="S318">
        <f>R318*16.02</f>
        <v>4.8365564273751467</v>
      </c>
    </row>
    <row r="319" spans="8:19" x14ac:dyDescent="0.2">
      <c r="S319" s="1">
        <f>AVERAGE(S314:S318)</f>
        <v>4.8438640596663927</v>
      </c>
    </row>
    <row r="320" spans="8:19" x14ac:dyDescent="0.2">
      <c r="H320" t="s">
        <v>28</v>
      </c>
      <c r="I320">
        <v>929.334293</v>
      </c>
      <c r="J320">
        <v>-16647.487555</v>
      </c>
      <c r="K320">
        <v>79545.006878</v>
      </c>
      <c r="L320">
        <v>-0.93362400000000001</v>
      </c>
      <c r="M320">
        <v>32.331873000000002</v>
      </c>
      <c r="N320">
        <v>129.44932299999999</v>
      </c>
      <c r="O320">
        <v>19.005635999999999</v>
      </c>
      <c r="P320">
        <f>$K$16</f>
        <v>-6.7554243092999995</v>
      </c>
      <c r="Q320">
        <f>J320-2520*P320</f>
        <v>376.18170443599956</v>
      </c>
      <c r="R320">
        <f>Q320/(2*M320*O320)</f>
        <v>0.3060937081739129</v>
      </c>
      <c r="S320">
        <f>R320*16.02</f>
        <v>4.9036212049460843</v>
      </c>
    </row>
    <row r="321" spans="8:19" x14ac:dyDescent="0.2">
      <c r="I321">
        <v>929.13078299999995</v>
      </c>
      <c r="J321">
        <v>-16649.843904000001</v>
      </c>
      <c r="K321">
        <v>79461.482533999995</v>
      </c>
      <c r="L321">
        <v>-1.1198440000000001</v>
      </c>
      <c r="M321">
        <v>32.333899000000002</v>
      </c>
      <c r="N321">
        <v>129.32132799999999</v>
      </c>
      <c r="O321">
        <v>19.003283</v>
      </c>
      <c r="P321">
        <f>$K$16</f>
        <v>-6.7554243092999995</v>
      </c>
      <c r="Q321">
        <f>J321-2520*P321</f>
        <v>373.82535543599806</v>
      </c>
      <c r="R321">
        <f>Q321/(2*M321*O321)</f>
        <v>0.30419498215093871</v>
      </c>
      <c r="S321">
        <f>R321*16.02</f>
        <v>4.8732036140580384</v>
      </c>
    </row>
    <row r="322" spans="8:19" x14ac:dyDescent="0.2">
      <c r="I322">
        <v>929.23633600000005</v>
      </c>
      <c r="J322">
        <v>-16648.519613</v>
      </c>
      <c r="K322">
        <v>79372.082374999998</v>
      </c>
      <c r="L322">
        <v>-1.1999409999999999</v>
      </c>
      <c r="M322">
        <v>32.333098</v>
      </c>
      <c r="N322">
        <v>129.18329600000001</v>
      </c>
      <c r="O322">
        <v>19.002656000000002</v>
      </c>
      <c r="P322">
        <f>$K$16</f>
        <v>-6.7554243092999995</v>
      </c>
      <c r="Q322">
        <f>J322-2520*P322</f>
        <v>375.14964643599887</v>
      </c>
      <c r="R322">
        <f>Q322/(2*M322*O322)</f>
        <v>0.30529024029004659</v>
      </c>
      <c r="S322">
        <f>R322*16.02</f>
        <v>4.8907496494465459</v>
      </c>
    </row>
    <row r="323" spans="8:19" x14ac:dyDescent="0.2">
      <c r="I323">
        <v>929.60431900000003</v>
      </c>
      <c r="J323">
        <v>-16648.243485999999</v>
      </c>
      <c r="K323">
        <v>79291.258933000005</v>
      </c>
      <c r="L323">
        <v>-1.0342119999999999</v>
      </c>
      <c r="M323">
        <v>32.332011999999999</v>
      </c>
      <c r="N323">
        <v>129.046638</v>
      </c>
      <c r="O323">
        <v>19.004042999999999</v>
      </c>
      <c r="P323">
        <f>$K$16</f>
        <v>-6.7554243092999995</v>
      </c>
      <c r="Q323">
        <f>J323-2520*P323</f>
        <v>375.42577343599987</v>
      </c>
      <c r="R323">
        <f>Q323/(2*M323*O323)</f>
        <v>0.30550291097410248</v>
      </c>
      <c r="S323">
        <f>R323*16.02</f>
        <v>4.8941566338051219</v>
      </c>
    </row>
    <row r="324" spans="8:19" x14ac:dyDescent="0.2">
      <c r="I324">
        <v>928.97860700000001</v>
      </c>
      <c r="J324">
        <v>-16649.290495000001</v>
      </c>
      <c r="K324">
        <v>79358.297519999993</v>
      </c>
      <c r="L324">
        <v>-1.0498940000000001</v>
      </c>
      <c r="M324">
        <v>32.332599000000002</v>
      </c>
      <c r="N324">
        <v>129.160955</v>
      </c>
      <c r="O324">
        <v>19.002936999999999</v>
      </c>
      <c r="P324">
        <f>$K$16</f>
        <v>-6.7554243092999995</v>
      </c>
      <c r="Q324">
        <f>J324-2520*P324</f>
        <v>374.37876443599816</v>
      </c>
      <c r="R324">
        <f>Q324/(2*M324*O324)</f>
        <v>0.304663106750446</v>
      </c>
      <c r="S324">
        <f>R324*16.02</f>
        <v>4.8807029701421447</v>
      </c>
    </row>
    <row r="325" spans="8:19" x14ac:dyDescent="0.2">
      <c r="S325" s="1">
        <f>AVERAGE(S320:S324)</f>
        <v>4.8884868144795872</v>
      </c>
    </row>
    <row r="326" spans="8:19" x14ac:dyDescent="0.2">
      <c r="H326" t="s">
        <v>55</v>
      </c>
      <c r="I326">
        <v>866.78202799999997</v>
      </c>
      <c r="J326">
        <v>-13126.146688999999</v>
      </c>
      <c r="K326">
        <v>62665.861137</v>
      </c>
      <c r="L326">
        <v>-1.003736</v>
      </c>
      <c r="M326">
        <v>28.705027999999999</v>
      </c>
      <c r="N326">
        <v>172.252928</v>
      </c>
      <c r="O326">
        <v>12.673795999999999</v>
      </c>
      <c r="P326">
        <f>$K$16</f>
        <v>-6.7554243092999995</v>
      </c>
      <c r="Q326">
        <f>J326-1976*P326</f>
        <v>222.57174617679993</v>
      </c>
      <c r="R326">
        <f>Q326/(2*M326*O326)</f>
        <v>0.30589709327100589</v>
      </c>
      <c r="S326">
        <f>R326*16.02</f>
        <v>4.9004714342015143</v>
      </c>
    </row>
    <row r="327" spans="8:19" x14ac:dyDescent="0.2">
      <c r="I327">
        <v>866.73012600000004</v>
      </c>
      <c r="J327">
        <v>-13126.326176</v>
      </c>
      <c r="K327">
        <v>62821.493076999999</v>
      </c>
      <c r="L327">
        <v>-1.0588709999999999</v>
      </c>
      <c r="M327">
        <v>28.706140000000001</v>
      </c>
      <c r="N327">
        <v>172.67160200000001</v>
      </c>
      <c r="O327">
        <v>12.673973999999999</v>
      </c>
      <c r="P327">
        <f>$K$16</f>
        <v>-6.7554243092999995</v>
      </c>
      <c r="Q327">
        <f>J327-1976*P327</f>
        <v>222.39225917679869</v>
      </c>
      <c r="R327">
        <f>Q327/(2*M327*O327)</f>
        <v>0.30563427814633271</v>
      </c>
      <c r="S327">
        <f>R327*16.02</f>
        <v>4.8962611359042496</v>
      </c>
    </row>
    <row r="328" spans="8:19" x14ac:dyDescent="0.2">
      <c r="I328">
        <v>866.91901900000005</v>
      </c>
      <c r="J328">
        <v>-13126.786064</v>
      </c>
      <c r="K328">
        <v>62752.289275000003</v>
      </c>
      <c r="L328">
        <v>-1.0709010000000001</v>
      </c>
      <c r="M328">
        <v>28.704832</v>
      </c>
      <c r="N328">
        <v>172.49316300000001</v>
      </c>
      <c r="O328">
        <v>12.673685000000001</v>
      </c>
      <c r="P328">
        <f>$K$16</f>
        <v>-6.7554243092999995</v>
      </c>
      <c r="Q328">
        <f>J328-1976*P328</f>
        <v>221.93237117679928</v>
      </c>
      <c r="R328">
        <f>Q328/(2*M328*O328)</f>
        <v>0.30502310627638296</v>
      </c>
      <c r="S328">
        <f>R328*16.02</f>
        <v>4.8864701625476545</v>
      </c>
    </row>
    <row r="329" spans="8:19" x14ac:dyDescent="0.2">
      <c r="I329">
        <v>866.760402</v>
      </c>
      <c r="J329">
        <v>-13126.323154</v>
      </c>
      <c r="K329">
        <v>62782.497768000001</v>
      </c>
      <c r="L329">
        <v>-1.0930340000000001</v>
      </c>
      <c r="M329">
        <v>28.705161</v>
      </c>
      <c r="N329">
        <v>172.57480699999999</v>
      </c>
      <c r="O329">
        <v>12.673643</v>
      </c>
      <c r="P329">
        <f>$K$16</f>
        <v>-6.7554243092999995</v>
      </c>
      <c r="Q329">
        <f>J329-1976*P329</f>
        <v>222.39528117679947</v>
      </c>
      <c r="R329">
        <f>Q329/(2*M329*O329)</f>
        <v>0.30565683788998399</v>
      </c>
      <c r="S329">
        <f>R329*16.02</f>
        <v>4.8966225429975436</v>
      </c>
    </row>
    <row r="330" spans="8:19" x14ac:dyDescent="0.2">
      <c r="I330">
        <v>866.84557600000005</v>
      </c>
      <c r="J330">
        <v>-13126.242215</v>
      </c>
      <c r="K330">
        <v>62685.659076999997</v>
      </c>
      <c r="L330">
        <v>-1.0656159999999999</v>
      </c>
      <c r="M330">
        <v>28.705045999999999</v>
      </c>
      <c r="N330">
        <v>172.306511</v>
      </c>
      <c r="O330">
        <v>12.673847</v>
      </c>
      <c r="P330">
        <f>$K$16</f>
        <v>-6.7554243092999995</v>
      </c>
      <c r="Q330">
        <f>J330-1976*P330</f>
        <v>222.47622017679896</v>
      </c>
      <c r="R330">
        <f>Q330/(2*M330*O330)</f>
        <v>0.30576438255624089</v>
      </c>
      <c r="S330">
        <f>R330*16.02</f>
        <v>4.8983454085509788</v>
      </c>
    </row>
    <row r="331" spans="8:19" x14ac:dyDescent="0.2">
      <c r="S331" s="1">
        <f>AVERAGE(S326:S330)</f>
        <v>4.8956341368403882</v>
      </c>
    </row>
    <row r="332" spans="8:19" x14ac:dyDescent="0.2">
      <c r="H332">
        <v>100</v>
      </c>
      <c r="I332">
        <v>866.66324499999996</v>
      </c>
      <c r="J332">
        <v>-5420.5399289999996</v>
      </c>
      <c r="K332">
        <v>15748.278721000001</v>
      </c>
      <c r="L332">
        <v>-4.5255599999999996</v>
      </c>
      <c r="M332">
        <v>15.833776</v>
      </c>
      <c r="N332">
        <v>15.834298</v>
      </c>
      <c r="O332">
        <v>62.813138000000002</v>
      </c>
      <c r="P332">
        <f>$K$16</f>
        <v>-6.7554243092999995</v>
      </c>
      <c r="Q332">
        <f>J332-825*P332</f>
        <v>152.68512617249962</v>
      </c>
      <c r="R332">
        <f>Q332/(2*M332*N332)</f>
        <v>0.30449728584944213</v>
      </c>
      <c r="S332">
        <f>R332*16.02</f>
        <v>4.8780465193080627</v>
      </c>
    </row>
    <row r="333" spans="8:19" x14ac:dyDescent="0.2">
      <c r="I333">
        <v>866.822855</v>
      </c>
      <c r="J333">
        <v>-5420.6228389999997</v>
      </c>
      <c r="K333">
        <v>15726.053658000001</v>
      </c>
      <c r="L333">
        <v>-4.2942489999999998</v>
      </c>
      <c r="M333">
        <v>15.832879999999999</v>
      </c>
      <c r="N333">
        <v>15.833316</v>
      </c>
      <c r="O333">
        <v>62.731931000000003</v>
      </c>
      <c r="P333">
        <f>$K$16</f>
        <v>-6.7554243092999995</v>
      </c>
      <c r="Q333">
        <f>J333-825*P333</f>
        <v>152.60221617249954</v>
      </c>
      <c r="R333">
        <f>Q333/(2*M333*N333)</f>
        <v>0.30436803843504084</v>
      </c>
      <c r="S333">
        <f>R333*16.02</f>
        <v>4.8759759757293546</v>
      </c>
    </row>
    <row r="334" spans="8:19" x14ac:dyDescent="0.2">
      <c r="I334">
        <v>866.87959699999999</v>
      </c>
      <c r="J334">
        <v>-5420.3878619999996</v>
      </c>
      <c r="K334">
        <v>15721.049987</v>
      </c>
      <c r="L334">
        <v>-4.2320640000000003</v>
      </c>
      <c r="M334">
        <v>15.833406</v>
      </c>
      <c r="N334">
        <v>15.833914</v>
      </c>
      <c r="O334">
        <v>62.707504</v>
      </c>
      <c r="P334">
        <f>$K$16</f>
        <v>-6.7554243092999995</v>
      </c>
      <c r="Q334">
        <f>J334-825*P334</f>
        <v>152.83719317249961</v>
      </c>
      <c r="R334">
        <f>Q334/(2*M334*N334)</f>
        <v>0.30481506520905127</v>
      </c>
      <c r="S334">
        <f>R334*16.02</f>
        <v>4.8831373446490014</v>
      </c>
    </row>
    <row r="335" spans="8:19" x14ac:dyDescent="0.2">
      <c r="I335">
        <v>867.04398400000002</v>
      </c>
      <c r="J335">
        <v>-5419.8498600000003</v>
      </c>
      <c r="K335">
        <v>15729.130019</v>
      </c>
      <c r="L335">
        <v>-4.5211740000000002</v>
      </c>
      <c r="M335">
        <v>15.83257</v>
      </c>
      <c r="N335">
        <v>15.832964</v>
      </c>
      <c r="O335">
        <v>62.746820999999997</v>
      </c>
      <c r="P335">
        <f>$K$16</f>
        <v>-6.7554243092999995</v>
      </c>
      <c r="Q335">
        <f>J335-825*P335</f>
        <v>153.37519517249893</v>
      </c>
      <c r="R335">
        <f>Q335/(2*M335*N335)</f>
        <v>0.30592255066119056</v>
      </c>
      <c r="S335">
        <f>R335*16.02</f>
        <v>4.9008792615922729</v>
      </c>
    </row>
    <row r="336" spans="8:19" x14ac:dyDescent="0.2">
      <c r="I336">
        <v>867.20058200000005</v>
      </c>
      <c r="J336">
        <v>-5420.3238950000004</v>
      </c>
      <c r="K336">
        <v>15726.718625</v>
      </c>
      <c r="L336">
        <v>-4.0622420000000004</v>
      </c>
      <c r="M336">
        <v>15.833655</v>
      </c>
      <c r="N336">
        <v>15.833985999999999</v>
      </c>
      <c r="O336">
        <v>62.728853000000001</v>
      </c>
      <c r="P336">
        <f>$K$16</f>
        <v>-6.7554243092999995</v>
      </c>
      <c r="Q336">
        <f>J336-825*P336</f>
        <v>152.90116017249875</v>
      </c>
      <c r="R336">
        <f>Q336/(2*M336*N336)</f>
        <v>0.30493645742270864</v>
      </c>
      <c r="S336">
        <f>R336*16.02</f>
        <v>4.8850820479117925</v>
      </c>
    </row>
    <row r="337" spans="8:19" x14ac:dyDescent="0.2">
      <c r="S337" s="1">
        <f>AVERAGE(S332:S336)</f>
        <v>4.8846242298380975</v>
      </c>
    </row>
    <row r="338" spans="8:19" x14ac:dyDescent="0.2">
      <c r="H338">
        <v>110</v>
      </c>
      <c r="I338">
        <v>867.07006699999999</v>
      </c>
      <c r="J338">
        <v>-11955.979692999999</v>
      </c>
      <c r="K338">
        <v>31899.08238</v>
      </c>
      <c r="L338">
        <v>-1.68788</v>
      </c>
      <c r="M338">
        <v>89.683389000000005</v>
      </c>
      <c r="N338">
        <v>22.461675</v>
      </c>
      <c r="O338">
        <v>15.835226</v>
      </c>
      <c r="P338">
        <f>$K$16</f>
        <v>-6.7554243092999995</v>
      </c>
      <c r="Q338">
        <f>J338-1800*P338</f>
        <v>203.78406374000042</v>
      </c>
      <c r="R338">
        <f>Q338/(2*O338*N338)</f>
        <v>0.28646648397852909</v>
      </c>
      <c r="S338">
        <f>R338*16.02</f>
        <v>4.5891930733360358</v>
      </c>
    </row>
    <row r="339" spans="8:19" x14ac:dyDescent="0.2">
      <c r="I339">
        <v>866.60195699999997</v>
      </c>
      <c r="J339">
        <v>-11956.289182</v>
      </c>
      <c r="K339">
        <v>31847.008495999999</v>
      </c>
      <c r="L339">
        <v>-1.9417</v>
      </c>
      <c r="M339">
        <v>89.540526</v>
      </c>
      <c r="N339">
        <v>22.461236</v>
      </c>
      <c r="O339">
        <v>15.834910000000001</v>
      </c>
      <c r="P339">
        <f>$K$16</f>
        <v>-6.7554243092999995</v>
      </c>
      <c r="Q339">
        <f>J339-1800*P339</f>
        <v>203.4745747399993</v>
      </c>
      <c r="R339">
        <f>Q339/(2*O339*N339)</f>
        <v>0.28604272286821525</v>
      </c>
      <c r="S339">
        <f>R339*16.02</f>
        <v>4.5824044203488086</v>
      </c>
    </row>
    <row r="340" spans="8:19" x14ac:dyDescent="0.2">
      <c r="I340">
        <v>866.94689800000003</v>
      </c>
      <c r="J340">
        <v>-11956.378989999999</v>
      </c>
      <c r="K340">
        <v>31838.275784000001</v>
      </c>
      <c r="L340">
        <v>-2.0073919999999998</v>
      </c>
      <c r="M340">
        <v>89.515681999999998</v>
      </c>
      <c r="N340">
        <v>22.460891</v>
      </c>
      <c r="O340">
        <v>15.835203</v>
      </c>
      <c r="P340">
        <f>$K$16</f>
        <v>-6.7554243092999995</v>
      </c>
      <c r="Q340">
        <f>J340-1800*P340</f>
        <v>203.38476674000049</v>
      </c>
      <c r="R340">
        <f>Q340/(2*O340*N340)</f>
        <v>0.28591557286141922</v>
      </c>
      <c r="S340">
        <f>R340*16.02</f>
        <v>4.5803674772399354</v>
      </c>
    </row>
    <row r="341" spans="8:19" x14ac:dyDescent="0.2">
      <c r="I341">
        <v>866.73611900000003</v>
      </c>
      <c r="J341">
        <v>-11955.892205</v>
      </c>
      <c r="K341">
        <v>31877.457829999999</v>
      </c>
      <c r="L341">
        <v>-1.7762389999999999</v>
      </c>
      <c r="M341">
        <v>89.624091000000007</v>
      </c>
      <c r="N341">
        <v>22.461058000000001</v>
      </c>
      <c r="O341">
        <v>15.835395</v>
      </c>
      <c r="P341">
        <f>$K$16</f>
        <v>-6.7554243092999995</v>
      </c>
      <c r="Q341">
        <f>J341-1800*P341</f>
        <v>203.87155173999963</v>
      </c>
      <c r="R341">
        <f>Q341/(2*O341*N341)</f>
        <v>0.2865942828564994</v>
      </c>
      <c r="S341">
        <f>R341*16.02</f>
        <v>4.5912404113611203</v>
      </c>
    </row>
    <row r="342" spans="8:19" x14ac:dyDescent="0.2">
      <c r="I342">
        <v>866.93501200000003</v>
      </c>
      <c r="J342">
        <v>-11955.943911</v>
      </c>
      <c r="K342">
        <v>31861.091896999998</v>
      </c>
      <c r="L342">
        <v>-1.6836089999999999</v>
      </c>
      <c r="M342">
        <v>89.578078000000005</v>
      </c>
      <c r="N342">
        <v>22.461431999999999</v>
      </c>
      <c r="O342">
        <v>15.835131000000001</v>
      </c>
      <c r="P342">
        <f>$K$16</f>
        <v>-6.7554243092999995</v>
      </c>
      <c r="Q342">
        <f>J342-1800*P342</f>
        <v>203.81984573999944</v>
      </c>
      <c r="R342">
        <f>Q342/(2*O342*N342)</f>
        <v>0.28652160262334947</v>
      </c>
      <c r="S342">
        <f>R342*16.02</f>
        <v>4.590076074026058</v>
      </c>
    </row>
    <row r="343" spans="8:19" x14ac:dyDescent="0.2">
      <c r="S343" s="1">
        <f>AVERAGE(S338:S342)</f>
        <v>4.5866562912623916</v>
      </c>
    </row>
    <row r="344" spans="8:19" x14ac:dyDescent="0.2">
      <c r="H344">
        <v>111</v>
      </c>
      <c r="I344">
        <v>867.01211599999999</v>
      </c>
      <c r="J344">
        <v>-17967.181945</v>
      </c>
      <c r="K344">
        <v>49062.063305000003</v>
      </c>
      <c r="L344">
        <v>-1.3792059999999999</v>
      </c>
      <c r="M344">
        <v>87.769058999999999</v>
      </c>
      <c r="N344">
        <v>17.965208000000001</v>
      </c>
      <c r="O344">
        <v>31.115172999999999</v>
      </c>
      <c r="P344">
        <f>$K$16</f>
        <v>-6.7554243092999995</v>
      </c>
      <c r="Q344">
        <f>J344-2711*P344</f>
        <v>346.77335751229839</v>
      </c>
      <c r="R344">
        <f>Q344/(2*N344*O344)</f>
        <v>0.31017819037543809</v>
      </c>
      <c r="S344">
        <f>R344*16.02</f>
        <v>4.9690546098145179</v>
      </c>
    </row>
    <row r="345" spans="8:19" x14ac:dyDescent="0.2">
      <c r="I345">
        <v>866.97350700000004</v>
      </c>
      <c r="J345">
        <v>-17966.631847000001</v>
      </c>
      <c r="K345">
        <v>49007.246182000003</v>
      </c>
      <c r="L345">
        <v>-1.111297</v>
      </c>
      <c r="M345">
        <v>87.669713999999999</v>
      </c>
      <c r="N345">
        <v>17.965474</v>
      </c>
      <c r="O345">
        <v>31.115165999999999</v>
      </c>
      <c r="P345">
        <f>$K$16</f>
        <v>-6.7554243092999995</v>
      </c>
      <c r="Q345">
        <f>J345-2711*P345</f>
        <v>347.3234555122981</v>
      </c>
      <c r="R345">
        <f>Q345/(2*N345*O345)</f>
        <v>0.31066570630827961</v>
      </c>
      <c r="S345">
        <f>R345*16.02</f>
        <v>4.9768646150586395</v>
      </c>
    </row>
    <row r="346" spans="8:19" x14ac:dyDescent="0.2">
      <c r="I346">
        <v>866.97906399999999</v>
      </c>
      <c r="J346">
        <v>-17966.701386000001</v>
      </c>
      <c r="K346">
        <v>49056.321022999997</v>
      </c>
      <c r="L346">
        <v>-1.0891219999999999</v>
      </c>
      <c r="M346">
        <v>87.766537999999997</v>
      </c>
      <c r="N346">
        <v>17.964858</v>
      </c>
      <c r="O346">
        <v>31.113033000000001</v>
      </c>
      <c r="P346">
        <f>$K$16</f>
        <v>-6.7554243092999995</v>
      </c>
      <c r="Q346">
        <f>J346-2711*P346</f>
        <v>347.25391651229802</v>
      </c>
      <c r="R346">
        <f>Q346/(2*N346*O346)</f>
        <v>0.31063545164917761</v>
      </c>
      <c r="S346">
        <f>R346*16.02</f>
        <v>4.9763799354198248</v>
      </c>
    </row>
    <row r="347" spans="8:19" x14ac:dyDescent="0.2">
      <c r="I347">
        <v>867.05433200000004</v>
      </c>
      <c r="J347">
        <v>-17967.304156999999</v>
      </c>
      <c r="K347">
        <v>49088.005411999999</v>
      </c>
      <c r="L347">
        <v>-1.2760180000000001</v>
      </c>
      <c r="M347">
        <v>87.813779999999994</v>
      </c>
      <c r="N347">
        <v>17.965754</v>
      </c>
      <c r="O347">
        <v>31.114825</v>
      </c>
      <c r="P347">
        <f>$K$16</f>
        <v>-6.7554243092999995</v>
      </c>
      <c r="Q347">
        <f>J347-2711*P347</f>
        <v>346.65114551229999</v>
      </c>
      <c r="R347">
        <f>Q347/(2*N347*O347)</f>
        <v>0.3100629199408419</v>
      </c>
      <c r="S347">
        <f>R347*16.02</f>
        <v>4.9672079774522873</v>
      </c>
    </row>
    <row r="348" spans="8:19" x14ac:dyDescent="0.2">
      <c r="I348">
        <v>867.000989</v>
      </c>
      <c r="J348">
        <v>-17967.135488</v>
      </c>
      <c r="K348">
        <v>49068.876599000003</v>
      </c>
      <c r="L348">
        <v>-1.3579639999999999</v>
      </c>
      <c r="M348">
        <v>87.775887999999995</v>
      </c>
      <c r="N348">
        <v>17.966228000000001</v>
      </c>
      <c r="O348">
        <v>31.115307999999999</v>
      </c>
      <c r="P348">
        <f>$K$16</f>
        <v>-6.7554243092999995</v>
      </c>
      <c r="Q348">
        <f>J348-2711*P348</f>
        <v>346.81981451229876</v>
      </c>
      <c r="R348">
        <f>Q348/(2*N348*O348)</f>
        <v>0.31020078670749662</v>
      </c>
      <c r="S348">
        <f>R348*16.02</f>
        <v>4.9694166030540954</v>
      </c>
    </row>
    <row r="349" spans="8:19" x14ac:dyDescent="0.2">
      <c r="S349" s="1">
        <f>AVERAGE(S344:S348)</f>
        <v>4.9717847481598731</v>
      </c>
    </row>
    <row r="350" spans="8:19" x14ac:dyDescent="0.2">
      <c r="H350" t="s">
        <v>39</v>
      </c>
    </row>
    <row r="351" spans="8:19" x14ac:dyDescent="0.2">
      <c r="H351" s="3">
        <v>1</v>
      </c>
      <c r="I351">
        <v>992.30584499999998</v>
      </c>
      <c r="J351">
        <v>-34183.813413999997</v>
      </c>
      <c r="K351">
        <v>82860.412033000001</v>
      </c>
      <c r="L351">
        <v>0.15776200000000001</v>
      </c>
      <c r="M351" s="2">
        <v>25.363496000000001</v>
      </c>
      <c r="N351" s="2">
        <v>25.363496000000001</v>
      </c>
      <c r="O351">
        <v>128.80369300000001</v>
      </c>
      <c r="P351">
        <f>$K$16</f>
        <v>-6.7554243092999995</v>
      </c>
      <c r="Q351">
        <f>J351-5120*P351</f>
        <v>403.95904961600172</v>
      </c>
      <c r="R351">
        <f>Q351/(2*N351*M351)</f>
        <v>0.31397069671640027</v>
      </c>
      <c r="S351">
        <f>R351*16.02</f>
        <v>5.0298105613967321</v>
      </c>
    </row>
    <row r="352" spans="8:19" x14ac:dyDescent="0.2">
      <c r="H352" s="3" t="s">
        <v>35</v>
      </c>
      <c r="I352">
        <v>991.77817000000005</v>
      </c>
      <c r="J352">
        <v>-34183.949185999998</v>
      </c>
      <c r="K352">
        <v>82082.221640000003</v>
      </c>
      <c r="L352">
        <v>-3.6194999999999998E-2</v>
      </c>
      <c r="M352">
        <v>25.363047000000002</v>
      </c>
      <c r="N352">
        <v>25.363047000000002</v>
      </c>
      <c r="O352">
        <v>127.598752</v>
      </c>
      <c r="P352">
        <f>$K$16</f>
        <v>-6.7554243092999995</v>
      </c>
      <c r="Q352">
        <f>J352-5120*P352</f>
        <v>403.82327761600027</v>
      </c>
      <c r="R352">
        <f>Q352/(2*N352*M352)</f>
        <v>0.31387628286408892</v>
      </c>
      <c r="S352">
        <f>R352*16.02</f>
        <v>5.0282980514827047</v>
      </c>
    </row>
    <row r="353" spans="8:20" x14ac:dyDescent="0.2">
      <c r="H353" s="3"/>
    </row>
    <row r="355" spans="8:20" x14ac:dyDescent="0.2">
      <c r="H355" s="3" t="s">
        <v>40</v>
      </c>
      <c r="I355">
        <v>984.41621799999996</v>
      </c>
      <c r="J355">
        <v>-4223.544022</v>
      </c>
      <c r="K355">
        <v>10225.715437999999</v>
      </c>
      <c r="L355">
        <v>1.691403</v>
      </c>
      <c r="M355">
        <v>12.679012999999999</v>
      </c>
      <c r="N355">
        <v>12.679012999999999</v>
      </c>
      <c r="O355">
        <v>63.609578999999997</v>
      </c>
      <c r="P355">
        <f>$K$16</f>
        <v>-6.7554243092999995</v>
      </c>
      <c r="Q355">
        <f>J355-640*P355</f>
        <v>99.927535951999744</v>
      </c>
      <c r="R355">
        <f>Q355/(2*N355*M355)</f>
        <v>0.31080234624815406</v>
      </c>
      <c r="S355">
        <f>R355*16.02</f>
        <v>4.9790535868954278</v>
      </c>
    </row>
    <row r="356" spans="8:20" x14ac:dyDescent="0.2">
      <c r="H356" s="3" t="s">
        <v>41</v>
      </c>
      <c r="I356">
        <v>985.42240200000003</v>
      </c>
      <c r="J356">
        <v>-4223.2928769999999</v>
      </c>
      <c r="K356">
        <v>10247.773896000001</v>
      </c>
      <c r="L356">
        <v>2.3016709999999998</v>
      </c>
      <c r="M356">
        <v>12.690156</v>
      </c>
      <c r="N356">
        <v>12.690156</v>
      </c>
      <c r="O356">
        <v>63.634993000000001</v>
      </c>
      <c r="T356">
        <f>K356-K355</f>
        <v>22.058458000001337</v>
      </c>
    </row>
    <row r="357" spans="8:20" x14ac:dyDescent="0.2">
      <c r="H357" s="3" t="s">
        <v>43</v>
      </c>
      <c r="I357">
        <v>984.01916900000003</v>
      </c>
      <c r="J357">
        <v>-4214.3598220000003</v>
      </c>
      <c r="K357">
        <v>10232.776307</v>
      </c>
      <c r="L357">
        <v>2.1411380000000002</v>
      </c>
      <c r="M357">
        <v>12.677626</v>
      </c>
      <c r="N357">
        <v>12.677626</v>
      </c>
      <c r="O357">
        <v>63.667352999999999</v>
      </c>
      <c r="T357">
        <f>K357-K355</f>
        <v>7.060869000000821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AV362"/>
  <sheetViews>
    <sheetView topLeftCell="A129" workbookViewId="0">
      <selection activeCell="I114" sqref="I114:U175"/>
    </sheetView>
  </sheetViews>
  <sheetFormatPr baseColWidth="10" defaultRowHeight="16" x14ac:dyDescent="0.2"/>
  <cols>
    <col min="3" max="5" width="12.1640625" bestFit="1" customWidth="1"/>
  </cols>
  <sheetData>
    <row r="2" spans="2:40" x14ac:dyDescent="0.2">
      <c r="C2" t="s">
        <v>32</v>
      </c>
    </row>
    <row r="3" spans="2:40" x14ac:dyDescent="0.2">
      <c r="C3" t="s">
        <v>5</v>
      </c>
      <c r="D3" t="s">
        <v>7</v>
      </c>
      <c r="E3" t="s">
        <v>6</v>
      </c>
      <c r="F3" t="s">
        <v>8</v>
      </c>
      <c r="G3" t="s">
        <v>12</v>
      </c>
      <c r="H3" t="s">
        <v>14</v>
      </c>
      <c r="I3" t="s">
        <v>13</v>
      </c>
      <c r="AB3">
        <v>28.085000000000001</v>
      </c>
      <c r="AD3">
        <v>42.2</v>
      </c>
      <c r="AF3">
        <v>25.12</v>
      </c>
    </row>
    <row r="4" spans="2:40" x14ac:dyDescent="0.2">
      <c r="B4">
        <v>1200</v>
      </c>
      <c r="C4">
        <v>-9195.2989280000002</v>
      </c>
      <c r="D4">
        <v>40386.970476000002</v>
      </c>
      <c r="E4">
        <f>C4/2000</f>
        <v>-4.5976494639999999</v>
      </c>
      <c r="F4">
        <f>D4/2000</f>
        <v>20.193485238000001</v>
      </c>
      <c r="G4">
        <f>C4-2000*(I4*$E$41+(1-I4)*E$27)</f>
        <v>66.887853898198955</v>
      </c>
      <c r="H4">
        <f>G4/2000</f>
        <v>3.3443926949099478E-2</v>
      </c>
      <c r="I4">
        <f>442/2000</f>
        <v>0.221</v>
      </c>
      <c r="AB4">
        <f>AB3/3.14</f>
        <v>8.9442675159235669</v>
      </c>
      <c r="AD4">
        <f>AD3/3.14</f>
        <v>13.439490445859873</v>
      </c>
      <c r="AF4">
        <f>AF3/3.14</f>
        <v>8</v>
      </c>
    </row>
    <row r="5" spans="2:40" x14ac:dyDescent="0.2">
      <c r="C5">
        <v>-9192.9290450000008</v>
      </c>
      <c r="D5">
        <v>40405.205016</v>
      </c>
      <c r="E5">
        <f t="shared" ref="E5:F13" si="0">C5/2000</f>
        <v>-4.5964645225000007</v>
      </c>
      <c r="F5">
        <f t="shared" si="0"/>
        <v>20.202602507999998</v>
      </c>
      <c r="G5">
        <f t="shared" ref="G5:G12" si="1">C5-2000*(I5*$E$41+(1-I5)*E$27)</f>
        <v>66.570331911096218</v>
      </c>
      <c r="H5">
        <f t="shared" ref="H5:H13" si="2">G5/2000</f>
        <v>3.3285165955548111E-2</v>
      </c>
      <c r="I5">
        <f>441/2000</f>
        <v>0.2205</v>
      </c>
      <c r="AB5" s="10"/>
      <c r="AC5" s="10"/>
      <c r="AD5" s="10"/>
      <c r="AE5" s="10"/>
      <c r="AJ5" t="s">
        <v>61</v>
      </c>
      <c r="AK5">
        <v>600</v>
      </c>
      <c r="AL5" s="28">
        <v>800</v>
      </c>
      <c r="AM5" s="28">
        <v>1000</v>
      </c>
      <c r="AN5" s="28">
        <v>1200</v>
      </c>
    </row>
    <row r="6" spans="2:40" x14ac:dyDescent="0.2">
      <c r="C6">
        <v>-9170.3975250000003</v>
      </c>
      <c r="D6">
        <v>40467.086248</v>
      </c>
      <c r="E6">
        <f t="shared" si="0"/>
        <v>-4.5851987625000001</v>
      </c>
      <c r="F6">
        <f t="shared" si="0"/>
        <v>20.233543124000001</v>
      </c>
      <c r="G6">
        <f t="shared" si="1"/>
        <v>64.915207027199358</v>
      </c>
      <c r="H6">
        <f t="shared" si="2"/>
        <v>3.2457603513599678E-2</v>
      </c>
      <c r="I6">
        <f>432/2000</f>
        <v>0.216</v>
      </c>
      <c r="AC6" s="1"/>
      <c r="AD6" s="1"/>
      <c r="AE6" s="1"/>
      <c r="AJ6" s="29" t="s">
        <v>17</v>
      </c>
      <c r="AK6" s="34">
        <v>1.2918939035598718</v>
      </c>
      <c r="AL6" s="32">
        <v>1.1432008409504899</v>
      </c>
      <c r="AM6" s="32">
        <v>1.0838738302033331</v>
      </c>
      <c r="AN6" s="32">
        <v>0.9454841906051894</v>
      </c>
    </row>
    <row r="7" spans="2:40" x14ac:dyDescent="0.2">
      <c r="C7">
        <v>-9206.9937410000002</v>
      </c>
      <c r="D7">
        <v>40383.960415000001</v>
      </c>
      <c r="E7">
        <f t="shared" si="0"/>
        <v>-4.6034968704999999</v>
      </c>
      <c r="F7">
        <f t="shared" si="0"/>
        <v>20.191980207500002</v>
      </c>
      <c r="G7">
        <f t="shared" si="1"/>
        <v>71.317470820798917</v>
      </c>
      <c r="H7">
        <f t="shared" si="2"/>
        <v>3.5658735410399461E-2</v>
      </c>
      <c r="I7">
        <f>448/2000</f>
        <v>0.224</v>
      </c>
      <c r="AC7" s="1"/>
      <c r="AD7" s="1"/>
      <c r="AE7" s="1"/>
      <c r="AJ7" s="29" t="s">
        <v>27</v>
      </c>
      <c r="AK7" s="34">
        <v>1.2037127405562325</v>
      </c>
      <c r="AL7" s="32">
        <v>1.1413493238577386</v>
      </c>
      <c r="AM7" s="32">
        <v>1.1468784206477762</v>
      </c>
      <c r="AN7" s="32">
        <v>0.94951936766396505</v>
      </c>
    </row>
    <row r="8" spans="2:40" x14ac:dyDescent="0.2">
      <c r="C8">
        <v>-9206.6175619999995</v>
      </c>
      <c r="D8">
        <v>40347.872592</v>
      </c>
      <c r="E8">
        <f t="shared" si="0"/>
        <v>-4.603308781</v>
      </c>
      <c r="F8">
        <f t="shared" si="0"/>
        <v>20.173936296000001</v>
      </c>
      <c r="G8">
        <f t="shared" si="1"/>
        <v>69.006244833701203</v>
      </c>
      <c r="H8">
        <f t="shared" si="2"/>
        <v>3.45031224168506E-2</v>
      </c>
      <c r="I8">
        <f>447/2000</f>
        <v>0.2235</v>
      </c>
      <c r="AC8" s="1"/>
      <c r="AD8" s="1"/>
      <c r="AE8" s="1"/>
      <c r="AJ8" s="29" t="s">
        <v>28</v>
      </c>
      <c r="AK8" s="34">
        <v>1.1806990728300208</v>
      </c>
      <c r="AL8" s="32">
        <v>1.1315944393848163</v>
      </c>
      <c r="AM8" s="32">
        <v>1.0927277462507956</v>
      </c>
      <c r="AN8" s="32">
        <v>0.97905081589657617</v>
      </c>
    </row>
    <row r="9" spans="2:40" x14ac:dyDescent="0.2">
      <c r="C9">
        <v>-9203.654751</v>
      </c>
      <c r="D9">
        <v>40379.358979999997</v>
      </c>
      <c r="E9">
        <f t="shared" si="0"/>
        <v>-4.6018273755000001</v>
      </c>
      <c r="F9">
        <f t="shared" si="0"/>
        <v>20.18967949</v>
      </c>
      <c r="G9">
        <f t="shared" si="1"/>
        <v>66.594245859498187</v>
      </c>
      <c r="H9">
        <f t="shared" si="2"/>
        <v>3.3297122929749096E-2</v>
      </c>
      <c r="I9">
        <f>445/2000</f>
        <v>0.2225</v>
      </c>
    </row>
    <row r="10" spans="2:40" x14ac:dyDescent="0.2">
      <c r="C10">
        <v>-9304.5783719999999</v>
      </c>
      <c r="D10">
        <v>40123.966696000003</v>
      </c>
      <c r="E10">
        <f t="shared" si="0"/>
        <v>-4.652289186</v>
      </c>
      <c r="F10">
        <f t="shared" si="0"/>
        <v>20.061983348000002</v>
      </c>
      <c r="G10">
        <f t="shared" si="1"/>
        <v>75.854229330599992</v>
      </c>
      <c r="H10">
        <f t="shared" si="2"/>
        <v>3.7927114665299994E-2</v>
      </c>
      <c r="I10">
        <f>486/2000</f>
        <v>0.24299999999999999</v>
      </c>
    </row>
    <row r="11" spans="2:40" x14ac:dyDescent="0.2">
      <c r="C11">
        <v>-9225.087861</v>
      </c>
      <c r="D11">
        <v>40338.762333999999</v>
      </c>
      <c r="E11">
        <f t="shared" si="0"/>
        <v>-4.6125439305000002</v>
      </c>
      <c r="F11">
        <f t="shared" si="0"/>
        <v>20.169381167000001</v>
      </c>
      <c r="G11">
        <f t="shared" si="1"/>
        <v>72.035185730499506</v>
      </c>
      <c r="H11">
        <f t="shared" si="2"/>
        <v>3.6017592865249755E-2</v>
      </c>
      <c r="I11">
        <f>455/2000</f>
        <v>0.22750000000000001</v>
      </c>
      <c r="AJ11" s="28" t="s">
        <v>73</v>
      </c>
      <c r="AK11" s="29">
        <v>600</v>
      </c>
      <c r="AL11" s="28">
        <v>800</v>
      </c>
      <c r="AM11" s="28">
        <v>1000</v>
      </c>
      <c r="AN11" s="28">
        <v>1200</v>
      </c>
    </row>
    <row r="12" spans="2:40" ht="17" thickBot="1" x14ac:dyDescent="0.25">
      <c r="C12">
        <v>-9241.6620180000009</v>
      </c>
      <c r="D12">
        <v>40275.457123</v>
      </c>
      <c r="E12">
        <f t="shared" si="0"/>
        <v>-4.6208310090000007</v>
      </c>
      <c r="F12">
        <f t="shared" si="0"/>
        <v>20.137728561500001</v>
      </c>
      <c r="G12">
        <f t="shared" si="1"/>
        <v>74.272863640198921</v>
      </c>
      <c r="H12">
        <f t="shared" si="2"/>
        <v>3.7136431820099458E-2</v>
      </c>
      <c r="I12">
        <f>462/2000</f>
        <v>0.23100000000000001</v>
      </c>
      <c r="AJ12" s="29" t="s">
        <v>17</v>
      </c>
      <c r="AK12" s="30">
        <v>0.62079812637782628</v>
      </c>
      <c r="AL12" s="30">
        <v>0.65729557958148088</v>
      </c>
      <c r="AM12" s="30">
        <v>0.68965963126411522</v>
      </c>
      <c r="AN12" s="30">
        <v>0.7294987398861813</v>
      </c>
    </row>
    <row r="13" spans="2:40" ht="17" thickBot="1" x14ac:dyDescent="0.25">
      <c r="C13">
        <v>-9153.5877560000008</v>
      </c>
      <c r="D13">
        <v>40504.092906999998</v>
      </c>
      <c r="E13">
        <f t="shared" si="0"/>
        <v>-4.5767938780000001</v>
      </c>
      <c r="F13">
        <f t="shared" si="0"/>
        <v>20.2520464535</v>
      </c>
      <c r="G13">
        <f>C13-2000*(I13*$E$41+(1-I13)*E$27)</f>
        <v>65.600546104598834</v>
      </c>
      <c r="H13">
        <f t="shared" si="2"/>
        <v>3.280027305229942E-2</v>
      </c>
      <c r="I13">
        <f>426/2000</f>
        <v>0.21299999999999999</v>
      </c>
      <c r="AA13" s="35" t="s">
        <v>79</v>
      </c>
      <c r="AB13" s="36"/>
      <c r="AC13" s="36"/>
      <c r="AD13" s="36"/>
      <c r="AE13" s="36"/>
      <c r="AF13" s="36"/>
      <c r="AG13" s="37"/>
      <c r="AJ13" s="29" t="s">
        <v>27</v>
      </c>
      <c r="AK13" s="30">
        <v>0.63273491901755885</v>
      </c>
      <c r="AL13" s="30">
        <v>0.67232401454996626</v>
      </c>
      <c r="AM13" s="30">
        <v>0.70435140712966415</v>
      </c>
      <c r="AN13" s="30">
        <v>0.77605693616979332</v>
      </c>
    </row>
    <row r="14" spans="2:40" x14ac:dyDescent="0.2">
      <c r="AA14" s="6"/>
      <c r="AB14" s="7" t="s">
        <v>29</v>
      </c>
      <c r="AC14" s="7" t="s">
        <v>72</v>
      </c>
      <c r="AD14" s="7" t="s">
        <v>32</v>
      </c>
      <c r="AE14" s="7" t="s">
        <v>73</v>
      </c>
      <c r="AF14" s="7" t="s">
        <v>30</v>
      </c>
      <c r="AG14" s="8" t="s">
        <v>61</v>
      </c>
      <c r="AJ14" s="29" t="s">
        <v>28</v>
      </c>
      <c r="AK14" s="30">
        <v>0.65604958546118008</v>
      </c>
      <c r="AL14" s="30">
        <v>0.64231566195298329</v>
      </c>
      <c r="AM14" s="30">
        <v>0.64556180438752198</v>
      </c>
      <c r="AN14" s="30">
        <v>0.63387897756503198</v>
      </c>
    </row>
    <row r="15" spans="2:40" x14ac:dyDescent="0.2">
      <c r="C15" t="s">
        <v>29</v>
      </c>
      <c r="AA15" s="9" t="s">
        <v>17</v>
      </c>
      <c r="AB15" s="17">
        <v>0.32538164985336504</v>
      </c>
      <c r="AC15" s="17">
        <v>0.42028864761672791</v>
      </c>
      <c r="AD15" s="17">
        <v>0.52419621154528806</v>
      </c>
      <c r="AE15" s="17">
        <v>0.62079812637782628</v>
      </c>
      <c r="AF15" s="17">
        <v>1.6172755534132368</v>
      </c>
      <c r="AG15" s="11">
        <f>AF15-AB15</f>
        <v>1.2918939035598718</v>
      </c>
      <c r="AJ15" s="29"/>
      <c r="AK15" s="29"/>
      <c r="AL15" s="29"/>
      <c r="AM15" s="29"/>
      <c r="AN15" s="29"/>
    </row>
    <row r="16" spans="2:40" x14ac:dyDescent="0.2">
      <c r="B16">
        <v>1200</v>
      </c>
      <c r="C16" t="s">
        <v>5</v>
      </c>
      <c r="D16" t="s">
        <v>7</v>
      </c>
      <c r="E16" t="s">
        <v>6</v>
      </c>
      <c r="F16" t="s">
        <v>8</v>
      </c>
      <c r="G16" t="s">
        <v>9</v>
      </c>
      <c r="AA16" s="9" t="s">
        <v>27</v>
      </c>
      <c r="AB16" s="17">
        <v>0.34954032574035304</v>
      </c>
      <c r="AC16" s="17">
        <v>0.40709714188681073</v>
      </c>
      <c r="AD16" s="17">
        <v>0.54988961835965766</v>
      </c>
      <c r="AE16" s="17">
        <v>0.63273491901755885</v>
      </c>
      <c r="AF16" s="17">
        <v>1.5532530662965855</v>
      </c>
      <c r="AG16" s="11">
        <f>AF16-AB16</f>
        <v>1.2037127405562325</v>
      </c>
      <c r="AJ16" s="28" t="s">
        <v>72</v>
      </c>
      <c r="AK16" s="29">
        <v>600</v>
      </c>
      <c r="AL16" s="28">
        <v>800</v>
      </c>
      <c r="AM16" s="28">
        <v>1000</v>
      </c>
      <c r="AN16" s="28">
        <v>1200</v>
      </c>
    </row>
    <row r="17" spans="2:40" ht="17" thickBot="1" x14ac:dyDescent="0.25">
      <c r="C17">
        <v>-8072.0800749999999</v>
      </c>
      <c r="D17">
        <v>43790.456193999999</v>
      </c>
      <c r="E17">
        <f>C17/2000</f>
        <v>-4.0360400375000003</v>
      </c>
      <c r="F17">
        <f>D17/2000</f>
        <v>21.895228097</v>
      </c>
      <c r="G17">
        <f>(F17*2)^(1/3)</f>
        <v>3.5247351528862283</v>
      </c>
      <c r="AA17" s="13" t="s">
        <v>28</v>
      </c>
      <c r="AB17" s="19">
        <v>0.43971289366141197</v>
      </c>
      <c r="AC17" s="19">
        <v>0.44679845600478929</v>
      </c>
      <c r="AD17" s="19">
        <v>0.5774890669082392</v>
      </c>
      <c r="AE17" s="19">
        <v>0.65604958546118008</v>
      </c>
      <c r="AF17" s="19">
        <v>1.6204119664914329</v>
      </c>
      <c r="AG17" s="15">
        <f>AF17-AB17</f>
        <v>1.1806990728300208</v>
      </c>
      <c r="AJ17" s="29" t="s">
        <v>17</v>
      </c>
      <c r="AK17" s="30">
        <v>0.42028864761672791</v>
      </c>
      <c r="AL17" s="30">
        <v>0.49852866337781815</v>
      </c>
      <c r="AM17" s="30">
        <v>0.57445493857159113</v>
      </c>
      <c r="AN17" s="30">
        <v>0.69308110900649167</v>
      </c>
    </row>
    <row r="18" spans="2:40" x14ac:dyDescent="0.2">
      <c r="C18">
        <v>-8075.2862679999998</v>
      </c>
      <c r="D18">
        <v>43782.526126999997</v>
      </c>
      <c r="E18">
        <f t="shared" ref="E18:F26" si="3">C18/2000</f>
        <v>-4.0376431339999996</v>
      </c>
      <c r="F18">
        <f t="shared" si="3"/>
        <v>21.891263063499999</v>
      </c>
      <c r="G18">
        <f t="shared" ref="G18:G26" si="4">(F18*2)^(1/3)</f>
        <v>3.5245223738488991</v>
      </c>
      <c r="J18" t="s">
        <v>71</v>
      </c>
      <c r="AJ18" s="29" t="s">
        <v>27</v>
      </c>
      <c r="AK18" s="30">
        <v>0.40709714188681073</v>
      </c>
      <c r="AL18" s="30">
        <v>0.48026505917896667</v>
      </c>
      <c r="AM18" s="30">
        <v>0.53620589916500738</v>
      </c>
      <c r="AN18" s="30">
        <v>0.63282250818263464</v>
      </c>
    </row>
    <row r="19" spans="2:40" ht="17" thickBot="1" x14ac:dyDescent="0.25">
      <c r="C19">
        <v>-8076.0825750000004</v>
      </c>
      <c r="D19">
        <v>43786.675202999999</v>
      </c>
      <c r="E19">
        <f t="shared" si="3"/>
        <v>-4.0380412875000005</v>
      </c>
      <c r="F19">
        <f t="shared" si="3"/>
        <v>21.893337601500001</v>
      </c>
      <c r="G19">
        <f t="shared" si="4"/>
        <v>3.5246337047882452</v>
      </c>
      <c r="AJ19" s="29" t="s">
        <v>28</v>
      </c>
      <c r="AK19" s="30">
        <v>0.44679845600478929</v>
      </c>
      <c r="AL19" s="30">
        <v>0.50353216159751357</v>
      </c>
      <c r="AM19" s="30">
        <v>0.52689102171577618</v>
      </c>
      <c r="AN19" s="30">
        <v>0.63222793456718152</v>
      </c>
    </row>
    <row r="20" spans="2:40" ht="17" thickBot="1" x14ac:dyDescent="0.25">
      <c r="C20">
        <v>-8074.1350110000003</v>
      </c>
      <c r="D20">
        <v>43779.269692000002</v>
      </c>
      <c r="E20">
        <f t="shared" si="3"/>
        <v>-4.0370675055000005</v>
      </c>
      <c r="F20">
        <f t="shared" si="3"/>
        <v>21.889634846</v>
      </c>
      <c r="G20">
        <f t="shared" si="4"/>
        <v>3.5244349899570704</v>
      </c>
      <c r="J20" t="s">
        <v>16</v>
      </c>
      <c r="V20" t="s">
        <v>25</v>
      </c>
      <c r="W20" t="s">
        <v>24</v>
      </c>
      <c r="AA20" s="6" t="s">
        <v>69</v>
      </c>
      <c r="AB20" s="7"/>
      <c r="AC20" s="7"/>
      <c r="AD20" s="7"/>
      <c r="AE20" s="7"/>
      <c r="AF20" s="7"/>
      <c r="AG20" s="8"/>
      <c r="AJ20" s="29"/>
      <c r="AK20" s="29"/>
      <c r="AL20" s="29"/>
      <c r="AM20" s="29"/>
      <c r="AN20" s="29"/>
    </row>
    <row r="21" spans="2:40" x14ac:dyDescent="0.2">
      <c r="C21">
        <v>-8073.2739590000001</v>
      </c>
      <c r="D21">
        <v>43786.966535</v>
      </c>
      <c r="E21">
        <f t="shared" si="3"/>
        <v>-4.0366369794999999</v>
      </c>
      <c r="F21">
        <f t="shared" si="3"/>
        <v>21.893483267499999</v>
      </c>
      <c r="G21">
        <f t="shared" si="4"/>
        <v>3.5246415217500977</v>
      </c>
      <c r="J21" t="s">
        <v>18</v>
      </c>
      <c r="K21" t="s">
        <v>5</v>
      </c>
      <c r="L21" t="s">
        <v>7</v>
      </c>
      <c r="M21" t="s">
        <v>19</v>
      </c>
      <c r="N21" t="s">
        <v>20</v>
      </c>
      <c r="O21" t="s">
        <v>21</v>
      </c>
      <c r="P21" t="s">
        <v>22</v>
      </c>
      <c r="Q21" t="s">
        <v>4</v>
      </c>
      <c r="R21" t="s">
        <v>10</v>
      </c>
      <c r="S21" t="s">
        <v>13</v>
      </c>
      <c r="T21" t="s">
        <v>26</v>
      </c>
      <c r="U21" t="s">
        <v>12</v>
      </c>
      <c r="V21" t="s">
        <v>23</v>
      </c>
      <c r="W21" t="s">
        <v>23</v>
      </c>
      <c r="AA21" s="6"/>
      <c r="AB21" s="7" t="s">
        <v>29</v>
      </c>
      <c r="AC21" s="7" t="s">
        <v>72</v>
      </c>
      <c r="AD21" s="7" t="s">
        <v>32</v>
      </c>
      <c r="AE21" s="7" t="s">
        <v>73</v>
      </c>
      <c r="AF21" s="7" t="s">
        <v>30</v>
      </c>
      <c r="AG21" s="8" t="s">
        <v>75</v>
      </c>
      <c r="AJ21" s="29" t="s">
        <v>32</v>
      </c>
      <c r="AK21" s="29">
        <v>600</v>
      </c>
      <c r="AL21" s="29">
        <v>800</v>
      </c>
      <c r="AM21" s="29">
        <v>1000</v>
      </c>
      <c r="AN21" s="29">
        <v>1200</v>
      </c>
    </row>
    <row r="22" spans="2:40" x14ac:dyDescent="0.2">
      <c r="C22">
        <v>-8071.9882630000002</v>
      </c>
      <c r="D22">
        <v>43786.716488999999</v>
      </c>
      <c r="E22">
        <f t="shared" si="3"/>
        <v>-4.0359941314999999</v>
      </c>
      <c r="F22">
        <f t="shared" si="3"/>
        <v>21.8933582445</v>
      </c>
      <c r="G22">
        <f t="shared" si="4"/>
        <v>3.5246348125680336</v>
      </c>
      <c r="I22" t="s">
        <v>17</v>
      </c>
      <c r="J22">
        <v>1040.9190530000001</v>
      </c>
      <c r="K22">
        <v>-17285.187869000001</v>
      </c>
      <c r="L22">
        <v>76565.029301000002</v>
      </c>
      <c r="M22">
        <v>-1.1676820000000001</v>
      </c>
      <c r="N22">
        <v>30.741845000000001</v>
      </c>
      <c r="O22">
        <v>91.152395999999996</v>
      </c>
      <c r="P22">
        <v>27.323369</v>
      </c>
      <c r="Q22">
        <v>2940</v>
      </c>
      <c r="R22">
        <v>836</v>
      </c>
      <c r="S22">
        <f>R22/(R22+Q22)</f>
        <v>0.22139830508474576</v>
      </c>
      <c r="T22">
        <f>-4.0498-2.4768*S22</f>
        <v>-4.598159322033899</v>
      </c>
      <c r="U22">
        <f>K22-(SUM(Q22:R22)*T22)</f>
        <v>77.461731000003056</v>
      </c>
      <c r="V22">
        <f>U22/(2*N22*P22)</f>
        <v>4.6109777468091181E-2</v>
      </c>
      <c r="W22">
        <f>V22*16.02</f>
        <v>0.7386786350388207</v>
      </c>
      <c r="AA22" s="9" t="s">
        <v>17</v>
      </c>
      <c r="AB22" s="17">
        <v>0.69679869063521238</v>
      </c>
      <c r="AC22" s="17">
        <v>0.78400069576573173</v>
      </c>
      <c r="AD22" s="17">
        <v>0.72804389975119865</v>
      </c>
      <c r="AE22" s="17">
        <v>0.7294987398861813</v>
      </c>
      <c r="AF22" s="17">
        <v>1.6422828812404018</v>
      </c>
      <c r="AG22" s="18">
        <f>AF22-AB22</f>
        <v>0.9454841906051894</v>
      </c>
      <c r="AH22" s="32">
        <f>AC22-AE22</f>
        <v>5.4501955879550423E-2</v>
      </c>
      <c r="AI22" s="32"/>
      <c r="AJ22" s="29" t="s">
        <v>17</v>
      </c>
      <c r="AK22" s="30">
        <v>0.52419621154528806</v>
      </c>
      <c r="AL22" s="30">
        <v>0.58278863997256292</v>
      </c>
      <c r="AM22" s="30">
        <v>0.60039486801484576</v>
      </c>
      <c r="AN22" s="30">
        <v>0.72804389975119865</v>
      </c>
    </row>
    <row r="23" spans="2:40" x14ac:dyDescent="0.2">
      <c r="C23">
        <v>-8075.8159830000004</v>
      </c>
      <c r="D23">
        <v>43793.299553999997</v>
      </c>
      <c r="E23">
        <f t="shared" si="3"/>
        <v>-4.0379079915</v>
      </c>
      <c r="F23">
        <f t="shared" si="3"/>
        <v>21.896649777</v>
      </c>
      <c r="G23">
        <f t="shared" si="4"/>
        <v>3.5248114394785461</v>
      </c>
      <c r="J23">
        <v>1040.8778569999999</v>
      </c>
      <c r="K23">
        <v>-17275.288022000001</v>
      </c>
      <c r="L23">
        <v>76627.158641000002</v>
      </c>
      <c r="M23">
        <v>-1.2631669999999999</v>
      </c>
      <c r="N23">
        <v>30.716111000000001</v>
      </c>
      <c r="O23">
        <v>91.010333000000003</v>
      </c>
      <c r="P23">
        <v>27.411213</v>
      </c>
      <c r="Q23">
        <v>2944</v>
      </c>
      <c r="R23">
        <v>832</v>
      </c>
      <c r="S23">
        <f>R23/(R23+Q23)</f>
        <v>0.22033898305084745</v>
      </c>
      <c r="T23">
        <f>-4.0498-2.4768*S23</f>
        <v>-4.5955355932203394</v>
      </c>
      <c r="U23">
        <f>K23-(SUM(Q23:R23)*T23)</f>
        <v>77.45437800000218</v>
      </c>
      <c r="V23">
        <f>U23/(2*N23*P23)</f>
        <v>4.5996151134897495E-2</v>
      </c>
      <c r="W23">
        <f>V23*16.02</f>
        <v>0.73685834118105786</v>
      </c>
      <c r="AA23" s="9" t="s">
        <v>27</v>
      </c>
      <c r="AB23" s="17">
        <v>0.62755308502241136</v>
      </c>
      <c r="AC23" s="17">
        <v>0.76259969222103208</v>
      </c>
      <c r="AD23" s="17">
        <v>0.68405492569493731</v>
      </c>
      <c r="AE23" s="17">
        <v>0.77605693616979332</v>
      </c>
      <c r="AF23" s="17">
        <v>1.5770724526863764</v>
      </c>
      <c r="AG23" s="18">
        <f>AF23-AB23</f>
        <v>0.94951936766396505</v>
      </c>
      <c r="AH23" s="32">
        <f>AC23-AE23</f>
        <v>-1.3457243948761244E-2</v>
      </c>
      <c r="AI23" s="32"/>
      <c r="AJ23" s="26" t="s">
        <v>27</v>
      </c>
      <c r="AK23" s="30">
        <v>0.54988961835965766</v>
      </c>
      <c r="AL23" s="30">
        <v>0.56793755941912116</v>
      </c>
      <c r="AM23" s="30">
        <v>0.6407724683742293</v>
      </c>
      <c r="AN23" s="30">
        <v>0.68405492569493731</v>
      </c>
    </row>
    <row r="24" spans="2:40" ht="17" thickBot="1" x14ac:dyDescent="0.25">
      <c r="C24">
        <v>-8075.7549280000003</v>
      </c>
      <c r="D24">
        <v>43783.038262000002</v>
      </c>
      <c r="E24">
        <f t="shared" si="3"/>
        <v>-4.0378774640000001</v>
      </c>
      <c r="F24">
        <f t="shared" si="3"/>
        <v>21.891519131000003</v>
      </c>
      <c r="G24">
        <f t="shared" si="4"/>
        <v>3.5245361161976367</v>
      </c>
      <c r="J24">
        <v>1040.7878430000001</v>
      </c>
      <c r="K24">
        <v>-17284.067608000001</v>
      </c>
      <c r="L24">
        <v>76596.782978999996</v>
      </c>
      <c r="M24">
        <v>-1.2077709999999999</v>
      </c>
      <c r="N24">
        <v>30.721698</v>
      </c>
      <c r="O24">
        <v>91.031236000000007</v>
      </c>
      <c r="P24">
        <v>27.389067000000001</v>
      </c>
      <c r="Q24">
        <v>2940</v>
      </c>
      <c r="R24">
        <v>836</v>
      </c>
      <c r="S24">
        <f>R24/(R24+Q24)</f>
        <v>0.22139830508474576</v>
      </c>
      <c r="T24">
        <f>-4.0498-2.4768*S24</f>
        <v>-4.598159322033899</v>
      </c>
      <c r="U24">
        <f>K24-(SUM(Q24:R24)*T24)</f>
        <v>78.581992000003083</v>
      </c>
      <c r="V24">
        <f>U24/(2*N24*P24)</f>
        <v>4.6695021959447379E-2</v>
      </c>
      <c r="W24">
        <f>V24*16.02</f>
        <v>0.74805425179034701</v>
      </c>
      <c r="AA24" s="13" t="s">
        <v>28</v>
      </c>
      <c r="AB24" s="19">
        <v>0.66243638221824941</v>
      </c>
      <c r="AC24" s="19">
        <v>0.71690160520446167</v>
      </c>
      <c r="AD24" s="19">
        <v>0.70177945419000487</v>
      </c>
      <c r="AE24" s="19">
        <v>0.63387897756503198</v>
      </c>
      <c r="AF24" s="19">
        <v>1.6414871981148256</v>
      </c>
      <c r="AG24" s="18">
        <f>AF24-AB24</f>
        <v>0.97905081589657617</v>
      </c>
      <c r="AH24" s="32">
        <f>AC24-AE24</f>
        <v>8.3022627639429691E-2</v>
      </c>
      <c r="AI24" s="32"/>
      <c r="AJ24" s="27" t="s">
        <v>28</v>
      </c>
      <c r="AK24" s="30">
        <v>0.5774890669082392</v>
      </c>
      <c r="AL24" s="30">
        <v>0.62778922542236193</v>
      </c>
      <c r="AM24" s="30">
        <v>0.71298139768847357</v>
      </c>
      <c r="AN24" s="30">
        <v>0.70177945419000487</v>
      </c>
    </row>
    <row r="25" spans="2:40" ht="17" thickBot="1" x14ac:dyDescent="0.25">
      <c r="C25">
        <v>-8074.688032</v>
      </c>
      <c r="D25">
        <v>43799.478593</v>
      </c>
      <c r="E25">
        <f t="shared" si="3"/>
        <v>-4.0373440159999996</v>
      </c>
      <c r="F25">
        <f t="shared" si="3"/>
        <v>21.899739296499998</v>
      </c>
      <c r="G25">
        <f t="shared" si="4"/>
        <v>3.5249772100667651</v>
      </c>
      <c r="J25">
        <v>1040.7222180000001</v>
      </c>
      <c r="K25">
        <v>-17261.555884000001</v>
      </c>
      <c r="L25">
        <v>76634.836265999998</v>
      </c>
      <c r="M25">
        <v>-1.147097</v>
      </c>
      <c r="N25">
        <v>30.770323000000001</v>
      </c>
      <c r="O25">
        <v>91.045404000000005</v>
      </c>
      <c r="P25">
        <v>27.355080999999998</v>
      </c>
      <c r="Q25">
        <v>2951</v>
      </c>
      <c r="R25">
        <v>825</v>
      </c>
      <c r="S25">
        <f>R25/(R25+Q25)</f>
        <v>0.21848516949152541</v>
      </c>
      <c r="T25">
        <f>-4.0498-2.4768*S25</f>
        <v>-4.5909440677966105</v>
      </c>
      <c r="U25">
        <f>K25-(SUM(Q25:R25)*T25)</f>
        <v>73.848915999999008</v>
      </c>
      <c r="V25">
        <f>U25/(2*N25*P25)</f>
        <v>4.3867619617677919E-2</v>
      </c>
      <c r="W25">
        <f>V25*16.02</f>
        <v>0.70275926627520025</v>
      </c>
      <c r="AJ25" s="29"/>
      <c r="AK25" s="29"/>
      <c r="AL25" s="29"/>
      <c r="AM25" s="29"/>
      <c r="AN25" s="29"/>
    </row>
    <row r="26" spans="2:40" ht="17" thickBot="1" x14ac:dyDescent="0.25">
      <c r="C26">
        <v>-8074.4326819999997</v>
      </c>
      <c r="D26">
        <v>43787.818833999998</v>
      </c>
      <c r="E26">
        <f t="shared" si="3"/>
        <v>-4.0372163409999997</v>
      </c>
      <c r="F26">
        <f t="shared" si="3"/>
        <v>21.893909417</v>
      </c>
      <c r="G26">
        <f t="shared" si="4"/>
        <v>3.524664390267005</v>
      </c>
      <c r="J26">
        <v>1041.0859350000001</v>
      </c>
      <c r="K26">
        <v>-17240.560459</v>
      </c>
      <c r="L26">
        <v>76699.334768999994</v>
      </c>
      <c r="M26">
        <v>-1.212982</v>
      </c>
      <c r="N26">
        <v>30.765452</v>
      </c>
      <c r="O26">
        <v>91.105564000000001</v>
      </c>
      <c r="P26">
        <v>27.364360000000001</v>
      </c>
      <c r="Q26">
        <v>2959</v>
      </c>
      <c r="R26">
        <v>817</v>
      </c>
      <c r="S26">
        <f>R26/(R26+Q26)</f>
        <v>0.21636652542372881</v>
      </c>
      <c r="T26">
        <f>-4.0498-2.4768*S26</f>
        <v>-4.5856966101694923</v>
      </c>
      <c r="U26">
        <f>K26-(SUM(Q26:R26)*T26)</f>
        <v>75.02994100000069</v>
      </c>
      <c r="V26">
        <f>U26/(2*N26*P26)</f>
        <v>4.4561111390172735E-2</v>
      </c>
      <c r="W26">
        <f>V26*16.02</f>
        <v>0.71386900447056723</v>
      </c>
      <c r="AA26" s="6" t="s">
        <v>34</v>
      </c>
      <c r="AB26" s="7"/>
      <c r="AC26" s="7"/>
      <c r="AD26" s="7"/>
      <c r="AE26" s="7"/>
      <c r="AF26" s="7"/>
      <c r="AG26" s="8"/>
      <c r="AJ26" s="29" t="s">
        <v>29</v>
      </c>
      <c r="AK26" s="29">
        <v>600</v>
      </c>
      <c r="AL26" s="29">
        <v>800</v>
      </c>
      <c r="AM26" s="29">
        <v>1000</v>
      </c>
      <c r="AN26" s="31">
        <v>1200</v>
      </c>
    </row>
    <row r="27" spans="2:40" x14ac:dyDescent="0.2">
      <c r="B27" t="s">
        <v>70</v>
      </c>
      <c r="C27">
        <f>AVERAGE(C17:C26)</f>
        <v>-8074.3537775999994</v>
      </c>
      <c r="D27">
        <f>AVERAGE(D17:D26)</f>
        <v>43787.624548299995</v>
      </c>
      <c r="E27">
        <f>AVERAGE(E17:E26)</f>
        <v>-4.0371768887999995</v>
      </c>
      <c r="F27">
        <f>AVERAGE(F17:F26)</f>
        <v>21.893812274150001</v>
      </c>
      <c r="G27">
        <f>AVERAGE(G17:G26)</f>
        <v>3.5246591711808528</v>
      </c>
      <c r="W27" s="1">
        <f>AVERAGE(W22:W26)</f>
        <v>0.72804389975119865</v>
      </c>
      <c r="X27" s="1">
        <f>STDEV(W22:W26)</f>
        <v>1.8917230950388244E-2</v>
      </c>
      <c r="Y27" s="1"/>
      <c r="AA27" s="6"/>
      <c r="AB27" s="7" t="s">
        <v>29</v>
      </c>
      <c r="AC27" s="7" t="s">
        <v>72</v>
      </c>
      <c r="AD27" s="7" t="s">
        <v>32</v>
      </c>
      <c r="AE27" s="7" t="s">
        <v>73</v>
      </c>
      <c r="AF27" s="7" t="s">
        <v>30</v>
      </c>
      <c r="AG27" s="8" t="s">
        <v>75</v>
      </c>
      <c r="AJ27" s="29" t="s">
        <v>17</v>
      </c>
      <c r="AK27" s="30">
        <v>0.32538164985336504</v>
      </c>
      <c r="AL27" s="30">
        <v>0.47340373055181895</v>
      </c>
      <c r="AM27" s="30">
        <v>0.55396158966096887</v>
      </c>
      <c r="AN27" s="30">
        <v>0.69679869063521238</v>
      </c>
    </row>
    <row r="28" spans="2:40" x14ac:dyDescent="0.2">
      <c r="I28" t="s">
        <v>27</v>
      </c>
      <c r="J28" s="16">
        <v>1115.7826359999999</v>
      </c>
      <c r="K28" s="16">
        <v>-13200.462454</v>
      </c>
      <c r="L28" s="16">
        <v>58361.523514</v>
      </c>
      <c r="M28" s="16">
        <v>-2.0892379999999999</v>
      </c>
      <c r="N28" s="16">
        <v>32.537863000000002</v>
      </c>
      <c r="O28" s="16">
        <v>130.803707</v>
      </c>
      <c r="P28" s="16">
        <v>13.712624</v>
      </c>
      <c r="Q28">
        <v>2243</v>
      </c>
      <c r="R28">
        <v>637</v>
      </c>
      <c r="S28">
        <f>R28/(R28+Q28)</f>
        <v>0.22118055555555555</v>
      </c>
      <c r="T28">
        <f>-4.0498-2.4768*S28</f>
        <v>-4.59762</v>
      </c>
      <c r="U28">
        <f>K28-(SUM(Q28:R28)*T28)</f>
        <v>40.683145999999397</v>
      </c>
      <c r="V28">
        <f>U28/(2*N28*P28)</f>
        <v>4.5590561337888885E-2</v>
      </c>
      <c r="W28">
        <f>V28*16.02</f>
        <v>0.73036079263297993</v>
      </c>
      <c r="AA28" s="9" t="s">
        <v>17</v>
      </c>
      <c r="AB28" s="17">
        <v>0.55396158966096887</v>
      </c>
      <c r="AC28" s="17">
        <v>0.57445493857159113</v>
      </c>
      <c r="AD28" s="17">
        <v>0.60039486801484576</v>
      </c>
      <c r="AE28" s="17">
        <v>0.68965963126411522</v>
      </c>
      <c r="AF28" s="17">
        <v>1.6378354198643019</v>
      </c>
      <c r="AG28" s="18">
        <f>AF28-AB28</f>
        <v>1.0838738302033331</v>
      </c>
      <c r="AH28" s="32">
        <f>AC28-AE28</f>
        <v>-0.11520469269252409</v>
      </c>
      <c r="AI28" s="32"/>
      <c r="AJ28" s="26" t="s">
        <v>27</v>
      </c>
      <c r="AK28" s="30">
        <v>0.34954032574035304</v>
      </c>
      <c r="AL28" s="30">
        <v>0.41052044705238649</v>
      </c>
      <c r="AM28" s="30">
        <v>0.42078741710482098</v>
      </c>
      <c r="AN28" s="30">
        <v>0.62755308502241136</v>
      </c>
    </row>
    <row r="29" spans="2:40" ht="17" thickBot="1" x14ac:dyDescent="0.25">
      <c r="C29" t="s">
        <v>30</v>
      </c>
      <c r="J29" s="16">
        <v>1115.8032860000001</v>
      </c>
      <c r="K29" s="16">
        <v>-13169.612182999999</v>
      </c>
      <c r="L29" s="16">
        <v>58436.755576000003</v>
      </c>
      <c r="M29" s="16">
        <v>-1.771987</v>
      </c>
      <c r="N29" s="16">
        <v>32.576908000000003</v>
      </c>
      <c r="O29" s="16">
        <v>131.04369500000001</v>
      </c>
      <c r="P29" s="16">
        <v>13.688704</v>
      </c>
      <c r="Q29">
        <v>2259</v>
      </c>
      <c r="R29">
        <v>621</v>
      </c>
      <c r="S29">
        <f>R29/(R29+Q29)</f>
        <v>0.21562500000000001</v>
      </c>
      <c r="T29">
        <f>-4.0498-2.4768*S29</f>
        <v>-4.5838600000000005</v>
      </c>
      <c r="U29">
        <f>K29-(SUM(Q29:R29)*T29)</f>
        <v>31.904617000001963</v>
      </c>
      <c r="V29">
        <f>U29/(2*N29*P29)</f>
        <v>3.5772669150118924E-2</v>
      </c>
      <c r="W29">
        <f>V29*16.02</f>
        <v>0.57307815978490517</v>
      </c>
      <c r="AA29" s="9" t="s">
        <v>27</v>
      </c>
      <c r="AB29" s="17">
        <v>0.42078741710482098</v>
      </c>
      <c r="AC29" s="17">
        <v>0.53620589916500738</v>
      </c>
      <c r="AD29" s="17">
        <v>0.6407724683742293</v>
      </c>
      <c r="AE29" s="17">
        <v>0.70435140712966415</v>
      </c>
      <c r="AF29" s="17">
        <v>1.5676658377525972</v>
      </c>
      <c r="AG29" s="18">
        <f>AF29-AB29</f>
        <v>1.1468784206477762</v>
      </c>
      <c r="AH29" s="32">
        <f>AC29-AE29</f>
        <v>-0.16814550796465677</v>
      </c>
      <c r="AI29" s="32"/>
      <c r="AJ29" s="27" t="s">
        <v>28</v>
      </c>
      <c r="AK29" s="30">
        <v>0.43971289366141197</v>
      </c>
      <c r="AL29" s="30">
        <v>0.49137460359161345</v>
      </c>
      <c r="AM29" s="30">
        <v>0.54043955504228935</v>
      </c>
      <c r="AN29" s="30">
        <v>0.66243638221824941</v>
      </c>
    </row>
    <row r="30" spans="2:40" ht="17" thickBot="1" x14ac:dyDescent="0.25">
      <c r="B30">
        <v>1200</v>
      </c>
      <c r="C30" t="s">
        <v>5</v>
      </c>
      <c r="D30" t="s">
        <v>7</v>
      </c>
      <c r="E30" t="s">
        <v>6</v>
      </c>
      <c r="F30" t="s">
        <v>8</v>
      </c>
      <c r="G30" t="s">
        <v>9</v>
      </c>
      <c r="J30" s="16">
        <v>1115.6141769999999</v>
      </c>
      <c r="K30" s="16">
        <v>-13201.501501000001</v>
      </c>
      <c r="L30" s="16">
        <v>58353.067066000003</v>
      </c>
      <c r="M30" s="16">
        <v>-1.7942480000000001</v>
      </c>
      <c r="N30" s="16">
        <v>32.580373000000002</v>
      </c>
      <c r="O30" s="16">
        <v>131.073949</v>
      </c>
      <c r="P30" s="16">
        <v>13.664491</v>
      </c>
      <c r="Q30">
        <v>2245</v>
      </c>
      <c r="R30">
        <v>635</v>
      </c>
      <c r="S30">
        <f>R30/(R30+Q30)</f>
        <v>0.2204861111111111</v>
      </c>
      <c r="T30">
        <f>-4.0498-2.4768*S30</f>
        <v>-4.5959000000000003</v>
      </c>
      <c r="U30">
        <f>K30-(SUM(Q30:R30)*T30)</f>
        <v>34.690499000000273</v>
      </c>
      <c r="V30">
        <f>U30/(2*N30*P30)</f>
        <v>3.8961084777744577E-2</v>
      </c>
      <c r="W30">
        <f>V30*16.02</f>
        <v>0.62415657813946812</v>
      </c>
      <c r="AA30" s="13" t="s">
        <v>28</v>
      </c>
      <c r="AB30" s="19">
        <v>0.54043955504228935</v>
      </c>
      <c r="AC30" s="19">
        <v>0.52689102171577618</v>
      </c>
      <c r="AD30" s="19">
        <v>0.71298139768847357</v>
      </c>
      <c r="AE30" s="19">
        <v>0.64556180438752198</v>
      </c>
      <c r="AF30" s="19">
        <v>1.633167301293085</v>
      </c>
      <c r="AG30" s="18">
        <f>AF30-AB30</f>
        <v>1.0927277462507956</v>
      </c>
      <c r="AH30" s="32">
        <f>AC30-AE30</f>
        <v>-0.1186707826717458</v>
      </c>
      <c r="AI30" s="32"/>
      <c r="AJ30" s="29"/>
      <c r="AK30" s="29"/>
      <c r="AL30" s="29"/>
      <c r="AM30" s="29"/>
      <c r="AN30" s="29"/>
    </row>
    <row r="31" spans="2:40" x14ac:dyDescent="0.2">
      <c r="C31">
        <v>-13449.721457</v>
      </c>
      <c r="D31">
        <v>32104.188044999999</v>
      </c>
      <c r="E31">
        <f>C31/2000</f>
        <v>-6.7248607284999995</v>
      </c>
      <c r="F31">
        <f>D31/2000</f>
        <v>16.0520940225</v>
      </c>
      <c r="G31">
        <f>(F31*2)^(1/3)</f>
        <v>3.1782439589713936</v>
      </c>
      <c r="J31" s="16">
        <v>1115.4436250000001</v>
      </c>
      <c r="K31" s="16">
        <v>-13169.749126000001</v>
      </c>
      <c r="L31" s="16">
        <v>58448.020235999997</v>
      </c>
      <c r="M31" s="16">
        <v>-1.7990569999999999</v>
      </c>
      <c r="N31" s="16">
        <v>32.615760000000002</v>
      </c>
      <c r="O31" s="16">
        <v>130.72699299999999</v>
      </c>
      <c r="P31" s="16">
        <v>13.708176</v>
      </c>
      <c r="Q31">
        <v>2255</v>
      </c>
      <c r="R31">
        <v>625</v>
      </c>
      <c r="S31">
        <f>R31/(R31+Q31)</f>
        <v>0.2170138888888889</v>
      </c>
      <c r="T31">
        <f>-4.0498-2.4768*S31</f>
        <v>-4.5872999999999999</v>
      </c>
      <c r="U31">
        <f>K31-(SUM(Q31:R31)*T31)</f>
        <v>41.674873999998454</v>
      </c>
      <c r="V31">
        <f>U31/(2*N31*P31)</f>
        <v>4.6605495034411352E-2</v>
      </c>
      <c r="W31">
        <f>V31*16.02</f>
        <v>0.7466200304512699</v>
      </c>
      <c r="AJ31" s="29" t="s">
        <v>30</v>
      </c>
      <c r="AK31" s="29">
        <v>600</v>
      </c>
      <c r="AL31" s="29">
        <v>800</v>
      </c>
      <c r="AM31" s="29">
        <v>1000</v>
      </c>
      <c r="AN31" s="31">
        <v>1200</v>
      </c>
    </row>
    <row r="32" spans="2:40" ht="17" thickBot="1" x14ac:dyDescent="0.25">
      <c r="C32">
        <v>-13448.809017</v>
      </c>
      <c r="D32">
        <v>32105.897937000002</v>
      </c>
      <c r="E32">
        <f t="shared" ref="E32:F40" si="5">C32/2000</f>
        <v>-6.7244045085000002</v>
      </c>
      <c r="F32">
        <f t="shared" si="5"/>
        <v>16.052948968500001</v>
      </c>
      <c r="G32">
        <f t="shared" ref="G32:G40" si="6">(F32*2)^(1/3)</f>
        <v>3.1783003831512522</v>
      </c>
      <c r="J32" s="16">
        <v>1115.3965270000001</v>
      </c>
      <c r="K32" s="16">
        <v>-13179.810391000001</v>
      </c>
      <c r="L32" s="16">
        <v>58402.835885</v>
      </c>
      <c r="M32" s="16">
        <v>-1.9707440000000001</v>
      </c>
      <c r="N32" s="16">
        <v>32.598345000000002</v>
      </c>
      <c r="O32" s="16">
        <v>131.01210399999999</v>
      </c>
      <c r="P32" s="16">
        <v>13.67507</v>
      </c>
      <c r="Q32">
        <v>2251</v>
      </c>
      <c r="R32">
        <v>629</v>
      </c>
      <c r="S32">
        <f>R32/(R32+Q32)</f>
        <v>0.21840277777777778</v>
      </c>
      <c r="T32">
        <f>-4.0498-2.4768*S32</f>
        <v>-4.5907400000000003</v>
      </c>
      <c r="U32">
        <f>K32-(SUM(Q32:R32)*T32)</f>
        <v>41.520808999999645</v>
      </c>
      <c r="V32">
        <f>U32/(2*N32*P32)</f>
        <v>4.6570478618356018E-2</v>
      </c>
      <c r="W32">
        <f>V32*16.02</f>
        <v>0.74605906746606343</v>
      </c>
      <c r="AJ32" s="29" t="s">
        <v>17</v>
      </c>
      <c r="AK32" s="30">
        <v>1.6172755534132368</v>
      </c>
      <c r="AL32" s="30">
        <v>1.6166045715023087</v>
      </c>
      <c r="AM32" s="30">
        <v>1.6378354198643019</v>
      </c>
      <c r="AN32" s="30">
        <v>1.6422828812404018</v>
      </c>
    </row>
    <row r="33" spans="2:47" ht="17" thickBot="1" x14ac:dyDescent="0.25">
      <c r="C33">
        <v>-13448.995846</v>
      </c>
      <c r="D33">
        <v>32106.074151000001</v>
      </c>
      <c r="E33">
        <f t="shared" si="5"/>
        <v>-6.7244979229999995</v>
      </c>
      <c r="F33">
        <f t="shared" si="5"/>
        <v>16.053037075500001</v>
      </c>
      <c r="G33">
        <f t="shared" si="6"/>
        <v>3.1783061978668758</v>
      </c>
      <c r="W33" s="1">
        <f>AVERAGE(W28:W32)</f>
        <v>0.68405492569493731</v>
      </c>
      <c r="X33" s="1">
        <f>STDEV(W28:W32)</f>
        <v>8.032246549775833E-2</v>
      </c>
      <c r="Y33" s="1"/>
      <c r="AA33" s="6" t="s">
        <v>68</v>
      </c>
      <c r="AB33" s="7"/>
      <c r="AC33" s="7"/>
      <c r="AD33" s="7"/>
      <c r="AE33" s="7"/>
      <c r="AF33" s="7"/>
      <c r="AG33" s="8"/>
      <c r="AJ33" s="26" t="s">
        <v>27</v>
      </c>
      <c r="AK33" s="30">
        <v>1.5532530662965855</v>
      </c>
      <c r="AL33" s="30">
        <v>1.551869770910125</v>
      </c>
      <c r="AM33" s="30">
        <v>1.5676658377525972</v>
      </c>
      <c r="AN33" s="30">
        <v>1.5770724526863764</v>
      </c>
    </row>
    <row r="34" spans="2:47" ht="17" thickBot="1" x14ac:dyDescent="0.25">
      <c r="C34">
        <v>-13449.567503</v>
      </c>
      <c r="D34">
        <v>32104.049778000001</v>
      </c>
      <c r="E34">
        <f t="shared" si="5"/>
        <v>-6.7247837515000004</v>
      </c>
      <c r="F34">
        <f t="shared" si="5"/>
        <v>16.052024889000002</v>
      </c>
      <c r="G34">
        <f t="shared" si="6"/>
        <v>3.1782393962552802</v>
      </c>
      <c r="I34" t="s">
        <v>28</v>
      </c>
      <c r="J34">
        <v>1115.6351159999999</v>
      </c>
      <c r="K34">
        <v>-11368.840646000001</v>
      </c>
      <c r="L34">
        <v>49965.411924</v>
      </c>
      <c r="M34">
        <v>-2.1664780000000001</v>
      </c>
      <c r="N34">
        <v>35.018644000000002</v>
      </c>
      <c r="O34">
        <v>138.99361300000001</v>
      </c>
      <c r="P34">
        <v>10.265461</v>
      </c>
      <c r="Q34">
        <v>1913</v>
      </c>
      <c r="R34">
        <v>559</v>
      </c>
      <c r="S34">
        <f>R34/(R34+Q34)</f>
        <v>0.22613268608414239</v>
      </c>
      <c r="T34">
        <f>-4.0498-2.4768*S34</f>
        <v>-4.6098854368932045</v>
      </c>
      <c r="U34">
        <f>K34-(SUM(Q34:R34)*T34)</f>
        <v>26.796154000001479</v>
      </c>
      <c r="V34">
        <f>U34/(2*N34*P34)</f>
        <v>3.7270454322561437E-2</v>
      </c>
      <c r="W34">
        <f>V34*16.02</f>
        <v>0.59707267824743426</v>
      </c>
      <c r="AA34" s="6"/>
      <c r="AB34" s="7" t="s">
        <v>29</v>
      </c>
      <c r="AC34" s="7" t="s">
        <v>72</v>
      </c>
      <c r="AD34" s="7" t="s">
        <v>32</v>
      </c>
      <c r="AE34" s="7" t="s">
        <v>73</v>
      </c>
      <c r="AF34" s="7" t="s">
        <v>30</v>
      </c>
      <c r="AG34" s="8" t="s">
        <v>75</v>
      </c>
      <c r="AJ34" s="27" t="s">
        <v>28</v>
      </c>
      <c r="AK34" s="30">
        <v>1.6204119664914329</v>
      </c>
      <c r="AL34" s="30">
        <v>1.6229690429764296</v>
      </c>
      <c r="AM34" s="30">
        <v>1.633167301293085</v>
      </c>
      <c r="AN34" s="30">
        <v>1.6414871981148256</v>
      </c>
    </row>
    <row r="35" spans="2:47" x14ac:dyDescent="0.2">
      <c r="C35">
        <v>-13448.785599000001</v>
      </c>
      <c r="D35">
        <v>32106.813741000002</v>
      </c>
      <c r="E35">
        <f t="shared" si="5"/>
        <v>-6.7243927995000004</v>
      </c>
      <c r="F35">
        <f t="shared" si="5"/>
        <v>16.053406870500002</v>
      </c>
      <c r="G35">
        <f t="shared" si="6"/>
        <v>3.1783306026510552</v>
      </c>
      <c r="J35">
        <v>1115.8021639999999</v>
      </c>
      <c r="K35">
        <v>-11326.964314999999</v>
      </c>
      <c r="L35">
        <v>50083.414228000001</v>
      </c>
      <c r="M35">
        <v>-2.2946960000000001</v>
      </c>
      <c r="N35">
        <v>35.024763</v>
      </c>
      <c r="O35">
        <v>139.120293</v>
      </c>
      <c r="P35">
        <v>10.278549999999999</v>
      </c>
      <c r="Q35">
        <v>1928</v>
      </c>
      <c r="R35">
        <v>544</v>
      </c>
      <c r="S35">
        <f>R35/(R35+Q35)</f>
        <v>0.22006472491909385</v>
      </c>
      <c r="T35">
        <f>-4.0498-2.4768*S35</f>
        <v>-4.5948563106796119</v>
      </c>
      <c r="U35">
        <f>K35-(SUM(Q35:R35)*T35)</f>
        <v>31.520485000000917</v>
      </c>
      <c r="V35">
        <f>U35/(2*N35*P35)</f>
        <v>4.3777991995574909E-2</v>
      </c>
      <c r="W35">
        <f>V35*16.02</f>
        <v>0.70132343176911005</v>
      </c>
      <c r="AA35" s="9">
        <v>210</v>
      </c>
      <c r="AB35" s="17">
        <v>0.47340373055181895</v>
      </c>
      <c r="AC35" s="17">
        <v>0.49852866337781815</v>
      </c>
      <c r="AD35" s="17">
        <v>0.58278863997256292</v>
      </c>
      <c r="AE35" s="17">
        <v>0.65729557958148088</v>
      </c>
      <c r="AF35" s="17">
        <v>1.6166045715023087</v>
      </c>
      <c r="AG35" s="18">
        <f>AF35-AB35</f>
        <v>1.1432008409504899</v>
      </c>
      <c r="AH35" s="32">
        <f>AC35-AE35</f>
        <v>-0.15876691620366273</v>
      </c>
    </row>
    <row r="36" spans="2:47" x14ac:dyDescent="0.2">
      <c r="C36">
        <v>-13448.985731000001</v>
      </c>
      <c r="D36">
        <v>32106.167966000001</v>
      </c>
      <c r="E36">
        <f t="shared" si="5"/>
        <v>-6.7244928655000002</v>
      </c>
      <c r="F36">
        <f t="shared" si="5"/>
        <v>16.053083983000001</v>
      </c>
      <c r="G36">
        <f t="shared" si="6"/>
        <v>3.1783092935687893</v>
      </c>
      <c r="J36">
        <v>1115.843404</v>
      </c>
      <c r="K36">
        <v>-11329.544572999999</v>
      </c>
      <c r="L36">
        <v>50082.147832000002</v>
      </c>
      <c r="M36">
        <v>-2.0946039999999999</v>
      </c>
      <c r="N36">
        <v>35.080697999999998</v>
      </c>
      <c r="O36">
        <v>139.50421700000001</v>
      </c>
      <c r="P36">
        <v>10.233658999999999</v>
      </c>
      <c r="Q36">
        <v>1928</v>
      </c>
      <c r="R36">
        <v>544</v>
      </c>
      <c r="S36">
        <f>R36/(R36+Q36)</f>
        <v>0.22006472491909385</v>
      </c>
      <c r="T36">
        <f>-4.0498-2.4768*S36</f>
        <v>-4.5948563106796119</v>
      </c>
      <c r="U36">
        <f>K36-(SUM(Q36:R36)*T36)</f>
        <v>28.940227000000959</v>
      </c>
      <c r="V36">
        <f>U36/(2*N36*P36)</f>
        <v>4.0306284882119361E-2</v>
      </c>
      <c r="W36">
        <f>V36*16.02</f>
        <v>0.64570668381155216</v>
      </c>
      <c r="AA36" s="9">
        <v>310</v>
      </c>
      <c r="AB36" s="17">
        <v>0.41052044705238649</v>
      </c>
      <c r="AC36" s="17">
        <v>0.48026505917896667</v>
      </c>
      <c r="AD36" s="17">
        <v>0.56793755941912116</v>
      </c>
      <c r="AE36" s="17">
        <v>0.67232401454996626</v>
      </c>
      <c r="AF36" s="17">
        <v>1.551869770910125</v>
      </c>
      <c r="AG36" s="18">
        <f>AF36-AB36</f>
        <v>1.1413493238577386</v>
      </c>
      <c r="AH36" s="32">
        <f>AC36-AE36</f>
        <v>-0.1920589553709996</v>
      </c>
    </row>
    <row r="37" spans="2:47" ht="17" thickBot="1" x14ac:dyDescent="0.25">
      <c r="C37">
        <v>-13449.277153000001</v>
      </c>
      <c r="D37">
        <v>32104.990948999999</v>
      </c>
      <c r="E37">
        <f t="shared" si="5"/>
        <v>-6.7246385765000003</v>
      </c>
      <c r="F37">
        <f t="shared" si="5"/>
        <v>16.052495474499999</v>
      </c>
      <c r="G37">
        <f t="shared" si="6"/>
        <v>3.1782704539934885</v>
      </c>
      <c r="J37">
        <v>1115.76899</v>
      </c>
      <c r="K37">
        <v>-11279.978096000001</v>
      </c>
      <c r="L37">
        <v>50203.875845000002</v>
      </c>
      <c r="M37">
        <v>-1.941028</v>
      </c>
      <c r="N37">
        <v>35.118476999999999</v>
      </c>
      <c r="O37">
        <v>139.17883</v>
      </c>
      <c r="P37">
        <v>10.271461</v>
      </c>
      <c r="Q37">
        <v>1944</v>
      </c>
      <c r="R37">
        <v>528</v>
      </c>
      <c r="S37">
        <f>R37/(R37+Q37)</f>
        <v>0.21359223300970873</v>
      </c>
      <c r="T37">
        <f>-4.0498-2.4768*S37</f>
        <v>-4.5788252427184464</v>
      </c>
      <c r="U37">
        <f>K37-(SUM(Q37:R37)*T37)</f>
        <v>38.877903999999035</v>
      </c>
      <c r="V37">
        <f>U37/(2*N37*P37)</f>
        <v>5.3889599065195623E-2</v>
      </c>
      <c r="W37">
        <f>V37*16.02</f>
        <v>0.86331137702443383</v>
      </c>
      <c r="AA37" s="13">
        <v>510</v>
      </c>
      <c r="AB37" s="19">
        <v>0.49137460359161345</v>
      </c>
      <c r="AC37" s="19">
        <v>0.50353216159751357</v>
      </c>
      <c r="AD37" s="19">
        <v>0.62778922542236193</v>
      </c>
      <c r="AE37" s="19">
        <v>0.64231566195298329</v>
      </c>
      <c r="AF37" s="19">
        <v>1.6229690429764296</v>
      </c>
      <c r="AG37" s="18">
        <f>AF37-AB37</f>
        <v>1.1315944393848163</v>
      </c>
      <c r="AH37" s="32">
        <f>AC37-AE37</f>
        <v>-0.13878350035546971</v>
      </c>
    </row>
    <row r="38" spans="2:47" x14ac:dyDescent="0.2">
      <c r="C38">
        <v>-13448.769521</v>
      </c>
      <c r="D38">
        <v>32106.835406999999</v>
      </c>
      <c r="E38">
        <f t="shared" si="5"/>
        <v>-6.7243847605000004</v>
      </c>
      <c r="F38">
        <f t="shared" si="5"/>
        <v>16.053417703499999</v>
      </c>
      <c r="G38">
        <f t="shared" si="6"/>
        <v>3.1783313175740191</v>
      </c>
      <c r="J38">
        <v>1115.6895649999999</v>
      </c>
      <c r="K38">
        <v>-11349.326498</v>
      </c>
      <c r="L38">
        <v>50029.106865000002</v>
      </c>
      <c r="M38">
        <v>-1.8723609999999999</v>
      </c>
      <c r="N38">
        <v>35.106802000000002</v>
      </c>
      <c r="O38">
        <v>139.31462200000001</v>
      </c>
      <c r="P38">
        <v>10.229108999999999</v>
      </c>
      <c r="Q38">
        <v>1919</v>
      </c>
      <c r="R38">
        <v>553</v>
      </c>
      <c r="S38">
        <f>R38/(R38+Q38)</f>
        <v>0.22370550161812297</v>
      </c>
      <c r="T38">
        <f>-4.0498-2.4768*S38</f>
        <v>-4.6038737864077675</v>
      </c>
      <c r="U38">
        <f>K38-(SUM(Q38:R38)*T38)</f>
        <v>31.449502000001303</v>
      </c>
      <c r="V38">
        <f>U38/(2*N38*P38)</f>
        <v>4.3787958807583925E-2</v>
      </c>
      <c r="W38">
        <f>V38*16.02</f>
        <v>0.70148310009749448</v>
      </c>
    </row>
    <row r="39" spans="2:47" x14ac:dyDescent="0.2">
      <c r="C39">
        <v>-13448.551291</v>
      </c>
      <c r="D39">
        <v>32106.377374</v>
      </c>
      <c r="E39">
        <f t="shared" si="5"/>
        <v>-6.7242756454999997</v>
      </c>
      <c r="F39">
        <f t="shared" si="5"/>
        <v>16.053188686999999</v>
      </c>
      <c r="G39">
        <f t="shared" si="6"/>
        <v>3.1783162035800401</v>
      </c>
      <c r="W39" s="1">
        <f>AVERAGE(W34:W38)</f>
        <v>0.70177945419000487</v>
      </c>
      <c r="X39" s="1">
        <f>STDEV(W34:W38)</f>
        <v>0.10025033962908443</v>
      </c>
      <c r="Y39" s="1"/>
      <c r="AB39">
        <f>AF22/AB22</f>
        <v>2.3568971975869695</v>
      </c>
      <c r="AD39">
        <f>AF35/AB35</f>
        <v>3.4148538914510191</v>
      </c>
      <c r="AS39" s="1"/>
      <c r="AT39" s="1"/>
      <c r="AU39" s="1"/>
    </row>
    <row r="40" spans="2:47" x14ac:dyDescent="0.2">
      <c r="C40">
        <v>-13450.1744</v>
      </c>
      <c r="D40">
        <v>32103.29132</v>
      </c>
      <c r="E40">
        <f t="shared" si="5"/>
        <v>-6.7250871999999999</v>
      </c>
      <c r="F40">
        <f t="shared" si="5"/>
        <v>16.051645659999998</v>
      </c>
      <c r="G40">
        <f t="shared" si="6"/>
        <v>3.1782143674287391</v>
      </c>
      <c r="I40" t="s">
        <v>55</v>
      </c>
      <c r="J40">
        <v>1041.0647710000001</v>
      </c>
      <c r="K40">
        <v>-17934.106851</v>
      </c>
      <c r="L40">
        <v>78917.681895000002</v>
      </c>
      <c r="M40">
        <v>-1.2531429999999999</v>
      </c>
      <c r="N40">
        <v>31.047367000000001</v>
      </c>
      <c r="O40">
        <v>185.30889300000001</v>
      </c>
      <c r="P40">
        <v>13.716900000000001</v>
      </c>
      <c r="Q40">
        <v>3036</v>
      </c>
      <c r="R40">
        <v>868</v>
      </c>
      <c r="S40">
        <f>R40/(R40+Q40)</f>
        <v>0.2223360655737705</v>
      </c>
      <c r="T40">
        <f>-4.0498-2.4768*S40</f>
        <v>-4.6004819672131152</v>
      </c>
      <c r="U40">
        <f>K40-(SUM(Q40:R40)*T40)</f>
        <v>26.174749000001611</v>
      </c>
      <c r="V40">
        <f>U40/(2*N40*P40)</f>
        <v>3.0730652539109237E-2</v>
      </c>
      <c r="W40">
        <f>V40*16.02</f>
        <v>0.49230505367652999</v>
      </c>
      <c r="AB40">
        <f>AF23/AB23</f>
        <v>2.5130502746712744</v>
      </c>
      <c r="AD40">
        <f>AF36/AB36</f>
        <v>3.7802496369007681</v>
      </c>
      <c r="AS40" s="1"/>
      <c r="AT40" s="1"/>
      <c r="AU40" s="1"/>
    </row>
    <row r="41" spans="2:47" x14ac:dyDescent="0.2">
      <c r="B41" t="s">
        <v>70</v>
      </c>
      <c r="C41">
        <f>AVERAGE(C31:C40)</f>
        <v>-13449.163751799997</v>
      </c>
      <c r="D41">
        <f>AVERAGE(D31:D40)</f>
        <v>32105.468666799999</v>
      </c>
      <c r="E41">
        <f>AVERAGE(E31:E40)</f>
        <v>-6.7245818759000002</v>
      </c>
      <c r="F41">
        <f>AVERAGE(F31:F40)</f>
        <v>16.0527343334</v>
      </c>
      <c r="G41">
        <f>AVERAGE(G31:G40)</f>
        <v>3.1782862175040933</v>
      </c>
      <c r="J41">
        <v>1040.925855</v>
      </c>
      <c r="K41">
        <v>-17854.999035000001</v>
      </c>
      <c r="L41">
        <v>79126.809865999996</v>
      </c>
      <c r="M41">
        <v>-1.236143</v>
      </c>
      <c r="N41">
        <v>31.094767999999998</v>
      </c>
      <c r="O41">
        <v>185.45141599999999</v>
      </c>
      <c r="P41">
        <v>13.721731</v>
      </c>
      <c r="Q41">
        <v>3063</v>
      </c>
      <c r="R41">
        <v>841</v>
      </c>
      <c r="S41">
        <f>R41/(R41+Q41)</f>
        <v>0.21542008196721313</v>
      </c>
      <c r="T41">
        <f>-4.0498-2.4768*S41</f>
        <v>-4.5833524590163934</v>
      </c>
      <c r="U41">
        <f>K41-(SUM(Q41:R41)*T41)</f>
        <v>38.408964999998716</v>
      </c>
      <c r="V41">
        <f>U41/(2*N41*P41)</f>
        <v>4.5009727823671929E-2</v>
      </c>
      <c r="W41">
        <f>V41*16.02</f>
        <v>0.72105583973522425</v>
      </c>
      <c r="AB41">
        <f>AF24/AB24</f>
        <v>2.477954475595233</v>
      </c>
      <c r="AD41">
        <f>AF37/AB37</f>
        <v>3.3029160056576634</v>
      </c>
      <c r="AS41" s="1"/>
      <c r="AT41" s="1"/>
      <c r="AU41" s="1"/>
    </row>
    <row r="42" spans="2:47" x14ac:dyDescent="0.2">
      <c r="J42">
        <v>1040.9611930000001</v>
      </c>
      <c r="K42">
        <v>-17945.518371999999</v>
      </c>
      <c r="L42">
        <v>78901.094110000005</v>
      </c>
      <c r="M42">
        <v>-1.225406</v>
      </c>
      <c r="N42">
        <v>31.047052999999998</v>
      </c>
      <c r="O42">
        <v>185.26981599999999</v>
      </c>
      <c r="P42">
        <v>13.717038000000001</v>
      </c>
      <c r="Q42">
        <v>3029</v>
      </c>
      <c r="R42">
        <v>875</v>
      </c>
      <c r="S42">
        <f>R42/(R42+Q42)</f>
        <v>0.22412909836065573</v>
      </c>
      <c r="T42">
        <f>-4.0498-2.4768*S42</f>
        <v>-4.6049229508196721</v>
      </c>
      <c r="U42">
        <f>K42-(SUM(Q42:R42)*T42)</f>
        <v>32.100828000002366</v>
      </c>
      <c r="V42">
        <f>U42/(2*N42*P42)</f>
        <v>3.7688210261973519E-2</v>
      </c>
      <c r="W42">
        <f>V42*16.02</f>
        <v>0.60376512839681573</v>
      </c>
    </row>
    <row r="43" spans="2:47" x14ac:dyDescent="0.2">
      <c r="J43">
        <v>1040.9265330000001</v>
      </c>
      <c r="K43">
        <v>-17828.585378</v>
      </c>
      <c r="L43">
        <v>79189.664934</v>
      </c>
      <c r="M43">
        <v>-1.193295</v>
      </c>
      <c r="N43">
        <v>31.147352000000001</v>
      </c>
      <c r="O43">
        <v>185.506338</v>
      </c>
      <c r="P43">
        <v>13.705389</v>
      </c>
      <c r="Q43">
        <v>3075</v>
      </c>
      <c r="R43">
        <v>829</v>
      </c>
      <c r="S43">
        <f>R43/(R43+Q43)</f>
        <v>0.21234631147540983</v>
      </c>
      <c r="T43">
        <f>-4.0498-2.4768*S43</f>
        <v>-4.5757393442622956</v>
      </c>
      <c r="U43">
        <f>K43-(SUM(Q43:R43)*T43)</f>
        <v>35.101022000002558</v>
      </c>
      <c r="V43">
        <f>U43/(2*N43*P43)</f>
        <v>4.1112820144953224E-2</v>
      </c>
      <c r="W43">
        <f>V43*16.02</f>
        <v>0.6586273787221506</v>
      </c>
    </row>
    <row r="44" spans="2:47" x14ac:dyDescent="0.2">
      <c r="J44">
        <v>1041.1472160000001</v>
      </c>
      <c r="K44">
        <v>-17856.046463999999</v>
      </c>
      <c r="L44">
        <v>79106.946496000004</v>
      </c>
      <c r="M44">
        <v>-1.2093039999999999</v>
      </c>
      <c r="N44">
        <v>31.078187</v>
      </c>
      <c r="O44">
        <v>185.554877</v>
      </c>
      <c r="P44">
        <v>13.717942000000001</v>
      </c>
      <c r="Q44">
        <v>3066</v>
      </c>
      <c r="R44">
        <v>838</v>
      </c>
      <c r="S44">
        <f>R44/(R44+Q44)</f>
        <v>0.21465163934426229</v>
      </c>
      <c r="T44">
        <f>-4.0498-2.4768*S44</f>
        <v>-4.5814491803278692</v>
      </c>
      <c r="U44">
        <f>K44-(SUM(Q44:R44)*T44)</f>
        <v>29.93113600000288</v>
      </c>
      <c r="V44">
        <f>U44/(2*N44*P44)</f>
        <v>3.5103350202588687E-2</v>
      </c>
      <c r="W44">
        <f>V44*16.02</f>
        <v>0.56235567024547073</v>
      </c>
    </row>
    <row r="45" spans="2:47" x14ac:dyDescent="0.2">
      <c r="W45" s="1">
        <f>AVERAGE(W40:W44)</f>
        <v>0.6076218141552383</v>
      </c>
      <c r="X45" s="1">
        <f>STDEV(W40:W44)</f>
        <v>8.7793363691216139E-2</v>
      </c>
      <c r="Y45" s="1"/>
    </row>
    <row r="46" spans="2:47" x14ac:dyDescent="0.2">
      <c r="I46" t="s">
        <v>110</v>
      </c>
      <c r="J46">
        <v>1040.9796260000001</v>
      </c>
      <c r="K46">
        <v>-17575.608187999998</v>
      </c>
      <c r="L46">
        <v>77283.606769999999</v>
      </c>
      <c r="M46">
        <v>-1.213549</v>
      </c>
      <c r="N46">
        <v>30.742287999999999</v>
      </c>
      <c r="O46">
        <v>183.53120200000001</v>
      </c>
      <c r="P46">
        <v>13.697564</v>
      </c>
      <c r="Q46">
        <v>2966</v>
      </c>
      <c r="R46">
        <v>858</v>
      </c>
      <c r="S46">
        <f>R46/(R46+Q46)</f>
        <v>0.22437238493723849</v>
      </c>
      <c r="T46">
        <f>-4.0498-2.4768*S46</f>
        <v>-4.6055255230125525</v>
      </c>
      <c r="U46">
        <f>K46-(SUM(Q46:R46)*T46)</f>
        <v>35.921412000003329</v>
      </c>
      <c r="V46">
        <f>U46/(2*N46*P46)</f>
        <v>4.2652439814754903E-2</v>
      </c>
      <c r="W46">
        <f>V46*16.02</f>
        <v>0.68329208583237355</v>
      </c>
    </row>
    <row r="47" spans="2:47" x14ac:dyDescent="0.2">
      <c r="J47">
        <v>1041.016384</v>
      </c>
      <c r="K47">
        <v>-17484.187473999998</v>
      </c>
      <c r="L47">
        <v>77479.567834999994</v>
      </c>
      <c r="M47">
        <v>-1.0761810000000001</v>
      </c>
      <c r="N47">
        <v>30.818483000000001</v>
      </c>
      <c r="O47">
        <v>183.449837</v>
      </c>
      <c r="P47">
        <v>13.704414999999999</v>
      </c>
      <c r="Q47">
        <v>2996</v>
      </c>
      <c r="R47">
        <v>826</v>
      </c>
      <c r="S47">
        <f>R47/(R47+Q47)</f>
        <v>0.21611721611721613</v>
      </c>
      <c r="T47">
        <f>-4.0498-2.4768*S47</f>
        <v>-4.5850791208791213</v>
      </c>
      <c r="U47">
        <f>K47-(SUM(Q47:R47)*T47)</f>
        <v>39.984926000004634</v>
      </c>
      <c r="V47">
        <f>U47/(2*N47*P47)</f>
        <v>4.7336325438393438E-2</v>
      </c>
      <c r="W47">
        <f>V47*16.02</f>
        <v>0.75832793352306282</v>
      </c>
    </row>
    <row r="48" spans="2:47" x14ac:dyDescent="0.2">
      <c r="J48">
        <v>1040.9226229999999</v>
      </c>
      <c r="K48">
        <v>-17565.753546</v>
      </c>
      <c r="L48">
        <v>77335.728789999994</v>
      </c>
      <c r="M48">
        <v>-1.29097</v>
      </c>
      <c r="N48">
        <v>30.754415999999999</v>
      </c>
      <c r="O48">
        <v>183.497837</v>
      </c>
      <c r="P48">
        <v>13.703887999999999</v>
      </c>
      <c r="Q48">
        <v>2966</v>
      </c>
      <c r="R48">
        <v>858</v>
      </c>
      <c r="S48">
        <f>R48/(R48+Q48)</f>
        <v>0.22437238493723849</v>
      </c>
      <c r="T48">
        <f>-4.0498-2.4768*S48</f>
        <v>-4.6055255230125525</v>
      </c>
      <c r="U48">
        <f>K48-(SUM(Q48:R48)*T48)</f>
        <v>45.77605400000175</v>
      </c>
      <c r="V48">
        <f>U48/(2*N48*P48)</f>
        <v>5.4307157513433318E-2</v>
      </c>
      <c r="W48">
        <f>V48*16.02</f>
        <v>0.87000066336520177</v>
      </c>
    </row>
    <row r="49" spans="5:25" x14ac:dyDescent="0.2">
      <c r="J49">
        <v>1041.1060970000001</v>
      </c>
      <c r="K49">
        <v>-17462.695175000001</v>
      </c>
      <c r="L49">
        <v>77600.062766000003</v>
      </c>
      <c r="M49">
        <v>-1.139251</v>
      </c>
      <c r="N49">
        <v>30.811012000000002</v>
      </c>
      <c r="O49">
        <v>183.432086</v>
      </c>
      <c r="P49">
        <v>13.730392</v>
      </c>
      <c r="Q49">
        <v>3010</v>
      </c>
      <c r="R49">
        <v>814</v>
      </c>
      <c r="S49">
        <f>R49/(R49+Q49)</f>
        <v>0.21286610878661089</v>
      </c>
      <c r="T49">
        <f>-4.0498-2.4768*S49</f>
        <v>-4.5770267782426783</v>
      </c>
      <c r="U49">
        <f>K49-(SUM(Q49:R49)*T49)</f>
        <v>39.855225000002974</v>
      </c>
      <c r="V49">
        <f>U49/(2*N49*P49)</f>
        <v>4.7104930789213052E-2</v>
      </c>
      <c r="W49">
        <f>V49*16.02</f>
        <v>0.75462099124319304</v>
      </c>
    </row>
    <row r="50" spans="5:25" x14ac:dyDescent="0.2">
      <c r="J50">
        <v>1041.3068069999999</v>
      </c>
      <c r="K50">
        <v>-17493.598775999999</v>
      </c>
      <c r="L50">
        <v>77537.601987000002</v>
      </c>
      <c r="M50">
        <v>-1.241665</v>
      </c>
      <c r="N50">
        <v>30.795324000000001</v>
      </c>
      <c r="O50">
        <v>183.63664299999999</v>
      </c>
      <c r="P50">
        <v>13.711036999999999</v>
      </c>
      <c r="Q50">
        <v>2997</v>
      </c>
      <c r="R50">
        <v>827</v>
      </c>
      <c r="S50">
        <f>R50/(R50+Q50)</f>
        <v>0.21626569037656904</v>
      </c>
      <c r="T50">
        <f>-4.0498-2.4768*S50</f>
        <v>-4.5854468619246864</v>
      </c>
      <c r="U50">
        <f>K50-(SUM(Q50:R50)*T50)</f>
        <v>41.150024000002304</v>
      </c>
      <c r="V50">
        <f>U50/(2*N50*P50)</f>
        <v>4.8728721473902878E-2</v>
      </c>
      <c r="W50">
        <f>V50*16.02</f>
        <v>0.78063411801192406</v>
      </c>
    </row>
    <row r="51" spans="5:25" x14ac:dyDescent="0.2">
      <c r="W51" s="1">
        <f>AVERAGE(W46:W50)</f>
        <v>0.76937515839515103</v>
      </c>
      <c r="X51" s="1">
        <f>STDEV(W46:W50)</f>
        <v>6.7086284793727857E-2</v>
      </c>
      <c r="Y51" s="1"/>
    </row>
    <row r="52" spans="5:25" x14ac:dyDescent="0.2">
      <c r="E52" s="4"/>
      <c r="I52" t="s">
        <v>29</v>
      </c>
    </row>
    <row r="53" spans="5:25" x14ac:dyDescent="0.2">
      <c r="J53" t="s">
        <v>18</v>
      </c>
      <c r="K53" t="s">
        <v>5</v>
      </c>
      <c r="L53" t="s">
        <v>7</v>
      </c>
      <c r="M53" t="s">
        <v>19</v>
      </c>
      <c r="N53" t="s">
        <v>20</v>
      </c>
      <c r="O53" t="s">
        <v>21</v>
      </c>
      <c r="P53" t="s">
        <v>22</v>
      </c>
      <c r="Q53" t="s">
        <v>26</v>
      </c>
      <c r="R53" t="s">
        <v>12</v>
      </c>
      <c r="S53" t="s">
        <v>23</v>
      </c>
      <c r="T53" t="s">
        <v>23</v>
      </c>
      <c r="V53" s="33"/>
    </row>
    <row r="54" spans="5:25" x14ac:dyDescent="0.2">
      <c r="I54" t="s">
        <v>17</v>
      </c>
      <c r="J54">
        <v>1115.70416</v>
      </c>
      <c r="K54">
        <v>-30664.946614</v>
      </c>
      <c r="L54">
        <v>166881.733649</v>
      </c>
      <c r="M54">
        <v>-0.80584699999999998</v>
      </c>
      <c r="N54">
        <v>31.522383000000001</v>
      </c>
      <c r="O54">
        <v>187.766786</v>
      </c>
      <c r="P54">
        <v>28.194997000000001</v>
      </c>
      <c r="Q54">
        <f>$E$27</f>
        <v>-4.0371768887999995</v>
      </c>
      <c r="R54">
        <f>K54-7616*Q54</f>
        <v>82.192571100797068</v>
      </c>
      <c r="S54">
        <f>R54/(2*N54*P54)</f>
        <v>4.6239323992429027E-2</v>
      </c>
      <c r="T54">
        <f>S54*16.02</f>
        <v>0.74075397035871304</v>
      </c>
      <c r="W54" s="33"/>
      <c r="X54" s="33"/>
      <c r="Y54" s="33"/>
    </row>
    <row r="55" spans="5:25" x14ac:dyDescent="0.2">
      <c r="J55">
        <v>1115.5450719999999</v>
      </c>
      <c r="K55">
        <v>-30667.673766</v>
      </c>
      <c r="L55">
        <v>166908.307233</v>
      </c>
      <c r="M55">
        <v>-0.49970700000000001</v>
      </c>
      <c r="N55">
        <v>31.528869</v>
      </c>
      <c r="O55">
        <v>187.80948000000001</v>
      </c>
      <c r="P55">
        <v>28.187280000000001</v>
      </c>
      <c r="Q55">
        <f>$E$27</f>
        <v>-4.0371768887999995</v>
      </c>
      <c r="R55">
        <f>K55-7616*Q55</f>
        <v>79.46541910079759</v>
      </c>
      <c r="S55">
        <f>R55/(2*N55*P55)</f>
        <v>4.4708141921085083E-2</v>
      </c>
      <c r="T55">
        <f>S55*16.02</f>
        <v>0.71622443357578303</v>
      </c>
    </row>
    <row r="56" spans="5:25" x14ac:dyDescent="0.2">
      <c r="J56">
        <v>1115.509648</v>
      </c>
      <c r="K56">
        <v>-30671.785610999999</v>
      </c>
      <c r="L56">
        <v>166895.07858199999</v>
      </c>
      <c r="M56">
        <v>-0.50381299999999996</v>
      </c>
      <c r="N56">
        <v>31.518419000000002</v>
      </c>
      <c r="O56">
        <v>187.726484</v>
      </c>
      <c r="P56">
        <v>28.206838000000001</v>
      </c>
      <c r="Q56">
        <f>$E$27</f>
        <v>-4.0371768887999995</v>
      </c>
      <c r="R56">
        <f>K56-7616*Q56</f>
        <v>75.353574100798141</v>
      </c>
      <c r="S56">
        <f>R56/(2*N56*P56)</f>
        <v>4.2379422234418096E-2</v>
      </c>
      <c r="T56">
        <f>S56*16.02</f>
        <v>0.67891834419537789</v>
      </c>
    </row>
    <row r="57" spans="5:25" x14ac:dyDescent="0.2">
      <c r="J57">
        <v>1115.5860419999999</v>
      </c>
      <c r="K57">
        <v>-30672.381988000001</v>
      </c>
      <c r="L57">
        <v>166911.24876399999</v>
      </c>
      <c r="M57">
        <v>-0.66842199999999996</v>
      </c>
      <c r="N57">
        <v>31.520021</v>
      </c>
      <c r="O57">
        <v>187.653131</v>
      </c>
      <c r="P57">
        <v>28.219169000000001</v>
      </c>
      <c r="Q57">
        <f>$E$27</f>
        <v>-4.0371768887999995</v>
      </c>
      <c r="R57">
        <f>K57-7616*Q57</f>
        <v>74.757197100796475</v>
      </c>
      <c r="S57">
        <f>R57/(2*N57*P57)</f>
        <v>4.2023507257526453E-2</v>
      </c>
      <c r="T57">
        <f>S57*16.02</f>
        <v>0.67321658626557379</v>
      </c>
    </row>
    <row r="58" spans="5:25" x14ac:dyDescent="0.2">
      <c r="J58">
        <v>1115.3699790000001</v>
      </c>
      <c r="K58">
        <v>-30672.233534999999</v>
      </c>
      <c r="L58">
        <v>166903.891137</v>
      </c>
      <c r="M58">
        <v>-0.57413099999999995</v>
      </c>
      <c r="N58">
        <v>31.52618</v>
      </c>
      <c r="O58">
        <v>187.73568299999999</v>
      </c>
      <c r="P58">
        <v>28.2</v>
      </c>
      <c r="Q58">
        <f>$E$27</f>
        <v>-4.0371768887999995</v>
      </c>
      <c r="R58">
        <f>K58-7616*Q58</f>
        <v>74.905650100798084</v>
      </c>
      <c r="S58">
        <f>R58/(2*N58*P58)</f>
        <v>4.2127348238490285E-2</v>
      </c>
      <c r="T58">
        <f>S58*16.02</f>
        <v>0.67488011878061438</v>
      </c>
    </row>
    <row r="59" spans="5:25" x14ac:dyDescent="0.2">
      <c r="T59" s="1">
        <f>AVERAGE(T54:T58)</f>
        <v>0.69679869063521238</v>
      </c>
      <c r="U59" s="1">
        <f>STDEV(T54:T58)</f>
        <v>3.0272398037727882E-2</v>
      </c>
    </row>
    <row r="60" spans="5:25" x14ac:dyDescent="0.2">
      <c r="I60" t="s">
        <v>27</v>
      </c>
      <c r="J60">
        <v>1115.7822739999999</v>
      </c>
      <c r="K60">
        <v>-19342.484917000002</v>
      </c>
      <c r="L60">
        <v>105201.630045</v>
      </c>
      <c r="M60">
        <v>-0.99743099999999996</v>
      </c>
      <c r="N60">
        <v>33.453198999999998</v>
      </c>
      <c r="O60">
        <v>223.17783600000001</v>
      </c>
      <c r="P60">
        <v>14.090788</v>
      </c>
      <c r="Q60">
        <f>$E$27</f>
        <v>-4.0371768887999995</v>
      </c>
      <c r="R60">
        <f>K60-4800*Q60</f>
        <v>35.964149239996914</v>
      </c>
      <c r="S60">
        <f>R60/(2*N60*P60)</f>
        <v>3.8147568423094226E-2</v>
      </c>
      <c r="T60">
        <f>S60*16.02</f>
        <v>0.61112404613796945</v>
      </c>
    </row>
    <row r="61" spans="5:25" x14ac:dyDescent="0.2">
      <c r="J61">
        <v>1115.4731879999999</v>
      </c>
      <c r="K61">
        <v>-19340.303016000002</v>
      </c>
      <c r="L61">
        <v>105186.173503</v>
      </c>
      <c r="M61">
        <v>-1.1403719999999999</v>
      </c>
      <c r="N61">
        <v>33.475109000000003</v>
      </c>
      <c r="O61">
        <v>223.10983400000001</v>
      </c>
      <c r="P61">
        <v>14.083793</v>
      </c>
      <c r="Q61">
        <f>$E$27</f>
        <v>-4.0371768887999995</v>
      </c>
      <c r="R61">
        <f>K61-4800*Q61</f>
        <v>38.146050239996839</v>
      </c>
      <c r="S61">
        <f>R61/(2*N61*P61)</f>
        <v>4.0455534890313297E-2</v>
      </c>
      <c r="T61">
        <f>S61*16.02</f>
        <v>0.64809766894281895</v>
      </c>
    </row>
    <row r="62" spans="5:25" x14ac:dyDescent="0.2">
      <c r="J62">
        <v>1115.6273630000001</v>
      </c>
      <c r="K62">
        <v>-19340.585997999999</v>
      </c>
      <c r="L62">
        <v>105186.45684499999</v>
      </c>
      <c r="M62">
        <v>-1.166388</v>
      </c>
      <c r="N62">
        <v>33.449038000000002</v>
      </c>
      <c r="O62">
        <v>223.03159400000001</v>
      </c>
      <c r="P62">
        <v>14.099755</v>
      </c>
      <c r="Q62">
        <f>$E$27</f>
        <v>-4.0371768887999995</v>
      </c>
      <c r="R62">
        <f>K62-4800*Q62</f>
        <v>37.863068239999848</v>
      </c>
      <c r="S62">
        <f>R62/(2*N62*P62)</f>
        <v>4.0141223932182314E-2</v>
      </c>
      <c r="T62">
        <f>S62*16.02</f>
        <v>0.64306240739356069</v>
      </c>
    </row>
    <row r="63" spans="5:25" x14ac:dyDescent="0.2">
      <c r="J63">
        <v>1115.754964</v>
      </c>
      <c r="K63">
        <v>-19343.654372000001</v>
      </c>
      <c r="L63">
        <v>105202.52963800001</v>
      </c>
      <c r="M63">
        <v>-1.1197250000000001</v>
      </c>
      <c r="N63">
        <v>33.452398000000002</v>
      </c>
      <c r="O63">
        <v>222.979107</v>
      </c>
      <c r="P63">
        <v>14.103811</v>
      </c>
      <c r="Q63">
        <f>$E$27</f>
        <v>-4.0371768887999995</v>
      </c>
      <c r="R63">
        <f>K63-4800*Q63</f>
        <v>34.794694239997625</v>
      </c>
      <c r="S63">
        <f>R63/(2*N63*P63)</f>
        <v>3.6873918726761219E-2</v>
      </c>
      <c r="T63">
        <f>S63*16.02</f>
        <v>0.5907201780027147</v>
      </c>
    </row>
    <row r="64" spans="5:25" x14ac:dyDescent="0.2">
      <c r="J64">
        <v>1115.713798</v>
      </c>
      <c r="K64">
        <v>-19340.482247</v>
      </c>
      <c r="L64">
        <v>105202.58160200001</v>
      </c>
      <c r="M64">
        <v>-1.0538449999999999</v>
      </c>
      <c r="N64">
        <v>33.451256000000001</v>
      </c>
      <c r="O64">
        <v>223.04407</v>
      </c>
      <c r="P64">
        <v>14.100206</v>
      </c>
      <c r="Q64">
        <f>$E$27</f>
        <v>-4.0371768887999995</v>
      </c>
      <c r="R64">
        <f>K64-4800*Q64</f>
        <v>37.966819239998586</v>
      </c>
      <c r="S64">
        <f>R64/(2*N64*P64)</f>
        <v>4.0247261213170613E-2</v>
      </c>
      <c r="T64">
        <f>S64*16.02</f>
        <v>0.64476112463499324</v>
      </c>
    </row>
    <row r="65" spans="9:40" x14ac:dyDescent="0.2">
      <c r="T65" s="1">
        <f>AVERAGE(T60:T64)</f>
        <v>0.62755308502241136</v>
      </c>
      <c r="U65" s="1">
        <f>STDEV(T60:T64)</f>
        <v>2.5422981701460658E-2</v>
      </c>
    </row>
    <row r="66" spans="9:40" x14ac:dyDescent="0.2">
      <c r="I66" t="s">
        <v>28</v>
      </c>
      <c r="J66">
        <v>1115.589078</v>
      </c>
      <c r="K66">
        <v>-29970.915188999999</v>
      </c>
      <c r="L66">
        <v>163034.47420900001</v>
      </c>
      <c r="M66">
        <v>-0.68851799999999996</v>
      </c>
      <c r="N66">
        <v>35.942357999999999</v>
      </c>
      <c r="O66">
        <v>214.45572000000001</v>
      </c>
      <c r="P66">
        <v>21.151274999999998</v>
      </c>
      <c r="Q66">
        <f>$E$27</f>
        <v>-4.0371768887999995</v>
      </c>
      <c r="R66">
        <f>K66-7440*Q66</f>
        <v>65.68086367199794</v>
      </c>
      <c r="S66">
        <f>R66/(2*N66*P66)</f>
        <v>4.3198209051954005E-2</v>
      </c>
      <c r="T66">
        <f>S66*16.02</f>
        <v>0.69203530901230315</v>
      </c>
    </row>
    <row r="67" spans="9:40" x14ac:dyDescent="0.2">
      <c r="J67">
        <v>1115.4894340000001</v>
      </c>
      <c r="K67">
        <v>-29976.775108000002</v>
      </c>
      <c r="L67">
        <v>163054.15835000001</v>
      </c>
      <c r="M67">
        <v>-0.58953599999999995</v>
      </c>
      <c r="N67">
        <v>35.965260999999998</v>
      </c>
      <c r="O67">
        <v>214.519667</v>
      </c>
      <c r="P67">
        <v>21.134052000000001</v>
      </c>
      <c r="Q67">
        <f>$E$27</f>
        <v>-4.0371768887999995</v>
      </c>
      <c r="R67">
        <f>K67-7440*Q67</f>
        <v>59.820944671995676</v>
      </c>
      <c r="S67">
        <f>R67/(2*N67*P67)</f>
        <v>3.9351136825738577E-2</v>
      </c>
      <c r="T67">
        <f>S67*16.02</f>
        <v>0.63040521194833199</v>
      </c>
    </row>
    <row r="68" spans="9:40" x14ac:dyDescent="0.2">
      <c r="J68">
        <v>1115.5268739999999</v>
      </c>
      <c r="K68">
        <v>-29968.029726000001</v>
      </c>
      <c r="L68">
        <v>163030.303697</v>
      </c>
      <c r="M68">
        <v>-0.62392199999999998</v>
      </c>
      <c r="N68">
        <v>35.956659999999999</v>
      </c>
      <c r="O68">
        <v>214.44527600000001</v>
      </c>
      <c r="P68">
        <v>21.143360000000001</v>
      </c>
      <c r="Q68">
        <f>$E$27</f>
        <v>-4.0371768887999995</v>
      </c>
      <c r="R68">
        <f>K68-7440*Q68</f>
        <v>68.566326671996649</v>
      </c>
      <c r="S68">
        <f>R68/(2*N68*P68)</f>
        <v>4.5094911598665813E-2</v>
      </c>
      <c r="T68">
        <f>S68*16.02</f>
        <v>0.72242048381062629</v>
      </c>
    </row>
    <row r="69" spans="9:40" x14ac:dyDescent="0.2">
      <c r="J69">
        <v>1115.422472</v>
      </c>
      <c r="K69">
        <v>-29982.020355000001</v>
      </c>
      <c r="L69">
        <v>162998.35166499999</v>
      </c>
      <c r="M69">
        <v>-0.83074400000000004</v>
      </c>
      <c r="N69">
        <v>35.965007999999997</v>
      </c>
      <c r="O69">
        <v>214.379762</v>
      </c>
      <c r="P69">
        <v>21.140754999999999</v>
      </c>
      <c r="Q69">
        <f>$E$27</f>
        <v>-4.0371768887999995</v>
      </c>
      <c r="R69">
        <f>K69-7440*Q69</f>
        <v>54.57569767199675</v>
      </c>
      <c r="S69">
        <f>R69/(2*N69*P69)</f>
        <v>3.5889602322982279E-2</v>
      </c>
      <c r="T69">
        <f>S69*16.02</f>
        <v>0.57495142921417608</v>
      </c>
    </row>
    <row r="70" spans="9:40" x14ac:dyDescent="0.2">
      <c r="J70">
        <v>1115.469333</v>
      </c>
      <c r="K70">
        <v>-29970.853429999999</v>
      </c>
      <c r="L70">
        <v>163024.69965200001</v>
      </c>
      <c r="M70">
        <v>-0.80676400000000004</v>
      </c>
      <c r="N70">
        <v>35.954737999999999</v>
      </c>
      <c r="O70">
        <v>214.34487999999999</v>
      </c>
      <c r="P70">
        <v>21.153659000000001</v>
      </c>
      <c r="Q70">
        <f>$E$27</f>
        <v>-4.0371768887999995</v>
      </c>
      <c r="R70">
        <f>K70-7440*Q70</f>
        <v>65.742622671998106</v>
      </c>
      <c r="S70">
        <f>R70/(2*N70*P70)</f>
        <v>4.3219068483508698E-2</v>
      </c>
      <c r="T70">
        <f>S70*16.02</f>
        <v>0.69236947710580932</v>
      </c>
    </row>
    <row r="71" spans="9:40" x14ac:dyDescent="0.2">
      <c r="T71" s="1">
        <f>AVERAGE(T66:T70)</f>
        <v>0.66243638221824941</v>
      </c>
      <c r="U71" s="1">
        <f>STDEV(T66:T70)</f>
        <v>5.9265909154710028E-2</v>
      </c>
    </row>
    <row r="72" spans="9:40" x14ac:dyDescent="0.2">
      <c r="I72" t="s">
        <v>55</v>
      </c>
      <c r="J72">
        <v>1041.0630920000001</v>
      </c>
      <c r="K72">
        <v>-15723.314668999999</v>
      </c>
      <c r="L72">
        <v>85508.769553000006</v>
      </c>
      <c r="M72">
        <v>-1.1243380000000001</v>
      </c>
      <c r="N72">
        <v>31.886426</v>
      </c>
      <c r="O72">
        <v>189.98334500000001</v>
      </c>
      <c r="P72">
        <v>14.115377000000001</v>
      </c>
      <c r="Q72">
        <f>$E$27</f>
        <v>-4.0371768887999995</v>
      </c>
      <c r="R72">
        <f>K72-3904*Q72</f>
        <v>37.823904875198423</v>
      </c>
      <c r="S72">
        <f>R72/(2*N72*P72)</f>
        <v>4.2018257775094187E-2</v>
      </c>
      <c r="T72">
        <f>S72*16.02</f>
        <v>0.67313248955700888</v>
      </c>
    </row>
    <row r="73" spans="9:40" x14ac:dyDescent="0.2">
      <c r="J73">
        <v>1041.2163310000001</v>
      </c>
      <c r="K73">
        <v>-15728.783449</v>
      </c>
      <c r="L73">
        <v>85485.308374999993</v>
      </c>
      <c r="M73">
        <v>-1.287595</v>
      </c>
      <c r="N73">
        <v>31.910124</v>
      </c>
      <c r="O73">
        <v>189.739375</v>
      </c>
      <c r="P73">
        <v>14.119146000000001</v>
      </c>
      <c r="Q73">
        <f>$E$27</f>
        <v>-4.0371768887999995</v>
      </c>
      <c r="R73">
        <f>K73-3904*Q73</f>
        <v>32.355124875197362</v>
      </c>
      <c r="S73">
        <f>R73/(2*N73*P73)</f>
        <v>3.5906755439565168E-2</v>
      </c>
      <c r="T73">
        <f>S73*16.02</f>
        <v>0.57522622214183394</v>
      </c>
    </row>
    <row r="74" spans="9:40" ht="17" thickBot="1" x14ac:dyDescent="0.25">
      <c r="J74">
        <v>1041.234271</v>
      </c>
      <c r="K74">
        <v>-15720.854461999999</v>
      </c>
      <c r="L74">
        <v>85510.334275000001</v>
      </c>
      <c r="M74">
        <v>-1.1351599999999999</v>
      </c>
      <c r="N74">
        <v>31.893789000000002</v>
      </c>
      <c r="O74">
        <v>189.95808700000001</v>
      </c>
      <c r="P74">
        <v>14.114242000000001</v>
      </c>
      <c r="Q74">
        <f>$E$27</f>
        <v>-4.0371768887999995</v>
      </c>
      <c r="R74">
        <f>K74-3904*Q74</f>
        <v>40.284111875198505</v>
      </c>
      <c r="S74">
        <f>R74/(2*N74*P74)</f>
        <v>4.4744547610841283E-2</v>
      </c>
      <c r="T74">
        <f>S74*16.02</f>
        <v>0.71680765272567737</v>
      </c>
    </row>
    <row r="75" spans="9:40" x14ac:dyDescent="0.2">
      <c r="J75">
        <v>1041.259499</v>
      </c>
      <c r="K75">
        <v>-15727.947168000001</v>
      </c>
      <c r="L75">
        <v>85498.587304999994</v>
      </c>
      <c r="M75">
        <v>-1.2138059999999999</v>
      </c>
      <c r="N75">
        <v>31.90183</v>
      </c>
      <c r="O75">
        <v>189.81993</v>
      </c>
      <c r="P75">
        <v>14.119007</v>
      </c>
      <c r="Q75">
        <f>$E$27</f>
        <v>-4.0371768887999995</v>
      </c>
      <c r="R75">
        <f>K75-3904*Q75</f>
        <v>33.191405875197233</v>
      </c>
      <c r="S75">
        <f>R75/(2*N75*P75)</f>
        <v>3.6844774461591158E-2</v>
      </c>
      <c r="T75">
        <f>S75*16.02</f>
        <v>0.59025328687469036</v>
      </c>
      <c r="AA75" s="6" t="s">
        <v>69</v>
      </c>
      <c r="AB75" s="7" t="s">
        <v>32</v>
      </c>
      <c r="AC75" s="7" t="s">
        <v>72</v>
      </c>
      <c r="AD75" s="7" t="s">
        <v>73</v>
      </c>
      <c r="AE75" s="7" t="s">
        <v>29</v>
      </c>
      <c r="AF75" s="8" t="s">
        <v>30</v>
      </c>
    </row>
    <row r="76" spans="9:40" x14ac:dyDescent="0.2">
      <c r="J76">
        <v>1041.165986</v>
      </c>
      <c r="K76">
        <v>-15725.82214</v>
      </c>
      <c r="L76">
        <v>85488.931989999997</v>
      </c>
      <c r="M76">
        <v>-1.1594359999999999</v>
      </c>
      <c r="N76">
        <v>31.896685999999999</v>
      </c>
      <c r="O76">
        <v>189.87169900000001</v>
      </c>
      <c r="P76">
        <v>14.115867</v>
      </c>
      <c r="Q76">
        <f>$E$27</f>
        <v>-4.0371768887999995</v>
      </c>
      <c r="R76">
        <f>K76-3904*Q76</f>
        <v>35.316433875197617</v>
      </c>
      <c r="S76">
        <f>R76/(2*N76*P76)</f>
        <v>3.9218748158702729E-2</v>
      </c>
      <c r="T76">
        <f>S76*16.02</f>
        <v>0.62828434550241774</v>
      </c>
      <c r="AA76" s="9" t="s">
        <v>17</v>
      </c>
      <c r="AB76" s="17">
        <v>1.6581960805676403</v>
      </c>
      <c r="AC76" s="17">
        <v>1.4904017300742587</v>
      </c>
      <c r="AD76" s="17">
        <v>1.796570468585879</v>
      </c>
      <c r="AE76" s="17">
        <v>1.3123225079497538</v>
      </c>
      <c r="AF76" s="21">
        <v>4.8393300006629412</v>
      </c>
      <c r="AG76" s="1"/>
      <c r="AH76">
        <f t="shared" ref="AH76:AH81" si="7">AF76/AE76</f>
        <v>3.6876072545790928</v>
      </c>
      <c r="AK76" t="s">
        <v>73</v>
      </c>
      <c r="AL76">
        <v>800</v>
      </c>
      <c r="AM76">
        <v>1000</v>
      </c>
      <c r="AN76">
        <v>1200</v>
      </c>
    </row>
    <row r="77" spans="9:40" x14ac:dyDescent="0.2">
      <c r="T77" s="1">
        <f>AVERAGE(T72:T76)</f>
        <v>0.63674079936032568</v>
      </c>
      <c r="U77" s="1">
        <f>STDEV(T72:T76)</f>
        <v>5.8633820791678982E-2</v>
      </c>
      <c r="X77" t="s">
        <v>145</v>
      </c>
      <c r="AA77" s="9" t="s">
        <v>27</v>
      </c>
      <c r="AB77" s="17">
        <v>1.7108313110528901</v>
      </c>
      <c r="AC77" s="17">
        <v>1.5414063194245986</v>
      </c>
      <c r="AD77" s="17">
        <v>1.8443734529226461</v>
      </c>
      <c r="AE77" s="17">
        <v>1.4054753903948574</v>
      </c>
      <c r="AF77" s="21">
        <v>4.9045824192571121</v>
      </c>
      <c r="AG77" s="1"/>
      <c r="AH77">
        <f t="shared" si="7"/>
        <v>3.4896252561769923</v>
      </c>
      <c r="AK77" t="s">
        <v>17</v>
      </c>
      <c r="AL77" s="1">
        <v>1.7208953434775425</v>
      </c>
      <c r="AM77" s="1">
        <v>1.749294771304005</v>
      </c>
      <c r="AN77" s="1">
        <v>1.796570468585879</v>
      </c>
    </row>
    <row r="78" spans="9:40" x14ac:dyDescent="0.2">
      <c r="I78" t="s">
        <v>110</v>
      </c>
      <c r="J78">
        <v>1041.173544</v>
      </c>
      <c r="K78">
        <v>-15391.647557</v>
      </c>
      <c r="L78">
        <v>83782.467692999999</v>
      </c>
      <c r="M78">
        <v>-1.340017</v>
      </c>
      <c r="N78">
        <v>31.603787000000001</v>
      </c>
      <c r="O78">
        <v>187.79817299999999</v>
      </c>
      <c r="P78">
        <v>14.116434999999999</v>
      </c>
      <c r="Q78">
        <f t="shared" ref="Q78:Q112" si="8">$E$27</f>
        <v>-4.0371768887999995</v>
      </c>
      <c r="R78">
        <f>K78-3824*Q78</f>
        <v>46.516865771198354</v>
      </c>
      <c r="S78">
        <f t="shared" ref="S78:S112" si="9">R78/(2*N78*P78)</f>
        <v>5.2133428943341956E-2</v>
      </c>
      <c r="T78">
        <f t="shared" ref="T78:T112" si="10">S78*16.02</f>
        <v>0.8351775316723381</v>
      </c>
      <c r="X78" s="1">
        <v>3.0272398037727882E-2</v>
      </c>
      <c r="AA78" s="9" t="s">
        <v>28</v>
      </c>
      <c r="AB78" s="17">
        <v>1.6867636361711278</v>
      </c>
      <c r="AC78" s="17">
        <v>1.4949747194061678</v>
      </c>
      <c r="AD78" s="17">
        <v>1.853831327876001</v>
      </c>
      <c r="AE78" s="17">
        <v>1.3718581682805524</v>
      </c>
      <c r="AF78" s="21">
        <v>4.9678962319767086</v>
      </c>
      <c r="AG78" s="1"/>
      <c r="AH78">
        <f t="shared" si="7"/>
        <v>3.6212899750440872</v>
      </c>
      <c r="AK78" t="s">
        <v>27</v>
      </c>
      <c r="AL78" s="1">
        <v>1.78276116206738</v>
      </c>
      <c r="AM78" s="1">
        <v>1.8061851912323994</v>
      </c>
      <c r="AN78" s="1">
        <v>1.8443734529226461</v>
      </c>
    </row>
    <row r="79" spans="9:40" x14ac:dyDescent="0.2">
      <c r="J79">
        <v>1041.169911</v>
      </c>
      <c r="K79">
        <v>-15393.39964</v>
      </c>
      <c r="L79">
        <v>83783.173932000005</v>
      </c>
      <c r="M79">
        <v>-1.26918</v>
      </c>
      <c r="N79">
        <v>31.598844</v>
      </c>
      <c r="O79">
        <v>187.95507599999999</v>
      </c>
      <c r="P79">
        <v>14.106971</v>
      </c>
      <c r="Q79">
        <f t="shared" si="8"/>
        <v>-4.0371768887999995</v>
      </c>
      <c r="R79">
        <f>K79-3824*Q79</f>
        <v>44.764782771198952</v>
      </c>
      <c r="S79">
        <f t="shared" si="9"/>
        <v>5.0211305968196118E-2</v>
      </c>
      <c r="T79">
        <f t="shared" si="10"/>
        <v>0.8043851216105018</v>
      </c>
      <c r="X79" s="1">
        <v>2.5422981701460658E-2</v>
      </c>
      <c r="AA79" s="9">
        <v>100</v>
      </c>
      <c r="AB79" s="17">
        <v>1.6911314887609048</v>
      </c>
      <c r="AC79" s="17">
        <v>1.4856511459398227</v>
      </c>
      <c r="AD79" s="17">
        <v>1.808506078989484</v>
      </c>
      <c r="AE79" s="17">
        <v>1.4710324200061364</v>
      </c>
      <c r="AF79" s="21">
        <v>5.0280277923367809</v>
      </c>
      <c r="AG79" s="1"/>
      <c r="AH79">
        <f t="shared" si="7"/>
        <v>3.418026498910069</v>
      </c>
      <c r="AK79" t="s">
        <v>28</v>
      </c>
      <c r="AL79" s="1">
        <v>1.7710338342393981</v>
      </c>
      <c r="AM79" s="1">
        <v>1.7947230067554127</v>
      </c>
      <c r="AN79" s="1">
        <v>1.853831327876001</v>
      </c>
    </row>
    <row r="80" spans="9:40" x14ac:dyDescent="0.2">
      <c r="J80">
        <v>1041.1132030000001</v>
      </c>
      <c r="K80">
        <v>-15379.296935</v>
      </c>
      <c r="L80">
        <v>83816.332232999994</v>
      </c>
      <c r="M80">
        <v>-1.2888489999999999</v>
      </c>
      <c r="N80">
        <v>31.610987999999999</v>
      </c>
      <c r="O80">
        <v>187.98293899999999</v>
      </c>
      <c r="P80">
        <v>14.105058</v>
      </c>
      <c r="Q80">
        <f t="shared" si="8"/>
        <v>-4.0371768887999995</v>
      </c>
      <c r="R80">
        <f>K80-3824*Q80</f>
        <v>58.867487771198284</v>
      </c>
      <c r="S80">
        <f t="shared" si="9"/>
        <v>6.6013469744508474E-2</v>
      </c>
      <c r="T80">
        <f t="shared" si="10"/>
        <v>1.0575357853070257</v>
      </c>
      <c r="X80" s="1">
        <v>5.9265909154710028E-2</v>
      </c>
      <c r="AA80" s="9">
        <v>110</v>
      </c>
      <c r="AB80" s="17">
        <v>1.4371460178335993</v>
      </c>
      <c r="AC80" s="17">
        <v>1.2764058514230894</v>
      </c>
      <c r="AD80" s="17">
        <v>1.5867656309211764</v>
      </c>
      <c r="AE80" s="17">
        <v>1.1585881257158659</v>
      </c>
      <c r="AF80" s="21">
        <v>4.6067631578378423</v>
      </c>
      <c r="AG80" s="1"/>
      <c r="AH80">
        <f t="shared" si="7"/>
        <v>3.9761870984060237</v>
      </c>
      <c r="AK80">
        <v>100</v>
      </c>
      <c r="AL80" s="1">
        <v>1.7343135328665802</v>
      </c>
      <c r="AM80" s="1">
        <v>1.7529634527829039</v>
      </c>
      <c r="AN80" s="1">
        <v>1.808506078989484</v>
      </c>
    </row>
    <row r="81" spans="9:48" ht="17" thickBot="1" x14ac:dyDescent="0.25">
      <c r="J81">
        <v>1041.1289710000001</v>
      </c>
      <c r="K81">
        <v>-15386.804081</v>
      </c>
      <c r="L81">
        <v>83796.284753</v>
      </c>
      <c r="M81">
        <v>-1.185778</v>
      </c>
      <c r="N81">
        <v>31.586013999999999</v>
      </c>
      <c r="O81">
        <v>187.943534</v>
      </c>
      <c r="P81">
        <v>14.115790000000001</v>
      </c>
      <c r="Q81">
        <f t="shared" si="8"/>
        <v>-4.0371768887999995</v>
      </c>
      <c r="R81">
        <f>K81-3824*Q81</f>
        <v>51.360341771198364</v>
      </c>
      <c r="S81">
        <f t="shared" si="9"/>
        <v>5.759673923273121E-2</v>
      </c>
      <c r="T81">
        <f t="shared" si="10"/>
        <v>0.92269976250835395</v>
      </c>
      <c r="X81" s="1">
        <v>5.8633820791678982E-2</v>
      </c>
      <c r="AA81" s="13">
        <v>111</v>
      </c>
      <c r="AB81" s="19">
        <v>1.7373124077172879</v>
      </c>
      <c r="AC81" s="19">
        <v>1.5499752456935476</v>
      </c>
      <c r="AD81" s="19">
        <v>1.8759862010967201</v>
      </c>
      <c r="AE81" s="19">
        <v>1.4301299924612976</v>
      </c>
      <c r="AF81" s="22">
        <v>5.0108852605579326</v>
      </c>
      <c r="AG81" s="1"/>
      <c r="AH81">
        <f t="shared" si="7"/>
        <v>3.503797058289817</v>
      </c>
      <c r="AK81">
        <v>110</v>
      </c>
      <c r="AL81" s="1">
        <v>1.5151129892187154</v>
      </c>
      <c r="AM81" s="1">
        <v>1.5416771362066366</v>
      </c>
      <c r="AN81" s="1">
        <v>1.5867656309211764</v>
      </c>
    </row>
    <row r="82" spans="9:48" x14ac:dyDescent="0.2">
      <c r="J82">
        <v>1041.3743649999999</v>
      </c>
      <c r="K82">
        <v>-15389.241646</v>
      </c>
      <c r="L82">
        <v>83796.983657999997</v>
      </c>
      <c r="M82">
        <v>-1.2481089999999999</v>
      </c>
      <c r="N82">
        <v>31.602477</v>
      </c>
      <c r="O82">
        <v>187.956492</v>
      </c>
      <c r="P82">
        <v>14.10758</v>
      </c>
      <c r="Q82">
        <f t="shared" si="8"/>
        <v>-4.0371768887999995</v>
      </c>
      <c r="R82">
        <f>K82-3824*Q82</f>
        <v>48.922776771198187</v>
      </c>
      <c r="S82">
        <f t="shared" si="9"/>
        <v>5.486652534912393E-2</v>
      </c>
      <c r="T82">
        <f t="shared" si="10"/>
        <v>0.87896173609296535</v>
      </c>
      <c r="U82" s="1">
        <f>AVERAGE(T78:T82)</f>
        <v>0.89975198743823692</v>
      </c>
      <c r="V82">
        <f>STDEV(T78:T82)</f>
        <v>9.889294873350972E-2</v>
      </c>
      <c r="X82">
        <v>7.9971045282579784E-2</v>
      </c>
      <c r="AK82">
        <v>111</v>
      </c>
      <c r="AL82" s="1">
        <v>1.8102461152713922</v>
      </c>
      <c r="AM82" s="1">
        <v>1.8291206738667984</v>
      </c>
      <c r="AN82" s="1">
        <v>1.8759862010967201</v>
      </c>
    </row>
    <row r="83" spans="9:48" ht="17" thickBot="1" x14ac:dyDescent="0.25">
      <c r="I83" t="s">
        <v>133</v>
      </c>
      <c r="J83">
        <v>1116.0327569999999</v>
      </c>
      <c r="K83">
        <v>-12755.667300999999</v>
      </c>
      <c r="L83">
        <v>69419.529225000006</v>
      </c>
      <c r="M83">
        <v>-1.7031449999999999</v>
      </c>
      <c r="N83">
        <v>24.939041</v>
      </c>
      <c r="O83">
        <v>197.32921899999999</v>
      </c>
      <c r="P83">
        <v>14.106336000000001</v>
      </c>
      <c r="Q83">
        <f t="shared" si="8"/>
        <v>-4.0371768887999995</v>
      </c>
      <c r="R83">
        <f>K83-3168*Q83</f>
        <v>34.109082718397985</v>
      </c>
      <c r="S83">
        <f t="shared" si="9"/>
        <v>4.8478153697722161E-2</v>
      </c>
      <c r="T83">
        <f t="shared" si="10"/>
        <v>0.77662002223750903</v>
      </c>
      <c r="X83">
        <v>6.6925565718823785E-2</v>
      </c>
    </row>
    <row r="84" spans="9:48" x14ac:dyDescent="0.2">
      <c r="J84">
        <v>1115.731348</v>
      </c>
      <c r="K84">
        <v>-12762.669516</v>
      </c>
      <c r="L84">
        <v>69421.866009999998</v>
      </c>
      <c r="M84">
        <v>-1.731749</v>
      </c>
      <c r="N84">
        <v>24.931339000000001</v>
      </c>
      <c r="O84">
        <v>197.39916600000001</v>
      </c>
      <c r="P84">
        <v>14.10615</v>
      </c>
      <c r="Q84">
        <f t="shared" si="8"/>
        <v>-4.0371768887999995</v>
      </c>
      <c r="R84">
        <f>K84-3168*Q84</f>
        <v>27.106867718397552</v>
      </c>
      <c r="S84">
        <f t="shared" si="9"/>
        <v>3.8538538343276363E-2</v>
      </c>
      <c r="T84">
        <f t="shared" si="10"/>
        <v>0.6173873842592873</v>
      </c>
      <c r="X84">
        <v>0.10483246595453745</v>
      </c>
      <c r="AA84" s="6" t="s">
        <v>34</v>
      </c>
      <c r="AB84" s="7" t="s">
        <v>32</v>
      </c>
      <c r="AC84" s="7" t="s">
        <v>72</v>
      </c>
      <c r="AD84" s="7" t="s">
        <v>73</v>
      </c>
      <c r="AE84" s="7" t="s">
        <v>29</v>
      </c>
      <c r="AF84" s="8" t="s">
        <v>30</v>
      </c>
      <c r="AK84" t="s">
        <v>72</v>
      </c>
      <c r="AL84">
        <v>800</v>
      </c>
      <c r="AM84">
        <v>1000</v>
      </c>
      <c r="AN84">
        <v>1200</v>
      </c>
    </row>
    <row r="85" spans="9:48" x14ac:dyDescent="0.2">
      <c r="J85">
        <v>1115.8971879999999</v>
      </c>
      <c r="K85">
        <v>-12763.752705999999</v>
      </c>
      <c r="L85">
        <v>69424.029259000003</v>
      </c>
      <c r="M85">
        <v>-1.5372669999999999</v>
      </c>
      <c r="N85">
        <v>24.955590000000001</v>
      </c>
      <c r="O85">
        <v>197.222264</v>
      </c>
      <c r="P85">
        <v>14.105516</v>
      </c>
      <c r="Q85">
        <f t="shared" si="8"/>
        <v>-4.0371768887999995</v>
      </c>
      <c r="R85">
        <f>K85-3168*Q85</f>
        <v>26.023677718398176</v>
      </c>
      <c r="S85">
        <f t="shared" si="9"/>
        <v>3.6964246392508324E-2</v>
      </c>
      <c r="T85">
        <f t="shared" si="10"/>
        <v>0.59216722720798332</v>
      </c>
      <c r="X85">
        <v>5.4883094504106861E-2</v>
      </c>
      <c r="AA85" s="9" t="s">
        <v>17</v>
      </c>
      <c r="AB85" s="17">
        <v>1.5786790405602635</v>
      </c>
      <c r="AC85" s="17">
        <v>1.3953963821522279</v>
      </c>
      <c r="AD85" s="17">
        <v>1.749294771304005</v>
      </c>
      <c r="AE85" s="17">
        <v>1.2383491451758224</v>
      </c>
      <c r="AF85" s="21">
        <v>4.7809255882189472</v>
      </c>
      <c r="AH85">
        <f t="shared" ref="AH85:AH90" si="11">AF85/AE85</f>
        <v>3.8607250684056034</v>
      </c>
      <c r="AK85" t="s">
        <v>17</v>
      </c>
      <c r="AL85" s="1">
        <v>1.3551293018678674</v>
      </c>
      <c r="AM85" s="1">
        <v>1.3953963821522279</v>
      </c>
      <c r="AN85" s="1">
        <v>1.4904017300742587</v>
      </c>
    </row>
    <row r="86" spans="9:48" x14ac:dyDescent="0.2">
      <c r="J86">
        <v>1115.6323829999999</v>
      </c>
      <c r="K86">
        <v>-12762.91258</v>
      </c>
      <c r="L86">
        <v>69427.264217999997</v>
      </c>
      <c r="M86">
        <v>-1.7965629999999999</v>
      </c>
      <c r="N86">
        <v>24.946915000000001</v>
      </c>
      <c r="O86">
        <v>197.33348000000001</v>
      </c>
      <c r="P86">
        <v>14.103127000000001</v>
      </c>
      <c r="Q86">
        <f t="shared" si="8"/>
        <v>-4.0371768887999995</v>
      </c>
      <c r="R86">
        <f>K86-3168*Q86</f>
        <v>26.863803718397321</v>
      </c>
      <c r="S86">
        <f t="shared" si="9"/>
        <v>3.8177303092022184E-2</v>
      </c>
      <c r="T86">
        <f t="shared" si="10"/>
        <v>0.61160039553419543</v>
      </c>
      <c r="X86">
        <v>6.2193801415893687E-2</v>
      </c>
      <c r="AA86" s="9" t="s">
        <v>27</v>
      </c>
      <c r="AB86" s="17">
        <v>1.6291617569961918</v>
      </c>
      <c r="AC86" s="17">
        <v>1.4347956274039948</v>
      </c>
      <c r="AD86" s="17">
        <v>1.8061851912323994</v>
      </c>
      <c r="AE86" s="17">
        <v>1.2661057820168231</v>
      </c>
      <c r="AF86" s="21">
        <v>4.8438640596663927</v>
      </c>
      <c r="AH86">
        <f t="shared" si="11"/>
        <v>3.8257972820805195</v>
      </c>
      <c r="AK86" t="s">
        <v>27</v>
      </c>
      <c r="AL86" s="1">
        <v>1.3993741155229351</v>
      </c>
      <c r="AM86" s="1">
        <v>1.4347956274039948</v>
      </c>
      <c r="AN86" s="1">
        <v>1.5414063194245986</v>
      </c>
    </row>
    <row r="87" spans="9:48" x14ac:dyDescent="0.2">
      <c r="J87">
        <v>1115.6050270000001</v>
      </c>
      <c r="K87">
        <v>-12764.216521</v>
      </c>
      <c r="L87">
        <v>69418.718020999993</v>
      </c>
      <c r="M87">
        <v>-1.401675</v>
      </c>
      <c r="N87">
        <v>24.931039999999999</v>
      </c>
      <c r="O87">
        <v>197.24945600000001</v>
      </c>
      <c r="P87">
        <v>14.116394</v>
      </c>
      <c r="Q87">
        <f t="shared" si="8"/>
        <v>-4.0371768887999995</v>
      </c>
      <c r="R87">
        <f>K87-3168*Q87</f>
        <v>25.559862718397198</v>
      </c>
      <c r="S87">
        <f t="shared" si="9"/>
        <v>3.6313186017315292E-2</v>
      </c>
      <c r="T87">
        <f t="shared" si="10"/>
        <v>0.58173723999739102</v>
      </c>
      <c r="U87" s="1">
        <f>AVERAGE(T83:T87)</f>
        <v>0.63590245384727329</v>
      </c>
      <c r="V87">
        <f>STDEV(T83:T87)</f>
        <v>7.9971045282579784E-2</v>
      </c>
      <c r="X87">
        <v>7.3007140757580136E-2</v>
      </c>
      <c r="AA87" s="9" t="s">
        <v>28</v>
      </c>
      <c r="AB87" s="17">
        <v>1.6381693528636905</v>
      </c>
      <c r="AC87" s="17">
        <v>1.428170538221702</v>
      </c>
      <c r="AD87" s="17">
        <v>1.7947230067554127</v>
      </c>
      <c r="AE87" s="17">
        <v>1.2851510516876756</v>
      </c>
      <c r="AF87" s="21">
        <v>4.8884868144795872</v>
      </c>
      <c r="AH87">
        <f t="shared" si="11"/>
        <v>3.8038227553562427</v>
      </c>
      <c r="AK87" t="s">
        <v>28</v>
      </c>
      <c r="AL87" s="1">
        <v>1.396585815337831</v>
      </c>
      <c r="AM87" s="1">
        <v>1.428170538221702</v>
      </c>
      <c r="AN87" s="1">
        <v>1.4949747194061678</v>
      </c>
    </row>
    <row r="88" spans="9:48" x14ac:dyDescent="0.2">
      <c r="I88" t="s">
        <v>134</v>
      </c>
      <c r="J88">
        <v>1115.521025</v>
      </c>
      <c r="K88">
        <v>-13014.865599000001</v>
      </c>
      <c r="L88">
        <v>70855.342378000001</v>
      </c>
      <c r="M88">
        <v>-1.701373</v>
      </c>
      <c r="N88">
        <v>29.063856000000001</v>
      </c>
      <c r="O88">
        <v>172.873052</v>
      </c>
      <c r="P88">
        <v>14.102446</v>
      </c>
      <c r="Q88">
        <f t="shared" si="8"/>
        <v>-4.0371768887999995</v>
      </c>
      <c r="R88">
        <f>K88-3232*Q88</f>
        <v>33.290105601598043</v>
      </c>
      <c r="S88">
        <f t="shared" si="9"/>
        <v>4.0610421641104469E-2</v>
      </c>
      <c r="T88">
        <f t="shared" si="10"/>
        <v>0.65057895469049354</v>
      </c>
      <c r="AA88" s="9">
        <v>100</v>
      </c>
      <c r="AB88" s="17">
        <v>1.6310236390185324</v>
      </c>
      <c r="AC88" s="17">
        <v>1.4198243354886204</v>
      </c>
      <c r="AD88" s="17">
        <v>1.7529634527829039</v>
      </c>
      <c r="AE88" s="17">
        <v>1.308266323894304</v>
      </c>
      <c r="AF88" s="21">
        <v>4.8846242298380975</v>
      </c>
      <c r="AH88">
        <f t="shared" si="11"/>
        <v>3.7336619774008115</v>
      </c>
      <c r="AK88">
        <v>100</v>
      </c>
      <c r="AL88" s="1">
        <v>1.3723273572618797</v>
      </c>
      <c r="AM88" s="1">
        <v>1.4198243354886204</v>
      </c>
      <c r="AN88" s="1">
        <v>1.4856511459398227</v>
      </c>
    </row>
    <row r="89" spans="9:48" x14ac:dyDescent="0.2">
      <c r="J89">
        <v>1115.4201330000001</v>
      </c>
      <c r="K89">
        <v>-13011.892585</v>
      </c>
      <c r="L89">
        <v>70842.361422000002</v>
      </c>
      <c r="M89">
        <v>-1.5157560000000001</v>
      </c>
      <c r="N89">
        <v>29.117321</v>
      </c>
      <c r="O89">
        <v>172.600345</v>
      </c>
      <c r="P89">
        <v>14.096235</v>
      </c>
      <c r="Q89">
        <f t="shared" si="8"/>
        <v>-4.0371768887999995</v>
      </c>
      <c r="R89">
        <f>K89-3232*Q89</f>
        <v>36.263119601599101</v>
      </c>
      <c r="S89">
        <f t="shared" si="9"/>
        <v>4.4175413266258193E-2</v>
      </c>
      <c r="T89">
        <f t="shared" si="10"/>
        <v>0.70769012052545621</v>
      </c>
      <c r="X89">
        <f>AVERAGE(X78:X87)</f>
        <v>6.1540822331909918E-2</v>
      </c>
      <c r="AA89" s="9">
        <v>110</v>
      </c>
      <c r="AB89" s="17">
        <v>1.4102972150311224</v>
      </c>
      <c r="AC89" s="17">
        <v>1.2272323356642059</v>
      </c>
      <c r="AD89" s="17">
        <v>1.5416771362066366</v>
      </c>
      <c r="AE89" s="17">
        <v>1.0736883313771581</v>
      </c>
      <c r="AF89" s="21">
        <v>4.5866562912623916</v>
      </c>
      <c r="AH89">
        <f t="shared" si="11"/>
        <v>4.2718693658329618</v>
      </c>
      <c r="AK89">
        <v>110</v>
      </c>
      <c r="AL89" s="1">
        <v>1.1957221152043118</v>
      </c>
      <c r="AM89" s="1">
        <v>1.2272323356642059</v>
      </c>
      <c r="AN89" s="1">
        <v>1.2764058514230894</v>
      </c>
    </row>
    <row r="90" spans="9:48" ht="17" thickBot="1" x14ac:dyDescent="0.25">
      <c r="J90">
        <v>1115.6344610000001</v>
      </c>
      <c r="K90">
        <v>-13006.602650999999</v>
      </c>
      <c r="L90">
        <v>70868.363352999993</v>
      </c>
      <c r="M90">
        <v>-1.467406</v>
      </c>
      <c r="N90">
        <v>29.093191000000001</v>
      </c>
      <c r="O90">
        <v>172.74211500000001</v>
      </c>
      <c r="P90">
        <v>14.101504</v>
      </c>
      <c r="Q90">
        <f t="shared" si="8"/>
        <v>-4.0371768887999995</v>
      </c>
      <c r="R90">
        <f>K90-3232*Q90</f>
        <v>41.553053601599458</v>
      </c>
      <c r="S90">
        <f t="shared" si="9"/>
        <v>5.064261878858483E-2</v>
      </c>
      <c r="T90">
        <f t="shared" si="10"/>
        <v>0.81129475299312892</v>
      </c>
      <c r="AA90" s="13">
        <v>111</v>
      </c>
      <c r="AB90" s="19">
        <v>1.6267007624755312</v>
      </c>
      <c r="AC90" s="19">
        <v>1.4618044491539786</v>
      </c>
      <c r="AD90" s="19">
        <v>1.8291206738667984</v>
      </c>
      <c r="AE90" s="19">
        <v>1.2806942855155452</v>
      </c>
      <c r="AF90" s="22">
        <v>4.9717847481598731</v>
      </c>
      <c r="AH90">
        <f t="shared" si="11"/>
        <v>3.8821011418493794</v>
      </c>
      <c r="AK90">
        <v>111</v>
      </c>
      <c r="AL90" s="1">
        <v>1.4026508077284316</v>
      </c>
      <c r="AM90" s="1">
        <v>1.4618044491539786</v>
      </c>
      <c r="AN90" s="1">
        <v>1.5499752456935476</v>
      </c>
    </row>
    <row r="91" spans="9:48" x14ac:dyDescent="0.2">
      <c r="J91">
        <v>1115.5266369999999</v>
      </c>
      <c r="K91">
        <v>-13013.971321000001</v>
      </c>
      <c r="L91">
        <v>70859.050357</v>
      </c>
      <c r="M91">
        <v>-1.639462</v>
      </c>
      <c r="N91">
        <v>29.093077999999998</v>
      </c>
      <c r="O91">
        <v>172.87364099999999</v>
      </c>
      <c r="P91">
        <v>14.088984999999999</v>
      </c>
      <c r="Q91">
        <f t="shared" si="8"/>
        <v>-4.0371768887999995</v>
      </c>
      <c r="R91">
        <f>K91-3232*Q91</f>
        <v>34.184383601597801</v>
      </c>
      <c r="S91">
        <f t="shared" si="9"/>
        <v>4.1699263029513239E-2</v>
      </c>
      <c r="T91">
        <f t="shared" si="10"/>
        <v>0.66802219373280203</v>
      </c>
      <c r="AL91" s="1"/>
      <c r="AM91" s="1"/>
      <c r="AN91" s="1"/>
    </row>
    <row r="92" spans="9:48" ht="17" thickBot="1" x14ac:dyDescent="0.25">
      <c r="J92">
        <v>1115.4596180000001</v>
      </c>
      <c r="K92">
        <v>-13009.038656000001</v>
      </c>
      <c r="L92">
        <v>70864.850342000005</v>
      </c>
      <c r="M92">
        <v>-1.5067079999999999</v>
      </c>
      <c r="N92">
        <v>29.087371999999998</v>
      </c>
      <c r="O92">
        <v>172.72472500000001</v>
      </c>
      <c r="P92">
        <v>14.105043</v>
      </c>
      <c r="Q92">
        <f t="shared" si="8"/>
        <v>-4.0371768887999995</v>
      </c>
      <c r="R92">
        <f>K92-3232*Q92</f>
        <v>39.117048601598071</v>
      </c>
      <c r="S92">
        <f t="shared" si="9"/>
        <v>4.7671320747339721E-2</v>
      </c>
      <c r="T92">
        <f t="shared" si="10"/>
        <v>0.76369455837238231</v>
      </c>
      <c r="U92" s="1">
        <f>AVERAGE(T88:T92)</f>
        <v>0.72025611606285256</v>
      </c>
      <c r="V92">
        <f>STDEV(T88:T92)</f>
        <v>6.6925565718823785E-2</v>
      </c>
      <c r="AL92" s="1"/>
      <c r="AM92" s="1"/>
      <c r="AN92" s="1"/>
    </row>
    <row r="93" spans="9:48" x14ac:dyDescent="0.2">
      <c r="I93" t="s">
        <v>135</v>
      </c>
      <c r="J93">
        <v>1115.610277</v>
      </c>
      <c r="K93">
        <v>-14826.832493</v>
      </c>
      <c r="L93">
        <v>80661.496297000005</v>
      </c>
      <c r="M93">
        <v>-1.5325979999999999</v>
      </c>
      <c r="N93">
        <v>26.834195999999999</v>
      </c>
      <c r="O93">
        <v>213.15696</v>
      </c>
      <c r="P93">
        <v>14.101991999999999</v>
      </c>
      <c r="Q93">
        <f t="shared" si="8"/>
        <v>-4.0371768887999995</v>
      </c>
      <c r="R93">
        <f>K93-3680*Q93</f>
        <v>29.978457783998238</v>
      </c>
      <c r="S93">
        <f t="shared" si="9"/>
        <v>3.961049228944976E-2</v>
      </c>
      <c r="T93">
        <f t="shared" si="10"/>
        <v>0.63456008647698514</v>
      </c>
      <c r="AA93" s="23" t="s">
        <v>68</v>
      </c>
      <c r="AB93" s="24" t="s">
        <v>32</v>
      </c>
      <c r="AC93" s="7" t="s">
        <v>72</v>
      </c>
      <c r="AD93" s="7" t="s">
        <v>73</v>
      </c>
      <c r="AE93" s="24" t="s">
        <v>29</v>
      </c>
      <c r="AF93" s="25" t="s">
        <v>30</v>
      </c>
      <c r="AK93" t="s">
        <v>79</v>
      </c>
      <c r="AL93" t="s">
        <v>29</v>
      </c>
      <c r="AM93" s="7" t="s">
        <v>72</v>
      </c>
      <c r="AN93" t="s">
        <v>32</v>
      </c>
      <c r="AO93" s="7" t="s">
        <v>73</v>
      </c>
      <c r="AP93" t="s">
        <v>30</v>
      </c>
    </row>
    <row r="94" spans="9:48" x14ac:dyDescent="0.2">
      <c r="J94">
        <v>1115.7843889999999</v>
      </c>
      <c r="K94">
        <v>-14819.682885</v>
      </c>
      <c r="L94">
        <v>80653.394455999995</v>
      </c>
      <c r="M94">
        <v>-1.4978629999999999</v>
      </c>
      <c r="N94">
        <v>26.855817999999999</v>
      </c>
      <c r="O94">
        <v>213.130437</v>
      </c>
      <c r="P94">
        <v>14.090973</v>
      </c>
      <c r="Q94">
        <f t="shared" si="8"/>
        <v>-4.0371768887999995</v>
      </c>
      <c r="R94">
        <f>K94-3680*Q94</f>
        <v>37.128065783997954</v>
      </c>
      <c r="S94">
        <f t="shared" si="9"/>
        <v>4.905609355583402E-2</v>
      </c>
      <c r="T94">
        <f t="shared" si="10"/>
        <v>0.78587861876446097</v>
      </c>
      <c r="AA94" s="26" t="s">
        <v>17</v>
      </c>
      <c r="AB94" s="17">
        <v>1.5517365761252533</v>
      </c>
      <c r="AC94" s="17">
        <v>1.3551293018678674</v>
      </c>
      <c r="AD94" s="17">
        <v>1.7208953434775425</v>
      </c>
      <c r="AE94" s="17">
        <v>1.2121254441008973</v>
      </c>
      <c r="AF94" s="21">
        <v>4.7538273401141842</v>
      </c>
      <c r="AH94">
        <f t="shared" ref="AH94:AH99" si="12">AF94/AE94</f>
        <v>3.9218938627596995</v>
      </c>
      <c r="AK94" t="s">
        <v>17</v>
      </c>
      <c r="AL94" s="1">
        <v>1.1417847241190653</v>
      </c>
      <c r="AM94" s="1">
        <v>1.6052462400689884</v>
      </c>
      <c r="AN94" s="1">
        <v>1.4993004371111849</v>
      </c>
      <c r="AO94" s="1">
        <v>1.6866899936140847</v>
      </c>
      <c r="AP94" s="1">
        <v>4.7582232490558258</v>
      </c>
    </row>
    <row r="95" spans="9:48" x14ac:dyDescent="0.2">
      <c r="J95">
        <v>1115.4665230000001</v>
      </c>
      <c r="K95">
        <v>-14816.507449000001</v>
      </c>
      <c r="L95">
        <v>80666.403619000004</v>
      </c>
      <c r="M95">
        <v>-1.28338</v>
      </c>
      <c r="N95">
        <v>26.851548000000001</v>
      </c>
      <c r="O95">
        <v>213.06971799999999</v>
      </c>
      <c r="P95">
        <v>14.099491</v>
      </c>
      <c r="Q95">
        <f t="shared" si="8"/>
        <v>-4.0371768887999995</v>
      </c>
      <c r="R95">
        <f>K95-3680*Q95</f>
        <v>40.30350178399749</v>
      </c>
      <c r="S95">
        <f t="shared" si="9"/>
        <v>5.322798469458502E-2</v>
      </c>
      <c r="T95">
        <f t="shared" si="10"/>
        <v>0.85271231480725196</v>
      </c>
      <c r="AA95" s="26" t="s">
        <v>27</v>
      </c>
      <c r="AB95" s="17">
        <v>1.6047990747544656</v>
      </c>
      <c r="AC95" s="17">
        <v>1.3993741155229351</v>
      </c>
      <c r="AD95" s="17">
        <v>1.78276116206738</v>
      </c>
      <c r="AE95" s="17">
        <v>1.2207595440044074</v>
      </c>
      <c r="AF95" s="21">
        <v>4.8121998602234983</v>
      </c>
      <c r="AH95">
        <f t="shared" si="12"/>
        <v>3.9419719336686376</v>
      </c>
      <c r="AK95" t="s">
        <v>27</v>
      </c>
      <c r="AL95" s="1">
        <v>1.1807320121333085</v>
      </c>
      <c r="AM95" s="1">
        <v>1.7453845411161015</v>
      </c>
      <c r="AN95" s="1">
        <v>1.5471450600185022</v>
      </c>
      <c r="AO95" s="1">
        <v>1.7163615759317543</v>
      </c>
      <c r="AP95" s="1">
        <v>4.8118605830360286</v>
      </c>
      <c r="AR95" s="10" t="s">
        <v>32</v>
      </c>
      <c r="AS95" s="12">
        <v>600</v>
      </c>
      <c r="AT95" s="12">
        <v>800</v>
      </c>
      <c r="AU95" s="12">
        <v>1000</v>
      </c>
      <c r="AV95" s="12">
        <v>1200</v>
      </c>
    </row>
    <row r="96" spans="9:48" x14ac:dyDescent="0.2">
      <c r="J96">
        <v>1115.4548460000001</v>
      </c>
      <c r="K96">
        <v>-14821.310880000001</v>
      </c>
      <c r="L96">
        <v>80659.688641000001</v>
      </c>
      <c r="M96">
        <v>-1.4918089999999999</v>
      </c>
      <c r="N96">
        <v>26.849450999999998</v>
      </c>
      <c r="O96">
        <v>212.995251</v>
      </c>
      <c r="P96">
        <v>14.104362999999999</v>
      </c>
      <c r="Q96">
        <f t="shared" si="8"/>
        <v>-4.0371768887999995</v>
      </c>
      <c r="R96">
        <f>K96-3680*Q96</f>
        <v>35.500070783997216</v>
      </c>
      <c r="S96">
        <f t="shared" si="9"/>
        <v>4.6871660207927053E-2</v>
      </c>
      <c r="T96">
        <f t="shared" si="10"/>
        <v>0.75088399653099136</v>
      </c>
      <c r="AA96" s="26" t="s">
        <v>28</v>
      </c>
      <c r="AB96" s="17">
        <v>1.5901741775817031</v>
      </c>
      <c r="AC96" s="17">
        <v>1.396585815337831</v>
      </c>
      <c r="AD96" s="17">
        <v>1.7710338342393981</v>
      </c>
      <c r="AE96" s="17">
        <v>1.2532842134072641</v>
      </c>
      <c r="AF96" s="21">
        <v>4.8467911389346003</v>
      </c>
      <c r="AH96">
        <f t="shared" si="12"/>
        <v>3.8672721535028218</v>
      </c>
      <c r="AK96" t="s">
        <v>28</v>
      </c>
      <c r="AL96" s="1">
        <v>1.1877466988904259</v>
      </c>
      <c r="AM96" s="1">
        <v>1.7325387336006535</v>
      </c>
      <c r="AN96" s="1">
        <v>1.5729436463655997</v>
      </c>
      <c r="AO96" s="1">
        <v>1.7557256753332595</v>
      </c>
      <c r="AP96" s="1">
        <v>4.8390791770074149</v>
      </c>
      <c r="AR96" s="10" t="s">
        <v>17</v>
      </c>
      <c r="AS96" s="38">
        <v>1.4993004371111849</v>
      </c>
      <c r="AT96" s="38">
        <v>1.5517365761252533</v>
      </c>
      <c r="AU96" s="38">
        <v>1.5786790405602635</v>
      </c>
      <c r="AV96" s="38">
        <v>1.6581960805676403</v>
      </c>
    </row>
    <row r="97" spans="9:48" x14ac:dyDescent="0.2">
      <c r="J97">
        <v>1115.6822609999999</v>
      </c>
      <c r="K97">
        <v>-14828.359759000001</v>
      </c>
      <c r="L97">
        <v>80644.909020000006</v>
      </c>
      <c r="M97">
        <v>-1.4789620000000001</v>
      </c>
      <c r="N97">
        <v>26.842224000000002</v>
      </c>
      <c r="O97">
        <v>213.081557</v>
      </c>
      <c r="P97">
        <v>14.099843999999999</v>
      </c>
      <c r="Q97">
        <f t="shared" si="8"/>
        <v>-4.0371768887999995</v>
      </c>
      <c r="R97">
        <f>K97-3680*Q97</f>
        <v>28.451191783997274</v>
      </c>
      <c r="S97">
        <f t="shared" si="9"/>
        <v>3.7586999965997146E-2</v>
      </c>
      <c r="T97">
        <f t="shared" si="10"/>
        <v>0.60214373945527422</v>
      </c>
      <c r="U97" s="1">
        <f>AVERAGE(T93:T97)</f>
        <v>0.7252357512069928</v>
      </c>
      <c r="V97">
        <f>STDEV(T93:T97)</f>
        <v>0.10483246595453745</v>
      </c>
      <c r="AA97" s="26">
        <v>100</v>
      </c>
      <c r="AB97" s="17">
        <v>1.5576808499878863</v>
      </c>
      <c r="AC97" s="17">
        <v>1.3723273572618797</v>
      </c>
      <c r="AD97" s="17">
        <v>1.7343135328665802</v>
      </c>
      <c r="AE97" s="17">
        <v>1.2325829072111127</v>
      </c>
      <c r="AF97" s="21">
        <v>4.8444544838373629</v>
      </c>
      <c r="AH97">
        <f t="shared" si="12"/>
        <v>3.9303274899362375</v>
      </c>
      <c r="AK97">
        <v>100</v>
      </c>
      <c r="AL97" s="1">
        <v>1.1490538956680909</v>
      </c>
      <c r="AM97" s="1">
        <v>2.0873942028341856</v>
      </c>
      <c r="AN97" s="1">
        <v>1.4824809264786118</v>
      </c>
      <c r="AO97" s="1">
        <v>1.6349650568656682</v>
      </c>
      <c r="AP97" s="1">
        <v>4.8396626624633896</v>
      </c>
      <c r="AR97" s="10" t="s">
        <v>27</v>
      </c>
      <c r="AS97" s="38">
        <v>1.5471450600185022</v>
      </c>
      <c r="AT97" s="38">
        <v>1.6047990747544656</v>
      </c>
      <c r="AU97" s="38">
        <v>1.6291617569961918</v>
      </c>
      <c r="AV97" s="38">
        <v>1.7108313110528901</v>
      </c>
    </row>
    <row r="98" spans="9:48" x14ac:dyDescent="0.2">
      <c r="I98" t="s">
        <v>136</v>
      </c>
      <c r="J98">
        <v>1115.81972</v>
      </c>
      <c r="K98">
        <v>-13268.207103000001</v>
      </c>
      <c r="L98">
        <v>72240.743201999998</v>
      </c>
      <c r="M98">
        <v>-1.431554</v>
      </c>
      <c r="N98">
        <v>25.391690000000001</v>
      </c>
      <c r="O98">
        <v>201.419858</v>
      </c>
      <c r="P98">
        <v>14.125085</v>
      </c>
      <c r="Q98">
        <f t="shared" si="8"/>
        <v>-4.0371768887999995</v>
      </c>
      <c r="R98">
        <f>K98-3296*Q98</f>
        <v>38.327922484797455</v>
      </c>
      <c r="S98">
        <f t="shared" si="9"/>
        <v>5.3432144710462058E-2</v>
      </c>
      <c r="T98">
        <f t="shared" si="10"/>
        <v>0.8559829582616022</v>
      </c>
      <c r="AA98" s="26">
        <v>110</v>
      </c>
      <c r="AB98" s="17">
        <v>1.3836882189355035</v>
      </c>
      <c r="AC98" s="17">
        <v>1.1957221152043118</v>
      </c>
      <c r="AD98" s="17">
        <v>1.5151129892187154</v>
      </c>
      <c r="AE98" s="17">
        <v>1.0584171184492379</v>
      </c>
      <c r="AF98" s="21">
        <v>4.5804504923295521</v>
      </c>
      <c r="AH98">
        <f t="shared" si="12"/>
        <v>4.3276421105515519</v>
      </c>
      <c r="AK98">
        <v>110</v>
      </c>
      <c r="AL98" s="1">
        <v>1.0323195233449924</v>
      </c>
      <c r="AM98" s="1">
        <v>1.679861707924537</v>
      </c>
      <c r="AN98" s="1">
        <v>1.3262243291014431</v>
      </c>
      <c r="AO98" s="1">
        <v>1.4810177147704797</v>
      </c>
      <c r="AP98" s="1">
        <v>4.5880188560511765</v>
      </c>
      <c r="AR98" s="10" t="s">
        <v>28</v>
      </c>
      <c r="AS98" s="38">
        <v>1.5729436463655997</v>
      </c>
      <c r="AT98" s="38">
        <v>1.5901741775817031</v>
      </c>
      <c r="AU98" s="38">
        <v>1.6381693528636905</v>
      </c>
      <c r="AV98" s="38">
        <v>1.6867636361711278</v>
      </c>
    </row>
    <row r="99" spans="9:48" ht="17" thickBot="1" x14ac:dyDescent="0.25">
      <c r="J99">
        <v>1115.501319</v>
      </c>
      <c r="K99">
        <v>-13272.655907</v>
      </c>
      <c r="L99">
        <v>72214.315751999995</v>
      </c>
      <c r="M99">
        <v>-1.4774069999999999</v>
      </c>
      <c r="N99">
        <v>25.425049000000001</v>
      </c>
      <c r="O99">
        <v>201.44734</v>
      </c>
      <c r="P99">
        <v>14.099478</v>
      </c>
      <c r="Q99">
        <f t="shared" si="8"/>
        <v>-4.0371768887999995</v>
      </c>
      <c r="R99">
        <f>K99-3296*Q99</f>
        <v>33.8791184847978</v>
      </c>
      <c r="S99">
        <f t="shared" si="9"/>
        <v>4.7253858147755456E-2</v>
      </c>
      <c r="T99">
        <f t="shared" si="10"/>
        <v>0.75700680752704241</v>
      </c>
      <c r="AA99" s="27">
        <v>111</v>
      </c>
      <c r="AB99" s="19">
        <v>1.6267068610608917</v>
      </c>
      <c r="AC99" s="19">
        <v>1.4026508077284316</v>
      </c>
      <c r="AD99" s="19">
        <v>1.8102461152713922</v>
      </c>
      <c r="AE99" s="19">
        <v>1.2445777221215129</v>
      </c>
      <c r="AF99" s="22">
        <v>4.9499576332028132</v>
      </c>
      <c r="AH99">
        <f t="shared" si="12"/>
        <v>3.9772185739955983</v>
      </c>
      <c r="AK99">
        <v>111</v>
      </c>
      <c r="AL99" s="1">
        <v>1.2081286544086183</v>
      </c>
      <c r="AM99" s="1">
        <v>1.9037121947229998</v>
      </c>
      <c r="AN99" s="1">
        <v>1.5983876027380637</v>
      </c>
      <c r="AO99" s="1">
        <v>1.8048101730822874</v>
      </c>
      <c r="AP99" s="1">
        <v>4.9622075622336181</v>
      </c>
      <c r="AR99" s="10">
        <v>100</v>
      </c>
      <c r="AS99" s="38">
        <v>1.4824809264786118</v>
      </c>
      <c r="AT99" s="38">
        <v>1.5576808499878863</v>
      </c>
      <c r="AU99" s="38">
        <v>1.6310236390185324</v>
      </c>
      <c r="AV99" s="38">
        <v>1.6911314887609048</v>
      </c>
    </row>
    <row r="100" spans="9:48" x14ac:dyDescent="0.2">
      <c r="J100">
        <v>1115.45308</v>
      </c>
      <c r="K100">
        <v>-13270.797358</v>
      </c>
      <c r="L100">
        <v>72245.356163999997</v>
      </c>
      <c r="M100">
        <v>-1.5229729999999999</v>
      </c>
      <c r="N100">
        <v>25.402471999999999</v>
      </c>
      <c r="O100">
        <v>201.58984899999999</v>
      </c>
      <c r="P100">
        <v>14.108074</v>
      </c>
      <c r="Q100">
        <f t="shared" si="8"/>
        <v>-4.0371768887999995</v>
      </c>
      <c r="R100">
        <f>K100-3296*Q100</f>
        <v>35.737667484798294</v>
      </c>
      <c r="S100">
        <f t="shared" si="9"/>
        <v>4.9860025665830005E-2</v>
      </c>
      <c r="T100">
        <f t="shared" si="10"/>
        <v>0.7987576111665966</v>
      </c>
      <c r="AR100" s="10">
        <v>110</v>
      </c>
      <c r="AS100" s="38">
        <v>1.3262243291014431</v>
      </c>
      <c r="AT100" s="38">
        <v>1.3836882189355035</v>
      </c>
      <c r="AU100" s="38">
        <v>1.4102972150311224</v>
      </c>
      <c r="AV100" s="38">
        <v>1.4371460178335993</v>
      </c>
    </row>
    <row r="101" spans="9:48" x14ac:dyDescent="0.2">
      <c r="J101">
        <v>1115.5380640000001</v>
      </c>
      <c r="K101">
        <v>-13273.99546</v>
      </c>
      <c r="L101">
        <v>72231.522698000001</v>
      </c>
      <c r="M101">
        <v>-1.2338549999999999</v>
      </c>
      <c r="N101">
        <v>25.425049000000001</v>
      </c>
      <c r="O101">
        <v>201.645883</v>
      </c>
      <c r="P101">
        <v>14.088926000000001</v>
      </c>
      <c r="Q101">
        <f t="shared" si="8"/>
        <v>-4.0371768887999995</v>
      </c>
      <c r="R101">
        <f>K101-3296*Q101</f>
        <v>32.539565484798004</v>
      </c>
      <c r="S101">
        <f t="shared" si="9"/>
        <v>4.5419470509453143E-2</v>
      </c>
      <c r="T101">
        <f t="shared" si="10"/>
        <v>0.72761991756143929</v>
      </c>
      <c r="AR101" s="10">
        <v>111</v>
      </c>
      <c r="AS101" s="38">
        <v>1.5983876027380637</v>
      </c>
      <c r="AT101" s="38">
        <v>1.6267068610608917</v>
      </c>
      <c r="AU101" s="38">
        <v>1.6267007624755312</v>
      </c>
      <c r="AV101" s="38">
        <v>1.7373124077172879</v>
      </c>
    </row>
    <row r="102" spans="9:48" x14ac:dyDescent="0.2">
      <c r="J102">
        <v>1115.413669</v>
      </c>
      <c r="K102">
        <v>-13268.806493</v>
      </c>
      <c r="L102">
        <v>72246.040187999999</v>
      </c>
      <c r="M102">
        <v>-1.351699</v>
      </c>
      <c r="N102">
        <v>25.400545000000001</v>
      </c>
      <c r="O102">
        <v>201.63040000000001</v>
      </c>
      <c r="P102">
        <v>14.106439999999999</v>
      </c>
      <c r="Q102">
        <f t="shared" si="8"/>
        <v>-4.0371768887999995</v>
      </c>
      <c r="R102">
        <f>K102-3296*Q102</f>
        <v>37.728532484798052</v>
      </c>
      <c r="S102">
        <f t="shared" si="9"/>
        <v>5.264770644185799E-2</v>
      </c>
      <c r="T102">
        <f t="shared" si="10"/>
        <v>0.84341625719856494</v>
      </c>
      <c r="U102" s="1">
        <f>AVERAGE(T98:T102)</f>
        <v>0.79655671034304909</v>
      </c>
      <c r="V102">
        <f>STDEV(T98:T102)</f>
        <v>5.4883094504106861E-2</v>
      </c>
      <c r="AR102" s="10"/>
      <c r="AS102" s="10"/>
      <c r="AT102" s="10"/>
      <c r="AU102" s="10"/>
      <c r="AV102" s="10"/>
    </row>
    <row r="103" spans="9:48" x14ac:dyDescent="0.2">
      <c r="I103" t="s">
        <v>137</v>
      </c>
      <c r="J103">
        <v>1115.401752</v>
      </c>
      <c r="K103">
        <v>-19140.55702</v>
      </c>
      <c r="L103">
        <v>104136.341529</v>
      </c>
      <c r="M103">
        <v>-0.991371</v>
      </c>
      <c r="N103">
        <v>35.244819999999997</v>
      </c>
      <c r="O103">
        <v>209.58827400000001</v>
      </c>
      <c r="P103">
        <v>14.097490000000001</v>
      </c>
      <c r="Q103">
        <f t="shared" si="8"/>
        <v>-4.0371768887999995</v>
      </c>
      <c r="R103">
        <f>K103-4752*Q103</f>
        <v>44.107555577596941</v>
      </c>
      <c r="S103">
        <f t="shared" si="9"/>
        <v>4.4385989109048153E-2</v>
      </c>
      <c r="T103">
        <f t="shared" si="10"/>
        <v>0.71106354552695139</v>
      </c>
      <c r="AR103" s="10" t="s">
        <v>72</v>
      </c>
      <c r="AS103" s="12">
        <v>600</v>
      </c>
      <c r="AT103" s="12">
        <v>800</v>
      </c>
      <c r="AU103" s="12">
        <v>1000</v>
      </c>
      <c r="AV103" s="12">
        <v>1200</v>
      </c>
    </row>
    <row r="104" spans="9:48" x14ac:dyDescent="0.2">
      <c r="J104">
        <v>1115.4039749999999</v>
      </c>
      <c r="K104">
        <v>-19134.643594000001</v>
      </c>
      <c r="L104">
        <v>104133.750212</v>
      </c>
      <c r="M104">
        <v>-0.72287199999999996</v>
      </c>
      <c r="N104">
        <v>35.257114000000001</v>
      </c>
      <c r="O104">
        <v>209.61937399999999</v>
      </c>
      <c r="P104">
        <v>14.090128</v>
      </c>
      <c r="Q104">
        <f t="shared" si="8"/>
        <v>-4.0371768887999995</v>
      </c>
      <c r="R104">
        <f>K104-4752*Q104</f>
        <v>50.020981577596103</v>
      </c>
      <c r="S104">
        <f t="shared" si="9"/>
        <v>5.0345483474847123E-2</v>
      </c>
      <c r="T104">
        <f t="shared" si="10"/>
        <v>0.80653464526705088</v>
      </c>
      <c r="AR104" s="10" t="s">
        <v>17</v>
      </c>
      <c r="AS104" s="1">
        <v>1.3126404277547192</v>
      </c>
      <c r="AT104" s="38">
        <v>1.3551293018678674</v>
      </c>
      <c r="AU104" s="38">
        <v>1.3953963821522279</v>
      </c>
      <c r="AV104" s="38">
        <v>1.4904017300742587</v>
      </c>
    </row>
    <row r="105" spans="9:48" x14ac:dyDescent="0.2">
      <c r="J105">
        <v>1115.3023949999999</v>
      </c>
      <c r="K105">
        <v>-19145.112963</v>
      </c>
      <c r="L105">
        <v>104150.582865</v>
      </c>
      <c r="M105">
        <v>-1.018715</v>
      </c>
      <c r="N105">
        <v>35.256233000000002</v>
      </c>
      <c r="O105">
        <v>209.48415800000001</v>
      </c>
      <c r="P105">
        <v>14.101862000000001</v>
      </c>
      <c r="Q105">
        <f t="shared" si="8"/>
        <v>-4.0371768887999995</v>
      </c>
      <c r="R105">
        <f>K105-4752*Q105</f>
        <v>39.551612577597552</v>
      </c>
      <c r="S105">
        <f t="shared" si="9"/>
        <v>3.9776066342011356E-2</v>
      </c>
      <c r="T105">
        <f t="shared" si="10"/>
        <v>0.63721258279902193</v>
      </c>
      <c r="AR105" s="10" t="s">
        <v>27</v>
      </c>
      <c r="AS105" s="1">
        <v>1.327620068192124</v>
      </c>
      <c r="AT105" s="38">
        <v>1.3993741155229351</v>
      </c>
      <c r="AU105" s="38">
        <v>1.4347956274039948</v>
      </c>
      <c r="AV105" s="38">
        <v>1.5414063194245986</v>
      </c>
    </row>
    <row r="106" spans="9:48" x14ac:dyDescent="0.2">
      <c r="J106">
        <v>1115.401396</v>
      </c>
      <c r="K106">
        <v>-19138.486637999998</v>
      </c>
      <c r="L106">
        <v>104139.048085</v>
      </c>
      <c r="M106">
        <v>-1.1009059999999999</v>
      </c>
      <c r="N106">
        <v>35.259563999999997</v>
      </c>
      <c r="O106">
        <v>209.57597899999999</v>
      </c>
      <c r="P106">
        <v>14.092768</v>
      </c>
      <c r="Q106">
        <f t="shared" si="8"/>
        <v>-4.0371768887999995</v>
      </c>
      <c r="R106">
        <f>K106-4752*Q106</f>
        <v>46.177937577598641</v>
      </c>
      <c r="S106">
        <f t="shared" si="9"/>
        <v>4.6465572927368123E-2</v>
      </c>
      <c r="T106">
        <f t="shared" si="10"/>
        <v>0.74437847829643733</v>
      </c>
      <c r="AR106" s="10" t="s">
        <v>28</v>
      </c>
      <c r="AS106" s="1">
        <v>1.2829504885030727</v>
      </c>
      <c r="AT106" s="38">
        <v>1.396585815337831</v>
      </c>
      <c r="AU106" s="38">
        <v>1.428170538221702</v>
      </c>
      <c r="AV106" s="38">
        <v>1.4949747194061678</v>
      </c>
    </row>
    <row r="107" spans="9:48" x14ac:dyDescent="0.2">
      <c r="J107">
        <v>1115.2823100000001</v>
      </c>
      <c r="K107">
        <v>-19138.035134999998</v>
      </c>
      <c r="L107">
        <v>104160.755985</v>
      </c>
      <c r="M107">
        <v>-1.142903</v>
      </c>
      <c r="N107">
        <v>35.262267000000001</v>
      </c>
      <c r="O107">
        <v>209.42973799999999</v>
      </c>
      <c r="P107">
        <v>14.104502999999999</v>
      </c>
      <c r="Q107">
        <f t="shared" si="8"/>
        <v>-4.0371768887999995</v>
      </c>
      <c r="R107">
        <f>K107-4752*Q107</f>
        <v>46.629440577598871</v>
      </c>
      <c r="S107">
        <f t="shared" si="9"/>
        <v>4.687725713290062E-2</v>
      </c>
      <c r="T107">
        <f t="shared" si="10"/>
        <v>0.75097365926906789</v>
      </c>
      <c r="U107" s="1">
        <f>AVERAGE(T103:T107)</f>
        <v>0.73003258223170586</v>
      </c>
      <c r="V107">
        <f>STDEV(T103:T107)</f>
        <v>6.2193801415893687E-2</v>
      </c>
      <c r="AR107" s="10">
        <v>100</v>
      </c>
      <c r="AS107" s="1">
        <v>1.3119524471317674</v>
      </c>
      <c r="AT107" s="38">
        <v>1.3723273572618797</v>
      </c>
      <c r="AU107" s="38">
        <v>1.4198243354886204</v>
      </c>
      <c r="AV107" s="38">
        <v>1.4856511459398227</v>
      </c>
    </row>
    <row r="108" spans="9:48" x14ac:dyDescent="0.2">
      <c r="I108" t="s">
        <v>139</v>
      </c>
      <c r="J108">
        <v>1115.7863769999999</v>
      </c>
      <c r="K108">
        <v>-26129.765307000001</v>
      </c>
      <c r="L108">
        <v>142221.587161</v>
      </c>
      <c r="M108">
        <v>-0.94467500000000004</v>
      </c>
      <c r="N108">
        <v>41.101672000000001</v>
      </c>
      <c r="O108">
        <v>245.35495499999999</v>
      </c>
      <c r="P108">
        <v>14.103019</v>
      </c>
      <c r="Q108">
        <f t="shared" si="8"/>
        <v>-4.0371768887999995</v>
      </c>
      <c r="R108">
        <f>K108-6488*Q108</f>
        <v>63.438347534396598</v>
      </c>
      <c r="S108">
        <f t="shared" si="9"/>
        <v>5.4720528845235705E-2</v>
      </c>
      <c r="T108">
        <f t="shared" si="10"/>
        <v>0.87662287210067602</v>
      </c>
      <c r="AR108" s="10">
        <v>110</v>
      </c>
      <c r="AS108" s="1">
        <v>1.1347329507934907</v>
      </c>
      <c r="AT108" s="38">
        <v>1.1957221152043118</v>
      </c>
      <c r="AU108" s="38">
        <v>1.2272323356642059</v>
      </c>
      <c r="AV108" s="38">
        <v>1.2764058514230894</v>
      </c>
    </row>
    <row r="109" spans="9:48" x14ac:dyDescent="0.2">
      <c r="J109">
        <v>1115.582367</v>
      </c>
      <c r="K109">
        <v>-26138.080027</v>
      </c>
      <c r="L109">
        <v>142196.12117500001</v>
      </c>
      <c r="M109">
        <v>-0.79463300000000003</v>
      </c>
      <c r="N109">
        <v>41.106796000000003</v>
      </c>
      <c r="O109">
        <v>245.24327400000001</v>
      </c>
      <c r="P109">
        <v>14.105174999999999</v>
      </c>
      <c r="Q109">
        <f t="shared" si="8"/>
        <v>-4.0371768887999995</v>
      </c>
      <c r="R109">
        <f>K109-6488*Q109</f>
        <v>55.123627534398111</v>
      </c>
      <c r="S109">
        <f t="shared" si="9"/>
        <v>4.7535239613949183E-2</v>
      </c>
      <c r="T109">
        <f t="shared" si="10"/>
        <v>0.76151453861546592</v>
      </c>
      <c r="AR109" s="10">
        <v>111</v>
      </c>
      <c r="AS109" s="1">
        <v>1.3813900742822482</v>
      </c>
      <c r="AT109" s="38">
        <v>1.4026508077284316</v>
      </c>
      <c r="AU109" s="38">
        <v>1.4618044491539786</v>
      </c>
      <c r="AV109" s="38">
        <v>1.5499752456935476</v>
      </c>
    </row>
    <row r="110" spans="9:48" x14ac:dyDescent="0.2">
      <c r="J110">
        <v>1115.369113</v>
      </c>
      <c r="K110">
        <v>-26124.037569</v>
      </c>
      <c r="L110">
        <v>142247.012494</v>
      </c>
      <c r="M110">
        <v>-1.0891500000000001</v>
      </c>
      <c r="N110">
        <v>41.113746999999996</v>
      </c>
      <c r="O110">
        <v>245.46552600000001</v>
      </c>
      <c r="P110">
        <v>14.095048</v>
      </c>
      <c r="Q110">
        <f t="shared" si="8"/>
        <v>-4.0371768887999995</v>
      </c>
      <c r="R110">
        <f>K110-6488*Q110</f>
        <v>69.166085534398007</v>
      </c>
      <c r="S110">
        <f t="shared" si="9"/>
        <v>5.967735737413464E-2</v>
      </c>
      <c r="T110">
        <f t="shared" si="10"/>
        <v>0.9560312651336369</v>
      </c>
      <c r="AR110" s="10"/>
      <c r="AS110" s="10"/>
      <c r="AT110" s="10"/>
      <c r="AU110" s="10"/>
      <c r="AV110" s="10"/>
    </row>
    <row r="111" spans="9:48" x14ac:dyDescent="0.2">
      <c r="J111">
        <v>1115.6368580000001</v>
      </c>
      <c r="K111">
        <v>-26129.976973000001</v>
      </c>
      <c r="L111">
        <v>142228.05677699999</v>
      </c>
      <c r="M111">
        <v>-0.90689699999999995</v>
      </c>
      <c r="N111">
        <v>41.099353000000001</v>
      </c>
      <c r="O111">
        <v>245.42177000000001</v>
      </c>
      <c r="P111">
        <v>14.100624</v>
      </c>
      <c r="Q111">
        <f t="shared" si="8"/>
        <v>-4.0371768887999995</v>
      </c>
      <c r="R111">
        <f>K111-6488*Q111</f>
        <v>63.226681534397358</v>
      </c>
      <c r="S111">
        <f t="shared" si="9"/>
        <v>5.45502914817187E-2</v>
      </c>
      <c r="T111">
        <f t="shared" si="10"/>
        <v>0.8738956695371336</v>
      </c>
      <c r="AR111" s="10" t="s">
        <v>73</v>
      </c>
      <c r="AS111" s="12">
        <v>600</v>
      </c>
      <c r="AT111" s="12">
        <v>800</v>
      </c>
      <c r="AU111" s="12">
        <v>1000</v>
      </c>
      <c r="AV111" s="12">
        <v>1200</v>
      </c>
    </row>
    <row r="112" spans="9:48" x14ac:dyDescent="0.2">
      <c r="J112">
        <v>1115.452272</v>
      </c>
      <c r="K112">
        <v>-26126.740611000001</v>
      </c>
      <c r="L112">
        <v>142244.889693</v>
      </c>
      <c r="M112">
        <v>-0.65185599999999999</v>
      </c>
      <c r="N112">
        <v>41.090538000000002</v>
      </c>
      <c r="O112">
        <v>245.43550400000001</v>
      </c>
      <c r="P112">
        <v>14.104526</v>
      </c>
      <c r="Q112">
        <f t="shared" si="8"/>
        <v>-4.0371768887999995</v>
      </c>
      <c r="R112">
        <f>K112-6488*Q112</f>
        <v>66.463043534397002</v>
      </c>
      <c r="S112">
        <f t="shared" si="9"/>
        <v>5.7338972477605013E-2</v>
      </c>
      <c r="T112">
        <f t="shared" si="10"/>
        <v>0.91857033909123231</v>
      </c>
      <c r="U112" s="1">
        <f>AVERAGE(T108:T112)</f>
        <v>0.87732693689562891</v>
      </c>
      <c r="V112">
        <f>STDEV(T108:T112)</f>
        <v>7.3007140757580136E-2</v>
      </c>
      <c r="AR112" s="10" t="s">
        <v>17</v>
      </c>
      <c r="AS112" s="38">
        <v>1.6866899936140847</v>
      </c>
      <c r="AT112" s="38">
        <v>1.7208953434775425</v>
      </c>
      <c r="AU112" s="38">
        <v>1.749294771304005</v>
      </c>
      <c r="AV112" s="38">
        <v>1.796570468585879</v>
      </c>
    </row>
    <row r="113" spans="9:48" x14ac:dyDescent="0.2">
      <c r="T113" s="1"/>
      <c r="U113" s="1"/>
      <c r="AR113" s="10" t="s">
        <v>27</v>
      </c>
      <c r="AS113" s="38">
        <v>1.7163615759317543</v>
      </c>
      <c r="AT113" s="38">
        <v>1.78276116206738</v>
      </c>
      <c r="AU113" s="38">
        <v>1.8061851912323994</v>
      </c>
      <c r="AV113" s="38">
        <v>1.8443734529226461</v>
      </c>
    </row>
    <row r="114" spans="9:48" x14ac:dyDescent="0.2">
      <c r="I114" t="s">
        <v>30</v>
      </c>
      <c r="AR114" s="10" t="s">
        <v>28</v>
      </c>
      <c r="AS114" s="38">
        <v>1.7557256753332595</v>
      </c>
      <c r="AT114" s="38">
        <v>1.7710338342393981</v>
      </c>
      <c r="AU114" s="38">
        <v>1.7947230067554127</v>
      </c>
      <c r="AV114" s="38">
        <v>1.853831327876001</v>
      </c>
    </row>
    <row r="115" spans="9:48" x14ac:dyDescent="0.2">
      <c r="J115" t="s">
        <v>18</v>
      </c>
      <c r="K115" t="s">
        <v>5</v>
      </c>
      <c r="L115" t="s">
        <v>7</v>
      </c>
      <c r="M115" t="s">
        <v>19</v>
      </c>
      <c r="N115" t="s">
        <v>20</v>
      </c>
      <c r="O115" t="s">
        <v>21</v>
      </c>
      <c r="P115" t="s">
        <v>22</v>
      </c>
      <c r="Q115" t="s">
        <v>26</v>
      </c>
      <c r="R115" t="s">
        <v>12</v>
      </c>
      <c r="S115" t="s">
        <v>23</v>
      </c>
      <c r="T115" t="s">
        <v>23</v>
      </c>
      <c r="AR115" s="10">
        <v>100</v>
      </c>
      <c r="AS115" s="38">
        <v>1.6349650568656682</v>
      </c>
      <c r="AT115" s="38">
        <v>1.7343135328665802</v>
      </c>
      <c r="AU115" s="38">
        <v>1.7529634527829039</v>
      </c>
      <c r="AV115" s="38">
        <v>1.808506078989484</v>
      </c>
    </row>
    <row r="116" spans="9:48" x14ac:dyDescent="0.2">
      <c r="I116" t="s">
        <v>55</v>
      </c>
      <c r="J116">
        <v>1040.005316</v>
      </c>
      <c r="K116">
        <v>-26182.608162</v>
      </c>
      <c r="L116">
        <v>62792.598997000001</v>
      </c>
      <c r="M116">
        <v>-1.1815850000000001</v>
      </c>
      <c r="N116">
        <v>28.778721000000001</v>
      </c>
      <c r="O116">
        <v>171.805127</v>
      </c>
      <c r="P116">
        <v>12.699921</v>
      </c>
      <c r="Q116">
        <f>$E$41</f>
        <v>-6.7245818759000002</v>
      </c>
      <c r="R116">
        <f>K116-3904*Q116</f>
        <v>70.159481513601349</v>
      </c>
      <c r="S116">
        <f>R116/(2*N116*P116)</f>
        <v>9.5980689821391865E-2</v>
      </c>
      <c r="T116">
        <f>S116*16.02</f>
        <v>1.5376106509386975</v>
      </c>
      <c r="AR116" s="10">
        <v>110</v>
      </c>
      <c r="AS116" s="38">
        <v>1.4810177147704797</v>
      </c>
      <c r="AT116" s="38">
        <v>1.5151129892187154</v>
      </c>
      <c r="AU116" s="38">
        <v>1.5416771362066366</v>
      </c>
      <c r="AV116" s="38">
        <v>1.5867656309211764</v>
      </c>
    </row>
    <row r="117" spans="9:48" x14ac:dyDescent="0.2">
      <c r="J117">
        <v>1040.4039319999999</v>
      </c>
      <c r="K117">
        <v>-26182.054950999998</v>
      </c>
      <c r="L117">
        <v>62794.119149999999</v>
      </c>
      <c r="M117">
        <v>-1.387316</v>
      </c>
      <c r="N117">
        <v>28.779309000000001</v>
      </c>
      <c r="O117">
        <v>171.80326299999999</v>
      </c>
      <c r="P117">
        <v>12.700106999999999</v>
      </c>
      <c r="Q117">
        <f>$E$41</f>
        <v>-6.7245818759000002</v>
      </c>
      <c r="R117">
        <f>K117-3904*Q117</f>
        <v>70.712692513603542</v>
      </c>
      <c r="S117">
        <f>R117/(2*N117*P117)</f>
        <v>9.6734109110809902E-2</v>
      </c>
      <c r="T117">
        <f>S117*16.02</f>
        <v>1.5496804279551746</v>
      </c>
      <c r="AR117" s="10">
        <v>111</v>
      </c>
      <c r="AS117" s="38">
        <v>1.8048101730822874</v>
      </c>
      <c r="AT117" s="38">
        <v>1.8102461152713922</v>
      </c>
      <c r="AU117" s="38">
        <v>1.8291206738667984</v>
      </c>
      <c r="AV117" s="38">
        <v>1.8759862010967201</v>
      </c>
    </row>
    <row r="118" spans="9:48" x14ac:dyDescent="0.2">
      <c r="J118">
        <v>1040.365587</v>
      </c>
      <c r="K118">
        <v>-26176.353620000002</v>
      </c>
      <c r="L118">
        <v>62807.025678999998</v>
      </c>
      <c r="M118">
        <v>-1.1807380000000001</v>
      </c>
      <c r="N118">
        <v>28.776294</v>
      </c>
      <c r="O118">
        <v>171.80064100000001</v>
      </c>
      <c r="P118">
        <v>12.704242000000001</v>
      </c>
      <c r="Q118">
        <f>$E$41</f>
        <v>-6.7245818759000002</v>
      </c>
      <c r="R118">
        <f>K118-3904*Q118</f>
        <v>76.414023513600114</v>
      </c>
      <c r="S118">
        <f>R118/(2*N118*P118)</f>
        <v>0.10451038609796352</v>
      </c>
      <c r="T118" s="1">
        <f>S118*16.02</f>
        <v>1.6742563852893757</v>
      </c>
      <c r="AR118" s="10"/>
      <c r="AS118" s="10"/>
      <c r="AT118" s="10"/>
      <c r="AU118" s="10"/>
      <c r="AV118" s="10"/>
    </row>
    <row r="119" spans="9:48" x14ac:dyDescent="0.2">
      <c r="J119">
        <v>1040.4895280000001</v>
      </c>
      <c r="K119">
        <v>-26183.070698</v>
      </c>
      <c r="L119">
        <v>62791.689273999997</v>
      </c>
      <c r="M119">
        <v>-1.338327</v>
      </c>
      <c r="N119">
        <v>28.779964</v>
      </c>
      <c r="O119">
        <v>171.79582199999999</v>
      </c>
      <c r="P119">
        <v>12.699877000000001</v>
      </c>
      <c r="Q119">
        <f>$E$41</f>
        <v>-6.7245818759000002</v>
      </c>
      <c r="R119">
        <f>K119-3904*Q119</f>
        <v>69.696945513602259</v>
      </c>
      <c r="S119">
        <f>R119/(2*N119*P119)</f>
        <v>9.5344136239185334E-2</v>
      </c>
      <c r="T119">
        <f>S119*16.02</f>
        <v>1.527413062551749</v>
      </c>
      <c r="AR119" s="10" t="s">
        <v>29</v>
      </c>
      <c r="AS119" s="12">
        <v>600</v>
      </c>
      <c r="AT119" s="12">
        <v>800</v>
      </c>
      <c r="AU119" s="12">
        <v>1000</v>
      </c>
      <c r="AV119" s="12">
        <v>1200</v>
      </c>
    </row>
    <row r="120" spans="9:48" x14ac:dyDescent="0.2">
      <c r="J120">
        <v>1040.273884</v>
      </c>
      <c r="K120">
        <v>-26182.307708</v>
      </c>
      <c r="L120">
        <v>62793.404511000001</v>
      </c>
      <c r="M120">
        <v>-1.4543330000000001</v>
      </c>
      <c r="N120">
        <v>28.779070999999998</v>
      </c>
      <c r="O120">
        <v>171.804238</v>
      </c>
      <c r="P120">
        <v>12.699996000000001</v>
      </c>
      <c r="Q120">
        <f>$E$41</f>
        <v>-6.7245818759000002</v>
      </c>
      <c r="R120">
        <f>K120-3904*Q120</f>
        <v>70.459935513601522</v>
      </c>
      <c r="S120">
        <f>R120/(2*N120*P120)</f>
        <v>9.638998016656386E-2</v>
      </c>
      <c r="T120">
        <f>S120*16.02</f>
        <v>1.5441674822683531</v>
      </c>
      <c r="AR120" s="10" t="s">
        <v>17</v>
      </c>
      <c r="AS120" s="38">
        <v>1.1417847241190653</v>
      </c>
      <c r="AT120" s="38">
        <v>1.2121254441008973</v>
      </c>
      <c r="AU120" s="38">
        <v>1.2383491451758224</v>
      </c>
      <c r="AV120" s="38">
        <v>1.3123225079497538</v>
      </c>
    </row>
    <row r="121" spans="9:48" x14ac:dyDescent="0.2">
      <c r="T121" s="1">
        <f>AVERAGE(T116:T120)</f>
        <v>1.5666256018006701</v>
      </c>
      <c r="U121" s="1">
        <f>STDEV(T116:T120)</f>
        <v>6.0735867104712897E-2</v>
      </c>
      <c r="V121">
        <f>AVERAGE(T116:T117,T119:T120)</f>
        <v>1.5397179059284936</v>
      </c>
      <c r="AR121" s="10" t="s">
        <v>27</v>
      </c>
      <c r="AS121" s="38">
        <v>1.1807320121333085</v>
      </c>
      <c r="AT121" s="38">
        <v>1.2207595440044074</v>
      </c>
      <c r="AU121" s="38">
        <v>1.2661057820168231</v>
      </c>
      <c r="AV121" s="38">
        <v>1.4054753903948574</v>
      </c>
    </row>
    <row r="122" spans="9:48" x14ac:dyDescent="0.2">
      <c r="I122" t="s">
        <v>133</v>
      </c>
      <c r="J122">
        <v>1115.649633</v>
      </c>
      <c r="K122">
        <v>-21245.233887999999</v>
      </c>
      <c r="L122">
        <v>50968.173096999999</v>
      </c>
      <c r="M122">
        <v>-2.090217</v>
      </c>
      <c r="N122">
        <v>22.475196</v>
      </c>
      <c r="O122">
        <v>178.55053599999999</v>
      </c>
      <c r="P122">
        <v>12.700905000000001</v>
      </c>
      <c r="Q122">
        <f>$E$41</f>
        <v>-6.7245818759000002</v>
      </c>
      <c r="R122">
        <f>K122-3168*Q122</f>
        <v>58.241494851201423</v>
      </c>
      <c r="S122">
        <f>R122/(2*N122*P122)</f>
        <v>0.102015077111607</v>
      </c>
      <c r="T122">
        <f>S122*16.02</f>
        <v>1.6342815353279441</v>
      </c>
      <c r="AR122" s="10" t="s">
        <v>28</v>
      </c>
      <c r="AS122" s="38">
        <v>1.1877466988904259</v>
      </c>
      <c r="AT122" s="38">
        <v>1.2532842134072641</v>
      </c>
      <c r="AU122" s="38">
        <v>1.2851510516876756</v>
      </c>
      <c r="AV122" s="38">
        <v>1.3718581682805524</v>
      </c>
    </row>
    <row r="123" spans="9:48" x14ac:dyDescent="0.2">
      <c r="J123">
        <v>1115.4228129999999</v>
      </c>
      <c r="K123">
        <v>-21244.868472999999</v>
      </c>
      <c r="L123">
        <v>50972.227813999998</v>
      </c>
      <c r="M123">
        <v>-1.90391</v>
      </c>
      <c r="N123">
        <v>22.473877999999999</v>
      </c>
      <c r="O123">
        <v>178.59726499999999</v>
      </c>
      <c r="P123">
        <v>12.699336000000001</v>
      </c>
      <c r="Q123">
        <f>$E$41</f>
        <v>-6.7245818759000002</v>
      </c>
      <c r="R123">
        <f t="shared" ref="R123:R126" si="13">K123-3168*Q123</f>
        <v>58.606909851201635</v>
      </c>
      <c r="S123">
        <f>R123/(2*N123*P123)</f>
        <v>0.10267383753579445</v>
      </c>
      <c r="T123">
        <f>S123*16.02</f>
        <v>1.6448348773234271</v>
      </c>
      <c r="AR123" s="10">
        <v>100</v>
      </c>
      <c r="AS123" s="38">
        <v>1.1490538956680909</v>
      </c>
      <c r="AT123" s="38">
        <v>1.2325829072111127</v>
      </c>
      <c r="AU123" s="38">
        <v>1.308266323894304</v>
      </c>
      <c r="AV123" s="38">
        <v>1.4710324200061364</v>
      </c>
    </row>
    <row r="124" spans="9:48" x14ac:dyDescent="0.2">
      <c r="J124">
        <v>1114.920509</v>
      </c>
      <c r="K124">
        <v>-21245.483386</v>
      </c>
      <c r="L124">
        <v>50967.065742999999</v>
      </c>
      <c r="M124">
        <v>-1.5983130000000001</v>
      </c>
      <c r="N124">
        <v>22.474927999999998</v>
      </c>
      <c r="O124">
        <v>178.555069</v>
      </c>
      <c r="P124">
        <v>12.700457999999999</v>
      </c>
      <c r="Q124">
        <f>$E$41</f>
        <v>-6.7245818759000002</v>
      </c>
      <c r="R124">
        <f t="shared" si="13"/>
        <v>57.991996851200383</v>
      </c>
      <c r="S124">
        <f>R124/(2*N124*P124)</f>
        <v>0.10158284592049145</v>
      </c>
      <c r="T124">
        <f>S124*16.02</f>
        <v>1.627357191646273</v>
      </c>
      <c r="AR124" s="10">
        <v>110</v>
      </c>
      <c r="AS124" s="38">
        <v>1.0323195233449924</v>
      </c>
      <c r="AT124" s="38">
        <v>1.0584171184492379</v>
      </c>
      <c r="AU124" s="38">
        <v>1.0736883313771581</v>
      </c>
      <c r="AV124" s="38">
        <v>1.1585881257158659</v>
      </c>
    </row>
    <row r="125" spans="9:48" x14ac:dyDescent="0.2">
      <c r="J125">
        <v>1115.3873900000001</v>
      </c>
      <c r="K125">
        <v>-21246.075497000002</v>
      </c>
      <c r="L125">
        <v>50969.237760999997</v>
      </c>
      <c r="M125">
        <v>-1.8791739999999999</v>
      </c>
      <c r="N125">
        <v>22.473265999999999</v>
      </c>
      <c r="O125">
        <v>178.582617</v>
      </c>
      <c r="P125">
        <v>12.69998</v>
      </c>
      <c r="Q125">
        <f>$E$41</f>
        <v>-6.7245818759000002</v>
      </c>
      <c r="R125">
        <f t="shared" si="13"/>
        <v>57.399885851198633</v>
      </c>
      <c r="S125">
        <f>R125/(2*N125*P125)</f>
        <v>0.10055688320706863</v>
      </c>
      <c r="T125">
        <f>S125*16.02</f>
        <v>1.6109212689772394</v>
      </c>
      <c r="X125" s="1"/>
      <c r="Y125" s="1"/>
      <c r="AR125" s="10">
        <v>111</v>
      </c>
      <c r="AS125" s="38">
        <v>1.2081286544086183</v>
      </c>
      <c r="AT125" s="38">
        <v>1.2445777221215129</v>
      </c>
      <c r="AU125" s="38">
        <v>1.2806942855155452</v>
      </c>
      <c r="AV125" s="38">
        <v>1.4301299924612976</v>
      </c>
    </row>
    <row r="126" spans="9:48" x14ac:dyDescent="0.2">
      <c r="J126">
        <v>1116.065374</v>
      </c>
      <c r="K126">
        <v>-21245.829304999999</v>
      </c>
      <c r="L126">
        <v>50969.945977000003</v>
      </c>
      <c r="M126">
        <v>-1.823172</v>
      </c>
      <c r="N126">
        <v>22.474404</v>
      </c>
      <c r="O126">
        <v>178.57881499999999</v>
      </c>
      <c r="P126">
        <v>12.699783</v>
      </c>
      <c r="Q126">
        <f>$E$41</f>
        <v>-6.7245818759000002</v>
      </c>
      <c r="R126">
        <f t="shared" si="13"/>
        <v>57.646077851200971</v>
      </c>
      <c r="S126">
        <f>R126/(2*N126*P126)</f>
        <v>0.10098463137530873</v>
      </c>
      <c r="T126">
        <f>S126*16.02</f>
        <v>1.617773794632446</v>
      </c>
      <c r="AR126" s="10"/>
      <c r="AS126" s="10"/>
      <c r="AT126" s="10"/>
      <c r="AU126" s="10"/>
      <c r="AV126" s="10"/>
    </row>
    <row r="127" spans="9:48" x14ac:dyDescent="0.2">
      <c r="T127" s="1">
        <f>AVERAGE(T122:T126)</f>
        <v>1.627033733581466</v>
      </c>
      <c r="U127" s="1">
        <f>STDEV(T122:T126)</f>
        <v>1.3368563486402852E-2</v>
      </c>
      <c r="W127" s="1">
        <v>1.5666256018006701</v>
      </c>
      <c r="AR127" s="10" t="s">
        <v>30</v>
      </c>
      <c r="AS127" s="12">
        <v>600</v>
      </c>
      <c r="AT127" s="12">
        <v>800</v>
      </c>
      <c r="AU127" s="12">
        <v>1000</v>
      </c>
      <c r="AV127" s="12">
        <v>1200</v>
      </c>
    </row>
    <row r="128" spans="9:48" x14ac:dyDescent="0.2">
      <c r="I128" t="s">
        <v>28</v>
      </c>
      <c r="J128">
        <v>1115.6447760000001</v>
      </c>
      <c r="K128">
        <v>-49904.693869000002</v>
      </c>
      <c r="L128">
        <v>119668.40831699999</v>
      </c>
      <c r="M128">
        <v>-0.78497099999999997</v>
      </c>
      <c r="N128">
        <v>32.404637000000001</v>
      </c>
      <c r="O128">
        <v>193.82454100000001</v>
      </c>
      <c r="P128">
        <v>19.053014000000001</v>
      </c>
      <c r="Q128">
        <f>$E$41</f>
        <v>-6.7245818759000002</v>
      </c>
      <c r="R128">
        <f>K128-7440*Q128</f>
        <v>126.19528769599856</v>
      </c>
      <c r="S128">
        <f>R128/(2*N128*P128)</f>
        <v>0.10219797604829782</v>
      </c>
      <c r="T128">
        <f>S128*16.02</f>
        <v>1.6372115762937309</v>
      </c>
      <c r="W128" s="1">
        <v>1.627033733581466</v>
      </c>
      <c r="AR128" s="10" t="s">
        <v>17</v>
      </c>
      <c r="AS128" s="38">
        <v>4.7582232490558258</v>
      </c>
      <c r="AT128" s="38">
        <v>4.7538273401141842</v>
      </c>
      <c r="AU128" s="38">
        <v>4.7809255882189472</v>
      </c>
      <c r="AV128" s="38">
        <v>4.8393300006629412</v>
      </c>
    </row>
    <row r="129" spans="9:48" x14ac:dyDescent="0.2">
      <c r="J129">
        <v>1115.1827579999999</v>
      </c>
      <c r="K129">
        <v>-49904.544275</v>
      </c>
      <c r="L129">
        <v>119667.989654</v>
      </c>
      <c r="M129">
        <v>-1.0820890000000001</v>
      </c>
      <c r="N129">
        <v>32.406010999999999</v>
      </c>
      <c r="O129">
        <v>193.819759</v>
      </c>
      <c r="P129">
        <v>19.052610000000001</v>
      </c>
      <c r="Q129">
        <f>$E$41</f>
        <v>-6.7245818759000002</v>
      </c>
      <c r="R129">
        <f>K129-7440*Q129</f>
        <v>126.34488169600081</v>
      </c>
      <c r="S129">
        <f>R129/(2*N129*P129)</f>
        <v>0.10231695447883427</v>
      </c>
      <c r="T129">
        <f>S129*16.02</f>
        <v>1.6391176107509249</v>
      </c>
      <c r="W129" s="1">
        <v>1.6414871981148256</v>
      </c>
      <c r="AR129" s="10" t="s">
        <v>27</v>
      </c>
      <c r="AS129" s="38">
        <v>4.8118605830360286</v>
      </c>
      <c r="AT129" s="38">
        <v>4.8121998602234983</v>
      </c>
      <c r="AU129" s="38">
        <v>4.8438640596663927</v>
      </c>
      <c r="AV129" s="38">
        <v>4.9045824192571121</v>
      </c>
    </row>
    <row r="130" spans="9:48" x14ac:dyDescent="0.2">
      <c r="J130">
        <v>1115.617939</v>
      </c>
      <c r="K130">
        <v>-49904.276574000003</v>
      </c>
      <c r="L130">
        <v>119668.703958</v>
      </c>
      <c r="M130">
        <v>-1.051256</v>
      </c>
      <c r="N130">
        <v>32.404322000000001</v>
      </c>
      <c r="O130">
        <v>193.82570899999999</v>
      </c>
      <c r="P130">
        <v>19.053132000000002</v>
      </c>
      <c r="Q130">
        <f>$E$41</f>
        <v>-6.7245818759000002</v>
      </c>
      <c r="R130">
        <f>K130-7440*Q130</f>
        <v>126.61258269599784</v>
      </c>
      <c r="S130">
        <f>R130/(2*N130*P130)</f>
        <v>0.10253627989068209</v>
      </c>
      <c r="T130">
        <f>S130*16.02</f>
        <v>1.642631203848727</v>
      </c>
      <c r="W130" s="1">
        <v>1.854505171310932</v>
      </c>
      <c r="AR130" s="10" t="s">
        <v>28</v>
      </c>
      <c r="AS130" s="38">
        <v>4.8390791770074149</v>
      </c>
      <c r="AT130" s="38">
        <v>4.8467911389346003</v>
      </c>
      <c r="AU130" s="38">
        <v>4.8884868144795872</v>
      </c>
      <c r="AV130" s="38">
        <v>4.9678962319767086</v>
      </c>
    </row>
    <row r="131" spans="9:48" x14ac:dyDescent="0.2">
      <c r="J131">
        <v>1115.401728</v>
      </c>
      <c r="K131">
        <v>-49904.637376999999</v>
      </c>
      <c r="L131">
        <v>119667.900675</v>
      </c>
      <c r="M131">
        <v>-0.70664300000000002</v>
      </c>
      <c r="N131">
        <v>32.405116999999997</v>
      </c>
      <c r="O131">
        <v>193.822946</v>
      </c>
      <c r="P131">
        <v>19.052807000000001</v>
      </c>
      <c r="Q131">
        <f>$E$41</f>
        <v>-6.7245818759000002</v>
      </c>
      <c r="R131">
        <f>K131-7440*Q131</f>
        <v>126.2517796960019</v>
      </c>
      <c r="S131">
        <f>R131/(2*N131*P131)</f>
        <v>0.1022433218545392</v>
      </c>
      <c r="T131">
        <f>S131*16.02</f>
        <v>1.6379380161097179</v>
      </c>
      <c r="W131" s="1">
        <v>1.5770724526863764</v>
      </c>
      <c r="X131" s="1"/>
      <c r="Y131" s="1"/>
      <c r="AR131" s="10">
        <v>100</v>
      </c>
      <c r="AS131" s="38">
        <v>4.8396626624633896</v>
      </c>
      <c r="AT131" s="38">
        <v>4.8444544838373629</v>
      </c>
      <c r="AU131" s="38">
        <v>4.8846242298380975</v>
      </c>
      <c r="AV131" s="38">
        <v>5.0280277923367809</v>
      </c>
    </row>
    <row r="132" spans="9:48" x14ac:dyDescent="0.2">
      <c r="J132">
        <v>1115.301164</v>
      </c>
      <c r="K132">
        <v>-49903.666545</v>
      </c>
      <c r="L132">
        <v>119670.409554</v>
      </c>
      <c r="M132">
        <v>-0.90816399999999997</v>
      </c>
      <c r="N132">
        <v>32.405512000000002</v>
      </c>
      <c r="O132">
        <v>193.82753099999999</v>
      </c>
      <c r="P132">
        <v>19.052523999999998</v>
      </c>
      <c r="Q132">
        <f>$E$41</f>
        <v>-6.7245818759000002</v>
      </c>
      <c r="R132">
        <f>K132-7440*Q132</f>
        <v>127.22261169600097</v>
      </c>
      <c r="S132">
        <f>R132/(2*N132*P132)</f>
        <v>0.10302981170855346</v>
      </c>
      <c r="T132">
        <f>S132*16.02</f>
        <v>1.6505375835710265</v>
      </c>
      <c r="W132" s="1">
        <v>1.883713719000039</v>
      </c>
      <c r="AR132" s="10">
        <v>110</v>
      </c>
      <c r="AS132" s="38">
        <v>4.5880188560511765</v>
      </c>
      <c r="AT132" s="38">
        <v>4.5804504923295521</v>
      </c>
      <c r="AU132" s="38">
        <v>4.5866562912623916</v>
      </c>
      <c r="AV132" s="38">
        <v>4.6067631578378423</v>
      </c>
    </row>
    <row r="133" spans="9:48" x14ac:dyDescent="0.2">
      <c r="T133" s="1">
        <f>AVERAGE(T128:T132)</f>
        <v>1.6414871981148256</v>
      </c>
      <c r="U133" s="1">
        <f>STDEV(T128:T132)</f>
        <v>5.4706216548618082E-3</v>
      </c>
      <c r="W133" s="1">
        <v>1.6422828812404018</v>
      </c>
      <c r="AR133" s="10">
        <v>111</v>
      </c>
      <c r="AS133" s="38">
        <v>4.9622075622336181</v>
      </c>
      <c r="AT133" s="38">
        <v>4.9499576332028132</v>
      </c>
      <c r="AU133" s="38">
        <v>4.9717847481598731</v>
      </c>
      <c r="AV133" s="38">
        <v>5.0108852605579326</v>
      </c>
    </row>
    <row r="134" spans="9:48" x14ac:dyDescent="0.2">
      <c r="I134" t="s">
        <v>134</v>
      </c>
      <c r="J134">
        <v>1115.5032880000001</v>
      </c>
      <c r="K134">
        <v>-21656.846415</v>
      </c>
      <c r="L134">
        <v>52023.859553000002</v>
      </c>
      <c r="M134">
        <v>-1.8010969999999999</v>
      </c>
      <c r="N134">
        <v>26.202203999999998</v>
      </c>
      <c r="O134">
        <v>156.38801799999999</v>
      </c>
      <c r="P134">
        <v>12.695841</v>
      </c>
      <c r="Q134">
        <f>$E$41</f>
        <v>-6.7245818759000002</v>
      </c>
      <c r="R134">
        <f>K134-3232*Q134</f>
        <v>77.002207908801211</v>
      </c>
      <c r="S134">
        <f>R134/(2*N134*P134)</f>
        <v>0.11573744321321353</v>
      </c>
      <c r="T134">
        <f>S134*16.02</f>
        <v>1.8541138402756807</v>
      </c>
      <c r="W134" s="1">
        <v>2.0006909934980874</v>
      </c>
      <c r="AR134" s="10"/>
      <c r="AS134" s="10"/>
      <c r="AT134" s="10"/>
      <c r="AU134" s="10"/>
      <c r="AV134" s="10"/>
    </row>
    <row r="135" spans="9:48" x14ac:dyDescent="0.2">
      <c r="J135">
        <v>1115.17</v>
      </c>
      <c r="K135">
        <v>-21656.812602000002</v>
      </c>
      <c r="L135">
        <v>52023.369253999997</v>
      </c>
      <c r="M135">
        <v>-1.9212549999999999</v>
      </c>
      <c r="N135">
        <v>26.205954999999999</v>
      </c>
      <c r="O135">
        <v>156.35536999999999</v>
      </c>
      <c r="P135">
        <v>12.696555999999999</v>
      </c>
      <c r="Q135">
        <f>$E$41</f>
        <v>-6.7245818759000002</v>
      </c>
      <c r="R135">
        <f t="shared" ref="R135:R138" si="14">K135-3232*Q135</f>
        <v>77.036020908799401</v>
      </c>
      <c r="S135">
        <f>R135/(2*N135*P135)</f>
        <v>0.11576517250086764</v>
      </c>
      <c r="T135">
        <f>S135*16.02</f>
        <v>1.8545580634638996</v>
      </c>
      <c r="W135" s="1">
        <v>1.7893793269788809</v>
      </c>
    </row>
    <row r="136" spans="9:48" x14ac:dyDescent="0.2">
      <c r="J136">
        <v>1115.6458970000001</v>
      </c>
      <c r="K136">
        <v>-21656.976532000001</v>
      </c>
      <c r="L136">
        <v>52024.079046999999</v>
      </c>
      <c r="M136">
        <v>-1.8511470000000001</v>
      </c>
      <c r="N136">
        <v>26.207017</v>
      </c>
      <c r="O136">
        <v>156.35503199999999</v>
      </c>
      <c r="P136">
        <v>12.696241000000001</v>
      </c>
      <c r="Q136">
        <f>$E$41</f>
        <v>-6.7245818759000002</v>
      </c>
      <c r="R136">
        <f t="shared" si="14"/>
        <v>76.872090908800601</v>
      </c>
      <c r="S136">
        <f>R136/(2*N136*P136)</f>
        <v>0.11551701293574818</v>
      </c>
      <c r="T136">
        <f>S136*16.02</f>
        <v>1.8505825472306858</v>
      </c>
      <c r="W136" s="1">
        <v>1.6954001980512092</v>
      </c>
    </row>
    <row r="137" spans="9:48" x14ac:dyDescent="0.2">
      <c r="J137">
        <v>1115.2581700000001</v>
      </c>
      <c r="K137">
        <v>-21656.614774999998</v>
      </c>
      <c r="L137">
        <v>52026.282869000002</v>
      </c>
      <c r="M137">
        <v>-1.7062520000000001</v>
      </c>
      <c r="N137">
        <v>26.206427000000001</v>
      </c>
      <c r="O137">
        <v>156.37221700000001</v>
      </c>
      <c r="P137">
        <v>12.69567</v>
      </c>
      <c r="Q137">
        <f>$E$41</f>
        <v>-6.7245818759000002</v>
      </c>
      <c r="R137">
        <f t="shared" si="14"/>
        <v>77.233847908803</v>
      </c>
      <c r="S137">
        <f>R137/(2*N137*P137)</f>
        <v>0.1160684643950521</v>
      </c>
      <c r="T137">
        <f>S137*16.02</f>
        <v>1.8594167996087345</v>
      </c>
      <c r="X137" s="1"/>
      <c r="Y137" s="1"/>
    </row>
    <row r="138" spans="9:48" x14ac:dyDescent="0.2">
      <c r="J138">
        <v>1115.390355</v>
      </c>
      <c r="K138">
        <v>-21656.856952999999</v>
      </c>
      <c r="L138">
        <v>52024.671020000002</v>
      </c>
      <c r="M138">
        <v>-2.0124659999999999</v>
      </c>
      <c r="N138">
        <v>26.201872999999999</v>
      </c>
      <c r="O138">
        <v>156.390004</v>
      </c>
      <c r="P138">
        <v>12.696039000000001</v>
      </c>
      <c r="Q138">
        <f>$E$41</f>
        <v>-6.7245818759000002</v>
      </c>
      <c r="R138">
        <f t="shared" si="14"/>
        <v>76.991669908802578</v>
      </c>
      <c r="S138">
        <f>R138/(2*N138*P138)</f>
        <v>0.11572126129685764</v>
      </c>
      <c r="T138">
        <f>S138*16.02</f>
        <v>1.8538546059756593</v>
      </c>
    </row>
    <row r="139" spans="9:48" x14ac:dyDescent="0.2">
      <c r="T139" s="1">
        <f>AVERAGE(T134:T138)</f>
        <v>1.854505171310932</v>
      </c>
      <c r="U139" s="1">
        <f>STDEV(T134:T138)</f>
        <v>3.1658428982324926E-3</v>
      </c>
    </row>
    <row r="140" spans="9:48" x14ac:dyDescent="0.2">
      <c r="I140" t="s">
        <v>27</v>
      </c>
      <c r="J140">
        <v>1115.351678</v>
      </c>
      <c r="K140">
        <v>-32202.907719999999</v>
      </c>
      <c r="L140">
        <v>77164.588948999997</v>
      </c>
      <c r="M140">
        <v>-1.58145</v>
      </c>
      <c r="N140">
        <v>30.139023000000002</v>
      </c>
      <c r="O140">
        <v>201.57223099999999</v>
      </c>
      <c r="P140">
        <v>12.701597</v>
      </c>
      <c r="Q140">
        <f>$E$41</f>
        <v>-6.7245818759000002</v>
      </c>
      <c r="R140">
        <f>K140-4800*Q140</f>
        <v>75.085284320000937</v>
      </c>
      <c r="S140">
        <f>R140/(2*N140*P140)</f>
        <v>9.8070261839041106E-2</v>
      </c>
      <c r="T140">
        <f>S140*16.02</f>
        <v>1.5710855946614384</v>
      </c>
    </row>
    <row r="141" spans="9:48" x14ac:dyDescent="0.2">
      <c r="J141">
        <v>1115.455772</v>
      </c>
      <c r="K141">
        <v>-32202.152955000001</v>
      </c>
      <c r="L141">
        <v>77164.997338000001</v>
      </c>
      <c r="M141">
        <v>-1.1108979999999999</v>
      </c>
      <c r="N141">
        <v>30.139537000000001</v>
      </c>
      <c r="O141">
        <v>201.570055</v>
      </c>
      <c r="P141">
        <v>12.701584</v>
      </c>
      <c r="Q141">
        <f>$E$41</f>
        <v>-6.7245818759000002</v>
      </c>
      <c r="R141">
        <f>K141-4800*Q141</f>
        <v>75.840049319998798</v>
      </c>
      <c r="S141">
        <f>R141/(2*N141*P141)</f>
        <v>9.9054486275123546E-2</v>
      </c>
      <c r="T141">
        <f>S141*16.02</f>
        <v>1.5868528701274791</v>
      </c>
    </row>
    <row r="142" spans="9:48" x14ac:dyDescent="0.2">
      <c r="J142">
        <v>1115.167111</v>
      </c>
      <c r="K142">
        <v>-32203.022891000001</v>
      </c>
      <c r="L142">
        <v>77163.594868</v>
      </c>
      <c r="M142">
        <v>-1.297963</v>
      </c>
      <c r="N142">
        <v>30.138938</v>
      </c>
      <c r="O142">
        <v>201.570345</v>
      </c>
      <c r="P142">
        <v>12.701587</v>
      </c>
      <c r="Q142">
        <f>$E$41</f>
        <v>-6.7245818759000002</v>
      </c>
      <c r="R142">
        <f>K142-4800*Q142</f>
        <v>74.970113319999655</v>
      </c>
      <c r="S142">
        <f>R142/(2*N142*P142)</f>
        <v>9.7920188144863432E-2</v>
      </c>
      <c r="T142">
        <f>S142*16.02</f>
        <v>1.5686814140807122</v>
      </c>
    </row>
    <row r="143" spans="9:48" x14ac:dyDescent="0.2">
      <c r="J143">
        <v>1114.881754</v>
      </c>
      <c r="K143">
        <v>-32203.169300000001</v>
      </c>
      <c r="L143">
        <v>77162.406459999998</v>
      </c>
      <c r="M143">
        <v>-1.139489</v>
      </c>
      <c r="N143">
        <v>30.139521999999999</v>
      </c>
      <c r="O143">
        <v>201.57274200000001</v>
      </c>
      <c r="P143">
        <v>12.700994</v>
      </c>
      <c r="Q143">
        <f>$E$41</f>
        <v>-6.7245818759000002</v>
      </c>
      <c r="R143">
        <f>K143-4800*Q143</f>
        <v>74.823704319998797</v>
      </c>
      <c r="S143">
        <f>R143/(2*N143*P143)</f>
        <v>9.7731629138948006E-2</v>
      </c>
      <c r="T143">
        <f>S143*16.02</f>
        <v>1.5656606988059469</v>
      </c>
      <c r="X143" s="1"/>
      <c r="Y143" s="1"/>
    </row>
    <row r="144" spans="9:48" x14ac:dyDescent="0.2">
      <c r="J144">
        <v>1115.212407</v>
      </c>
      <c r="K144">
        <v>-32201.856067000001</v>
      </c>
      <c r="L144">
        <v>77165.465805</v>
      </c>
      <c r="M144">
        <v>-1.1084830000000001</v>
      </c>
      <c r="N144">
        <v>30.140277000000001</v>
      </c>
      <c r="O144">
        <v>201.57340300000001</v>
      </c>
      <c r="P144">
        <v>12.701138</v>
      </c>
      <c r="Q144">
        <f>$E$41</f>
        <v>-6.7245818759000002</v>
      </c>
      <c r="R144">
        <f>K144-4800*Q144</f>
        <v>76.136937319999561</v>
      </c>
      <c r="S144">
        <f>R144/(2*N144*P144)</f>
        <v>9.9443301233227616E-2</v>
      </c>
      <c r="T144">
        <f>S144*16.02</f>
        <v>1.5930816857563064</v>
      </c>
    </row>
    <row r="145" spans="9:25" x14ac:dyDescent="0.2">
      <c r="T145" s="1">
        <f>AVERAGE(T140:T144)</f>
        <v>1.5770724526863764</v>
      </c>
      <c r="U145" s="1">
        <f>STDEV(T140:T144)</f>
        <v>1.2128811084867049E-2</v>
      </c>
    </row>
    <row r="146" spans="9:25" x14ac:dyDescent="0.2">
      <c r="I146" t="s">
        <v>172</v>
      </c>
      <c r="J146">
        <v>1115.1274800000001</v>
      </c>
      <c r="K146">
        <v>-24673.412603000001</v>
      </c>
      <c r="L146">
        <v>59215.227852999997</v>
      </c>
      <c r="M146">
        <v>-1.5213220000000001</v>
      </c>
      <c r="N146">
        <v>24.209005000000001</v>
      </c>
      <c r="O146">
        <v>192.64112</v>
      </c>
      <c r="P146">
        <v>12.697191</v>
      </c>
      <c r="Q146">
        <f>$E$41</f>
        <v>-6.7245818759000002</v>
      </c>
      <c r="R146">
        <f>K146-3680*Q146</f>
        <v>73.04870031199971</v>
      </c>
      <c r="S146">
        <f>R146/(2*N146*P146)</f>
        <v>0.11882228641466776</v>
      </c>
      <c r="T146">
        <f>S146*16.02</f>
        <v>1.9035330283629774</v>
      </c>
    </row>
    <row r="147" spans="9:25" x14ac:dyDescent="0.2">
      <c r="J147">
        <v>1114.909267</v>
      </c>
      <c r="K147">
        <v>-24673.529836999998</v>
      </c>
      <c r="L147">
        <v>59214.690974999998</v>
      </c>
      <c r="M147">
        <v>-1.6295679999999999</v>
      </c>
      <c r="N147">
        <v>24.202971999999999</v>
      </c>
      <c r="O147">
        <v>192.682715</v>
      </c>
      <c r="P147">
        <v>12.697498</v>
      </c>
      <c r="Q147">
        <f>$E$41</f>
        <v>-6.7245818759000002</v>
      </c>
      <c r="R147">
        <f t="shared" ref="R147:R150" si="15">K147-3680*Q147</f>
        <v>72.931466312002158</v>
      </c>
      <c r="S147">
        <f>R147/(2*N147*P147)</f>
        <v>0.11865829349275173</v>
      </c>
      <c r="T147">
        <f>S147*16.02</f>
        <v>1.9009058617538825</v>
      </c>
    </row>
    <row r="148" spans="9:25" x14ac:dyDescent="0.2">
      <c r="J148">
        <v>1115.391709</v>
      </c>
      <c r="K148">
        <v>-24675.186249999999</v>
      </c>
      <c r="L148">
        <v>59212.174818</v>
      </c>
      <c r="M148">
        <v>-1.4952510000000001</v>
      </c>
      <c r="N148">
        <v>24.206804000000002</v>
      </c>
      <c r="O148">
        <v>192.65583100000001</v>
      </c>
      <c r="P148">
        <v>12.696721</v>
      </c>
      <c r="Q148">
        <f>$E$41</f>
        <v>-6.7245818759000002</v>
      </c>
      <c r="R148">
        <f t="shared" si="15"/>
        <v>71.275053312001546</v>
      </c>
      <c r="S148">
        <f>R148/(2*N148*P148)</f>
        <v>0.11595207502189959</v>
      </c>
      <c r="T148">
        <f>S148*16.02</f>
        <v>1.8575522418508315</v>
      </c>
    </row>
    <row r="149" spans="9:25" x14ac:dyDescent="0.2">
      <c r="J149">
        <v>1115.3533359999999</v>
      </c>
      <c r="K149">
        <v>-24674.632034999999</v>
      </c>
      <c r="L149">
        <v>59212.591160000004</v>
      </c>
      <c r="M149">
        <v>-1.837329</v>
      </c>
      <c r="N149">
        <v>24.202300999999999</v>
      </c>
      <c r="O149">
        <v>192.69233</v>
      </c>
      <c r="P149">
        <v>12.696766999999999</v>
      </c>
      <c r="Q149">
        <f>$E$41</f>
        <v>-6.7245818759000002</v>
      </c>
      <c r="R149">
        <f t="shared" si="15"/>
        <v>71.829268312001659</v>
      </c>
      <c r="S149">
        <f>R149/(2*N149*P149)</f>
        <v>0.11687500409631944</v>
      </c>
      <c r="T149">
        <f>S149*16.02</f>
        <v>1.8723375656230374</v>
      </c>
      <c r="X149" s="1"/>
      <c r="Y149" s="1"/>
    </row>
    <row r="150" spans="9:25" x14ac:dyDescent="0.2">
      <c r="J150">
        <v>1115.1944759999999</v>
      </c>
      <c r="K150">
        <v>-24674.155323999999</v>
      </c>
      <c r="L150">
        <v>59212.878369999999</v>
      </c>
      <c r="M150">
        <v>-1.5806640000000001</v>
      </c>
      <c r="N150">
        <v>24.207757999999998</v>
      </c>
      <c r="O150">
        <v>192.639702</v>
      </c>
      <c r="P150">
        <v>12.697433999999999</v>
      </c>
      <c r="Q150">
        <f>$E$41</f>
        <v>-6.7245818759000002</v>
      </c>
      <c r="R150">
        <f t="shared" si="15"/>
        <v>72.305979312001</v>
      </c>
      <c r="S150">
        <f>R150/(2*N150*P150)</f>
        <v>0.1176179711241865</v>
      </c>
      <c r="T150">
        <f>S150*16.02</f>
        <v>1.8842398974094676</v>
      </c>
    </row>
    <row r="151" spans="9:25" x14ac:dyDescent="0.2">
      <c r="T151" s="1">
        <f>AVERAGE(T146:T150)</f>
        <v>1.883713719000039</v>
      </c>
      <c r="U151" s="1">
        <f>STDEV(T146:T150)</f>
        <v>1.938099205469444E-2</v>
      </c>
    </row>
    <row r="152" spans="9:25" x14ac:dyDescent="0.2">
      <c r="I152" t="s">
        <v>17</v>
      </c>
      <c r="J152">
        <v>1115.414113</v>
      </c>
      <c r="K152">
        <v>-51067.273543000003</v>
      </c>
      <c r="L152">
        <v>122572.232879</v>
      </c>
      <c r="M152">
        <v>-0.84058900000000003</v>
      </c>
      <c r="N152">
        <v>28.426753000000001</v>
      </c>
      <c r="O152">
        <v>169.80695299999999</v>
      </c>
      <c r="P152">
        <v>25.392733</v>
      </c>
      <c r="Q152">
        <f>$E$41</f>
        <v>-6.7245818759000002</v>
      </c>
      <c r="R152">
        <f>K152-7616*Q152</f>
        <v>147.14202385440149</v>
      </c>
      <c r="S152">
        <f>R152/(2*N152*P152)</f>
        <v>0.10192249055762187</v>
      </c>
      <c r="T152">
        <f>S152*16.02</f>
        <v>1.6327982987331022</v>
      </c>
    </row>
    <row r="153" spans="9:25" x14ac:dyDescent="0.2">
      <c r="J153">
        <v>1115.6045180000001</v>
      </c>
      <c r="K153">
        <v>-51065.971753999998</v>
      </c>
      <c r="L153">
        <v>122576.291063</v>
      </c>
      <c r="M153">
        <v>-0.77527299999999999</v>
      </c>
      <c r="N153">
        <v>28.425846</v>
      </c>
      <c r="O153">
        <v>169.814752</v>
      </c>
      <c r="P153">
        <v>25.393218999999998</v>
      </c>
      <c r="Q153">
        <f>$E$41</f>
        <v>-6.7245818759000002</v>
      </c>
      <c r="R153">
        <f>K153-7616*Q153</f>
        <v>148.44381285440613</v>
      </c>
      <c r="S153">
        <f>R153/(2*N153*P153)</f>
        <v>0.10282552797985542</v>
      </c>
      <c r="T153">
        <f>S153*16.02</f>
        <v>1.6472649582372838</v>
      </c>
    </row>
    <row r="154" spans="9:25" x14ac:dyDescent="0.2">
      <c r="J154">
        <v>1115.319477</v>
      </c>
      <c r="K154">
        <v>-51066.229738000002</v>
      </c>
      <c r="L154">
        <v>122576.240613</v>
      </c>
      <c r="M154">
        <v>-0.84589700000000001</v>
      </c>
      <c r="N154">
        <v>28.425830999999999</v>
      </c>
      <c r="O154">
        <v>169.81533200000001</v>
      </c>
      <c r="P154">
        <v>25.393135000000001</v>
      </c>
      <c r="Q154">
        <f>$E$41</f>
        <v>-6.7245818759000002</v>
      </c>
      <c r="R154">
        <f>K154-7616*Q154</f>
        <v>148.18582885440264</v>
      </c>
      <c r="S154">
        <f>R154/(2*N154*P154)</f>
        <v>0.10264721879149664</v>
      </c>
      <c r="T154">
        <f>S154*16.02</f>
        <v>1.6444084450397762</v>
      </c>
    </row>
    <row r="155" spans="9:25" x14ac:dyDescent="0.2">
      <c r="J155">
        <v>1115.147281</v>
      </c>
      <c r="K155">
        <v>-51066.365508000003</v>
      </c>
      <c r="L155">
        <v>122574.921757</v>
      </c>
      <c r="M155">
        <v>-0.982402</v>
      </c>
      <c r="N155">
        <v>28.425932</v>
      </c>
      <c r="O155">
        <v>169.81194400000001</v>
      </c>
      <c r="P155">
        <v>25.393277999999999</v>
      </c>
      <c r="Q155">
        <f>$E$41</f>
        <v>-6.7245818759000002</v>
      </c>
      <c r="R155">
        <f>K155-7616*Q155</f>
        <v>148.05005885440187</v>
      </c>
      <c r="S155">
        <f>R155/(2*N155*P155)</f>
        <v>0.10255223002668286</v>
      </c>
      <c r="T155">
        <f>S155*16.02</f>
        <v>1.6428867250274592</v>
      </c>
      <c r="X155" s="1"/>
      <c r="Y155" s="1"/>
    </row>
    <row r="156" spans="9:25" x14ac:dyDescent="0.2">
      <c r="J156">
        <v>1115.290432</v>
      </c>
      <c r="K156">
        <v>-51066.260283000003</v>
      </c>
      <c r="L156">
        <v>122575.27963400001</v>
      </c>
      <c r="M156">
        <v>-0.87672300000000003</v>
      </c>
      <c r="N156">
        <v>28.426537</v>
      </c>
      <c r="O156">
        <v>169.81260399999999</v>
      </c>
      <c r="P156">
        <v>25.392713000000001</v>
      </c>
      <c r="Q156">
        <f>$E$41</f>
        <v>-6.7245818759000002</v>
      </c>
      <c r="R156">
        <f>K156-7616*Q156</f>
        <v>148.1552838544012</v>
      </c>
      <c r="S156">
        <f>R156/(2*N156*P156)</f>
        <v>0.10262521717630382</v>
      </c>
      <c r="T156">
        <f>S156*16.02</f>
        <v>1.6440559791643872</v>
      </c>
    </row>
    <row r="157" spans="9:25" x14ac:dyDescent="0.2">
      <c r="T157" s="1">
        <f>AVERAGE(T152:T156)</f>
        <v>1.6422828812404018</v>
      </c>
      <c r="U157" s="1">
        <f>STDEV(T152:T156)</f>
        <v>5.5408691008959525E-3</v>
      </c>
    </row>
    <row r="158" spans="9:25" x14ac:dyDescent="0.2">
      <c r="I158" t="s">
        <v>173</v>
      </c>
      <c r="J158">
        <v>1115.324486</v>
      </c>
      <c r="K158">
        <v>-43503.434286000003</v>
      </c>
      <c r="L158">
        <v>104401.091571</v>
      </c>
      <c r="M158">
        <v>-0.74533899999999997</v>
      </c>
      <c r="N158">
        <v>37.081223999999999</v>
      </c>
      <c r="O158">
        <v>221.75742199999999</v>
      </c>
      <c r="P158">
        <v>12.696175</v>
      </c>
      <c r="Q158">
        <f>$E$41</f>
        <v>-6.7245818759000002</v>
      </c>
      <c r="R158">
        <f>K158-6488*Q158</f>
        <v>125.6529248391962</v>
      </c>
      <c r="S158">
        <f>R158/(2*N158*P158)</f>
        <v>0.13344909882859063</v>
      </c>
      <c r="T158">
        <f>S158*16.02</f>
        <v>2.137854563234022</v>
      </c>
    </row>
    <row r="159" spans="9:25" x14ac:dyDescent="0.2">
      <c r="J159">
        <v>1115.559726</v>
      </c>
      <c r="K159">
        <v>-43510.403129999999</v>
      </c>
      <c r="L159">
        <v>104379.45282400001</v>
      </c>
      <c r="M159">
        <v>-0.96043900000000004</v>
      </c>
      <c r="N159">
        <v>37.083151999999998</v>
      </c>
      <c r="O159">
        <v>221.67512500000001</v>
      </c>
      <c r="P159">
        <v>12.697596000000001</v>
      </c>
      <c r="Q159">
        <f>$E$41</f>
        <v>-6.7245818759000002</v>
      </c>
      <c r="R159">
        <f t="shared" ref="R159:R162" si="16">K159-6488*Q159</f>
        <v>118.68408083920076</v>
      </c>
      <c r="S159">
        <f>R159/(2*N159*P159)</f>
        <v>0.12602721198867434</v>
      </c>
      <c r="T159">
        <f>S159*16.02</f>
        <v>2.0189559360585627</v>
      </c>
    </row>
    <row r="160" spans="9:25" x14ac:dyDescent="0.2">
      <c r="J160">
        <v>1115.3963289999999</v>
      </c>
      <c r="K160">
        <v>-43512.986721000001</v>
      </c>
      <c r="L160">
        <v>104371.49804999999</v>
      </c>
      <c r="M160">
        <v>-1.0130939999999999</v>
      </c>
      <c r="N160">
        <v>37.082692000000002</v>
      </c>
      <c r="O160">
        <v>221.67787200000001</v>
      </c>
      <c r="P160">
        <v>12.696629</v>
      </c>
      <c r="Q160">
        <f>$E$41</f>
        <v>-6.7245818759000002</v>
      </c>
      <c r="R160">
        <f t="shared" si="16"/>
        <v>116.10048983919842</v>
      </c>
      <c r="S160">
        <f>R160/(2*N160*P160)</f>
        <v>0.12329468995997986</v>
      </c>
      <c r="T160">
        <f>S160*16.02</f>
        <v>1.9751809331588772</v>
      </c>
    </row>
    <row r="161" spans="9:25" x14ac:dyDescent="0.2">
      <c r="J161">
        <v>1115.4496489999999</v>
      </c>
      <c r="K161">
        <v>-43516.054980000001</v>
      </c>
      <c r="L161">
        <v>104366.07526</v>
      </c>
      <c r="M161">
        <v>-0.88162200000000002</v>
      </c>
      <c r="N161">
        <v>37.084713999999998</v>
      </c>
      <c r="O161">
        <v>221.65440100000001</v>
      </c>
      <c r="P161">
        <v>12.696621</v>
      </c>
      <c r="Q161">
        <f>$E$41</f>
        <v>-6.7245818759000002</v>
      </c>
      <c r="R161">
        <f t="shared" si="16"/>
        <v>113.03223083919875</v>
      </c>
      <c r="S161">
        <f>R161/(2*N161*P161)</f>
        <v>0.12002983620424135</v>
      </c>
      <c r="T161">
        <f>S161*16.02</f>
        <v>1.9228779759919463</v>
      </c>
      <c r="X161" s="1"/>
      <c r="Y161" s="1"/>
    </row>
    <row r="162" spans="9:25" x14ac:dyDescent="0.2">
      <c r="J162">
        <v>1115.2918999999999</v>
      </c>
      <c r="K162">
        <v>-43514.534327000001</v>
      </c>
      <c r="L162">
        <v>104371.698701</v>
      </c>
      <c r="M162">
        <v>-1.0016970000000001</v>
      </c>
      <c r="N162">
        <v>37.082408999999998</v>
      </c>
      <c r="O162">
        <v>221.64799199999999</v>
      </c>
      <c r="P162">
        <v>12.698461999999999</v>
      </c>
      <c r="Q162">
        <f>$E$41</f>
        <v>-6.7245818759000002</v>
      </c>
      <c r="R162">
        <f t="shared" si="16"/>
        <v>114.55288383919833</v>
      </c>
      <c r="S162">
        <f>R162/(2*N162*P162)</f>
        <v>0.12163455424762985</v>
      </c>
      <c r="T162">
        <f>S162*16.02</f>
        <v>1.9485855590470302</v>
      </c>
    </row>
    <row r="163" spans="9:25" x14ac:dyDescent="0.2">
      <c r="T163" s="1">
        <f>AVERAGE(T158:T162)</f>
        <v>2.0006909934980874</v>
      </c>
      <c r="U163" s="1">
        <f>STDEV(T158:T162)</f>
        <v>8.4510440421134703E-2</v>
      </c>
    </row>
    <row r="164" spans="9:25" x14ac:dyDescent="0.2">
      <c r="I164" t="s">
        <v>174</v>
      </c>
      <c r="J164">
        <v>1115.414194</v>
      </c>
      <c r="K164">
        <v>-22100.033855000001</v>
      </c>
      <c r="L164">
        <v>53034.004510999999</v>
      </c>
      <c r="M164">
        <v>-1.6035520000000001</v>
      </c>
      <c r="N164">
        <v>22.93309</v>
      </c>
      <c r="O164">
        <v>182.17177799999999</v>
      </c>
      <c r="P164">
        <v>12.694362999999999</v>
      </c>
      <c r="Q164">
        <f>$E$41</f>
        <v>-6.7245818759000002</v>
      </c>
      <c r="R164">
        <f>K164-3296*Q164</f>
        <v>64.188007966400619</v>
      </c>
      <c r="S164">
        <f>R164/(2*N164*P164)</f>
        <v>0.11024284535228696</v>
      </c>
      <c r="T164">
        <f>S164*16.02</f>
        <v>1.7660903825436369</v>
      </c>
    </row>
    <row r="165" spans="9:25" x14ac:dyDescent="0.2">
      <c r="J165">
        <v>1115.1949340000001</v>
      </c>
      <c r="K165">
        <v>-22098.816717999998</v>
      </c>
      <c r="L165">
        <v>53039.116223999998</v>
      </c>
      <c r="M165">
        <v>-1.5330999999999999</v>
      </c>
      <c r="N165">
        <v>22.926023000000001</v>
      </c>
      <c r="O165">
        <v>182.227575</v>
      </c>
      <c r="P165">
        <v>12.695611</v>
      </c>
      <c r="Q165">
        <f>$E$41</f>
        <v>-6.7245818759000002</v>
      </c>
      <c r="R165">
        <f t="shared" ref="R165:R168" si="17">K165-3296*Q165</f>
        <v>65.405144966403896</v>
      </c>
      <c r="S165">
        <f>R165/(2*N165*P165)</f>
        <v>0.11235685808336517</v>
      </c>
      <c r="T165">
        <f>S165*16.02</f>
        <v>1.7999568664955099</v>
      </c>
    </row>
    <row r="166" spans="9:25" x14ac:dyDescent="0.2">
      <c r="J166">
        <v>1115.477349</v>
      </c>
      <c r="K166">
        <v>-22099.782467000001</v>
      </c>
      <c r="L166">
        <v>53036.433884999999</v>
      </c>
      <c r="M166">
        <v>-1.9237550000000001</v>
      </c>
      <c r="N166">
        <v>22.929670999999999</v>
      </c>
      <c r="O166">
        <v>182.18935200000001</v>
      </c>
      <c r="P166">
        <v>12.695613</v>
      </c>
      <c r="Q166">
        <f>$E$41</f>
        <v>-6.7245818759000002</v>
      </c>
      <c r="R166">
        <f t="shared" si="17"/>
        <v>64.439395966401207</v>
      </c>
      <c r="S166">
        <f>R166/(2*N166*P166)</f>
        <v>0.11068020793665795</v>
      </c>
      <c r="T166">
        <f>S166*16.02</f>
        <v>1.7730969311452602</v>
      </c>
    </row>
    <row r="167" spans="9:25" x14ac:dyDescent="0.2">
      <c r="J167">
        <v>1115.3007239999999</v>
      </c>
      <c r="K167">
        <v>-22098.326279000001</v>
      </c>
      <c r="L167">
        <v>53041.628392999999</v>
      </c>
      <c r="M167">
        <v>-1.2093119999999999</v>
      </c>
      <c r="N167">
        <v>22.927198000000001</v>
      </c>
      <c r="O167">
        <v>182.23482100000001</v>
      </c>
      <c r="P167">
        <v>12.695058</v>
      </c>
      <c r="Q167">
        <f>$E$41</f>
        <v>-6.7245818759000002</v>
      </c>
      <c r="R167">
        <f t="shared" si="17"/>
        <v>65.895583966401318</v>
      </c>
      <c r="S167">
        <f>R167/(2*N167*P167)</f>
        <v>0.11319849280875151</v>
      </c>
      <c r="T167">
        <f>S167*16.02</f>
        <v>1.8134398547961992</v>
      </c>
      <c r="X167" s="1"/>
      <c r="Y167" s="1"/>
    </row>
    <row r="168" spans="9:25" x14ac:dyDescent="0.2">
      <c r="J168">
        <v>1115.4533140000001</v>
      </c>
      <c r="K168">
        <v>-22099.024120999999</v>
      </c>
      <c r="L168">
        <v>53040.191071000001</v>
      </c>
      <c r="M168">
        <v>-1.4871639999999999</v>
      </c>
      <c r="N168">
        <v>22.925516999999999</v>
      </c>
      <c r="O168">
        <v>182.23772399999999</v>
      </c>
      <c r="P168">
        <v>12.695442</v>
      </c>
      <c r="Q168">
        <f>$E$41</f>
        <v>-6.7245818759000002</v>
      </c>
      <c r="R168">
        <f t="shared" si="17"/>
        <v>65.197741966403555</v>
      </c>
      <c r="S168">
        <f>R168/(2*N168*P168)</f>
        <v>0.11200453182982506</v>
      </c>
      <c r="T168">
        <f>S168*16.02</f>
        <v>1.7943125999137974</v>
      </c>
    </row>
    <row r="169" spans="9:25" x14ac:dyDescent="0.2">
      <c r="T169" s="1">
        <f>AVERAGE(T164:T168)</f>
        <v>1.7893793269788809</v>
      </c>
      <c r="U169" s="1">
        <f>STDEV(T164:T168)</f>
        <v>1.9510393831973019E-2</v>
      </c>
    </row>
    <row r="170" spans="9:25" x14ac:dyDescent="0.2">
      <c r="I170" t="s">
        <v>175</v>
      </c>
      <c r="J170">
        <v>1115.5211099999999</v>
      </c>
      <c r="K170">
        <v>-31868.686948999999</v>
      </c>
      <c r="L170">
        <v>76435.731115999995</v>
      </c>
      <c r="M170">
        <v>-1.138844</v>
      </c>
      <c r="N170">
        <v>31.809944999999999</v>
      </c>
      <c r="O170">
        <v>189.243495</v>
      </c>
      <c r="P170">
        <v>12.697336999999999</v>
      </c>
      <c r="Q170">
        <f>$E$41</f>
        <v>-6.7245818759000002</v>
      </c>
      <c r="R170">
        <f>K170-4752*Q170</f>
        <v>86.526125276803214</v>
      </c>
      <c r="S170">
        <f>R170/(2*N170*P170)</f>
        <v>0.10711287981128619</v>
      </c>
      <c r="T170">
        <f>S170*16.02</f>
        <v>1.7159483345768047</v>
      </c>
    </row>
    <row r="171" spans="9:25" x14ac:dyDescent="0.2">
      <c r="J171">
        <v>1115.272379</v>
      </c>
      <c r="K171">
        <v>-31870.457987000002</v>
      </c>
      <c r="L171">
        <v>76433.840962000002</v>
      </c>
      <c r="M171">
        <v>-1.032386</v>
      </c>
      <c r="N171">
        <v>31.810034999999999</v>
      </c>
      <c r="O171">
        <v>189.23921200000001</v>
      </c>
      <c r="P171">
        <v>12.697274999999999</v>
      </c>
      <c r="Q171">
        <f>$E$41</f>
        <v>-6.7245818759000002</v>
      </c>
      <c r="R171">
        <f t="shared" ref="R171:R174" si="18">K171-4752*Q171</f>
        <v>84.755087276800623</v>
      </c>
      <c r="S171">
        <f>R171/(2*N171*P171)</f>
        <v>0.10492068252690484</v>
      </c>
      <c r="T171">
        <f>S171*16.02</f>
        <v>1.6808293340810154</v>
      </c>
    </row>
    <row r="172" spans="9:25" x14ac:dyDescent="0.2">
      <c r="J172">
        <v>1115.488012</v>
      </c>
      <c r="K172">
        <v>-31870.182585999999</v>
      </c>
      <c r="L172">
        <v>76433.573267999993</v>
      </c>
      <c r="M172">
        <v>-1.3770579999999999</v>
      </c>
      <c r="N172">
        <v>31.808427999999999</v>
      </c>
      <c r="O172">
        <v>189.24073899999999</v>
      </c>
      <c r="P172">
        <v>12.69777</v>
      </c>
      <c r="Q172">
        <f>$E$41</f>
        <v>-6.7245818759000002</v>
      </c>
      <c r="R172">
        <f t="shared" si="18"/>
        <v>85.030488276803226</v>
      </c>
      <c r="S172">
        <f>R172/(2*N172*P172)</f>
        <v>0.10526282339215566</v>
      </c>
      <c r="T172">
        <f>S172*16.02</f>
        <v>1.6863104307423336</v>
      </c>
    </row>
    <row r="173" spans="9:25" x14ac:dyDescent="0.2">
      <c r="J173">
        <v>1115.3197029999999</v>
      </c>
      <c r="K173">
        <v>-31868.514601999999</v>
      </c>
      <c r="L173">
        <v>76444.210389</v>
      </c>
      <c r="M173">
        <v>-1.2239</v>
      </c>
      <c r="N173">
        <v>31.805706000000001</v>
      </c>
      <c r="O173">
        <v>189.299263</v>
      </c>
      <c r="P173">
        <v>12.696697</v>
      </c>
      <c r="Q173">
        <f>$E$41</f>
        <v>-6.7245818759000002</v>
      </c>
      <c r="R173">
        <f t="shared" si="18"/>
        <v>86.698472276802931</v>
      </c>
      <c r="S173">
        <f>R173/(2*N173*P173)</f>
        <v>0.10734594744013545</v>
      </c>
      <c r="T173">
        <f>S173*16.02</f>
        <v>1.7196820779909698</v>
      </c>
      <c r="X173" s="1"/>
      <c r="Y173" s="1"/>
    </row>
    <row r="174" spans="9:25" x14ac:dyDescent="0.2">
      <c r="J174">
        <v>1115.0629300000001</v>
      </c>
      <c r="K174">
        <v>-31870.787755000001</v>
      </c>
      <c r="L174">
        <v>76433.731415000002</v>
      </c>
      <c r="M174">
        <v>-1.14659</v>
      </c>
      <c r="N174">
        <v>31.810127999999999</v>
      </c>
      <c r="O174">
        <v>189.232304</v>
      </c>
      <c r="P174">
        <v>12.697683</v>
      </c>
      <c r="Q174">
        <f>$E$41</f>
        <v>-6.7245818759000002</v>
      </c>
      <c r="R174">
        <f t="shared" si="18"/>
        <v>84.425319276801019</v>
      </c>
      <c r="S174">
        <f>R174/(2*N174*P174)</f>
        <v>0.10450878981678673</v>
      </c>
      <c r="T174">
        <f>S174*16.02</f>
        <v>1.6742308128649233</v>
      </c>
    </row>
    <row r="175" spans="9:25" x14ac:dyDescent="0.2">
      <c r="T175" s="1">
        <f>AVERAGE(T170:T174)</f>
        <v>1.6954001980512092</v>
      </c>
      <c r="U175" s="1">
        <f>STDEV(T170:T174)</f>
        <v>2.0945837437401502E-2</v>
      </c>
    </row>
    <row r="176" spans="9:25" x14ac:dyDescent="0.2">
      <c r="I176" t="s">
        <v>110</v>
      </c>
      <c r="J176">
        <v>1040.367753</v>
      </c>
      <c r="K176">
        <v>-25628.769036000002</v>
      </c>
      <c r="L176">
        <v>61544.287321999996</v>
      </c>
      <c r="M176">
        <v>-1.2519690000000001</v>
      </c>
      <c r="N176">
        <v>28.521381000000002</v>
      </c>
      <c r="O176">
        <v>169.975325</v>
      </c>
      <c r="P176">
        <v>12.694964000000001</v>
      </c>
      <c r="Q176">
        <f>$E$41</f>
        <v>-6.7245818759000002</v>
      </c>
      <c r="R176">
        <f>K176-3824*Q176</f>
        <v>86.032057441600045</v>
      </c>
      <c r="S176">
        <f>R176/(2*N176*P176)</f>
        <v>0.11880324130188556</v>
      </c>
      <c r="T176">
        <f>S176*16.02</f>
        <v>1.9032279256562066</v>
      </c>
    </row>
    <row r="177" spans="9:25" x14ac:dyDescent="0.2">
      <c r="J177">
        <v>1040.410187</v>
      </c>
      <c r="K177">
        <v>-25628.720945000001</v>
      </c>
      <c r="L177">
        <v>61544.406282999997</v>
      </c>
      <c r="M177">
        <v>-1.204698</v>
      </c>
      <c r="N177">
        <v>28.521820999999999</v>
      </c>
      <c r="O177">
        <v>169.96972600000001</v>
      </c>
      <c r="P177">
        <v>12.695211</v>
      </c>
      <c r="Q177">
        <f>$E$41</f>
        <v>-6.7245818759000002</v>
      </c>
      <c r="R177">
        <f>K177-3824*Q177</f>
        <v>86.080148441600613</v>
      </c>
      <c r="S177">
        <f>R177/(2*N177*P177)</f>
        <v>0.11886550455588644</v>
      </c>
      <c r="T177">
        <f>S177*16.02</f>
        <v>1.9042253829853009</v>
      </c>
    </row>
    <row r="178" spans="9:25" x14ac:dyDescent="0.2">
      <c r="J178">
        <v>1040.3358270000001</v>
      </c>
      <c r="K178">
        <v>-25628.947026000002</v>
      </c>
      <c r="L178">
        <v>61542.473785000002</v>
      </c>
      <c r="M178">
        <v>-1.225306</v>
      </c>
      <c r="N178">
        <v>28.519967000000001</v>
      </c>
      <c r="O178">
        <v>169.97654700000001</v>
      </c>
      <c r="P178">
        <v>12.695128</v>
      </c>
      <c r="Q178">
        <f>$E$41</f>
        <v>-6.7245818759000002</v>
      </c>
      <c r="R178">
        <f>K178-3824*Q178</f>
        <v>85.854067441599909</v>
      </c>
      <c r="S178">
        <f>R178/(2*N178*P178)</f>
        <v>0.11856179801003439</v>
      </c>
      <c r="T178">
        <f>S178*16.02</f>
        <v>1.8993600041207508</v>
      </c>
    </row>
    <row r="179" spans="9:25" x14ac:dyDescent="0.2">
      <c r="J179">
        <v>1040.6219209999999</v>
      </c>
      <c r="K179">
        <v>-25628.414036999999</v>
      </c>
      <c r="L179">
        <v>61544.626862999998</v>
      </c>
      <c r="M179">
        <v>-1.113451</v>
      </c>
      <c r="N179">
        <v>28.520462999999999</v>
      </c>
      <c r="O179">
        <v>169.98209700000001</v>
      </c>
      <c r="P179">
        <v>12.694936999999999</v>
      </c>
      <c r="Q179">
        <f>$E$41</f>
        <v>-6.7245818759000002</v>
      </c>
      <c r="R179">
        <f>K179-3824*Q179</f>
        <v>86.387056441602908</v>
      </c>
      <c r="S179">
        <f>R179/(2*N179*P179)</f>
        <v>0.11929755938622276</v>
      </c>
      <c r="T179">
        <f>S179*16.02</f>
        <v>1.9111469013672886</v>
      </c>
      <c r="X179" s="1"/>
      <c r="Y179" s="1"/>
    </row>
    <row r="180" spans="9:25" x14ac:dyDescent="0.2">
      <c r="J180">
        <v>1040.5826360000001</v>
      </c>
      <c r="K180">
        <v>-25629.167339</v>
      </c>
      <c r="L180">
        <v>61541.918360999996</v>
      </c>
      <c r="M180">
        <v>-1.319251</v>
      </c>
      <c r="N180">
        <v>28.519947999999999</v>
      </c>
      <c r="O180">
        <v>169.975076</v>
      </c>
      <c r="P180">
        <v>12.695133</v>
      </c>
      <c r="Q180">
        <f>$E$41</f>
        <v>-6.7245818759000002</v>
      </c>
      <c r="R180">
        <f>K180-3824*Q180</f>
        <v>85.633754441601923</v>
      </c>
      <c r="S180">
        <f>R180/(2*N180*P180)</f>
        <v>0.1182575848136268</v>
      </c>
      <c r="T180">
        <f>S180*16.02</f>
        <v>1.8944865087143012</v>
      </c>
    </row>
    <row r="181" spans="9:25" x14ac:dyDescent="0.2">
      <c r="T181" s="1">
        <f>AVERAGE(T176:T180)</f>
        <v>1.9024893445687696</v>
      </c>
      <c r="U181" s="1">
        <f>STDEV(T176:T180)</f>
        <v>6.1715227958573024E-3</v>
      </c>
    </row>
    <row r="182" spans="9:25" x14ac:dyDescent="0.2">
      <c r="T182" s="1"/>
    </row>
    <row r="183" spans="9:25" x14ac:dyDescent="0.2">
      <c r="T183" s="1"/>
    </row>
    <row r="184" spans="9:25" x14ac:dyDescent="0.2">
      <c r="I184" t="s">
        <v>67</v>
      </c>
      <c r="V184" t="s">
        <v>25</v>
      </c>
      <c r="W184" t="s">
        <v>24</v>
      </c>
    </row>
    <row r="185" spans="9:25" x14ac:dyDescent="0.2">
      <c r="I185" t="s">
        <v>16</v>
      </c>
      <c r="J185" t="s">
        <v>18</v>
      </c>
      <c r="K185" t="s">
        <v>5</v>
      </c>
      <c r="L185" t="s">
        <v>7</v>
      </c>
      <c r="M185" t="s">
        <v>19</v>
      </c>
      <c r="N185" t="s">
        <v>20</v>
      </c>
      <c r="O185" t="s">
        <v>21</v>
      </c>
      <c r="P185" t="s">
        <v>22</v>
      </c>
      <c r="Q185" t="s">
        <v>4</v>
      </c>
      <c r="R185" t="s">
        <v>10</v>
      </c>
      <c r="S185" t="s">
        <v>13</v>
      </c>
      <c r="T185" t="s">
        <v>26</v>
      </c>
      <c r="U185" t="s">
        <v>12</v>
      </c>
      <c r="V185" t="s">
        <v>23</v>
      </c>
      <c r="W185" t="s">
        <v>23</v>
      </c>
      <c r="X185" s="1"/>
      <c r="Y185" s="1"/>
    </row>
    <row r="186" spans="9:25" x14ac:dyDescent="0.2">
      <c r="I186" t="s">
        <v>17</v>
      </c>
      <c r="J186">
        <v>1041.070346</v>
      </c>
      <c r="K186">
        <v>-8824.6540960000002</v>
      </c>
      <c r="L186">
        <v>77034.597729999994</v>
      </c>
      <c r="M186">
        <v>-1.121945</v>
      </c>
      <c r="N186">
        <v>30.726268999999998</v>
      </c>
      <c r="O186">
        <v>92.510973000000007</v>
      </c>
      <c r="P186">
        <v>27.101075999999999</v>
      </c>
      <c r="Q186">
        <v>1509</v>
      </c>
      <c r="R186">
        <v>443</v>
      </c>
      <c r="S186">
        <f>R186/(R186+Q186)</f>
        <v>0.22694672131147542</v>
      </c>
      <c r="T186">
        <f>-4.0498-2.4768*S186</f>
        <v>-4.6119016393442624</v>
      </c>
      <c r="U186">
        <f>K186-(SUM(Q186:R186)*T186)</f>
        <v>177.77790400000049</v>
      </c>
      <c r="V186">
        <f>U186/(2*N186*P186)</f>
        <v>0.10674595412781365</v>
      </c>
      <c r="W186">
        <f>V186*16.02</f>
        <v>1.7100701851275746</v>
      </c>
    </row>
    <row r="187" spans="9:25" x14ac:dyDescent="0.2">
      <c r="J187">
        <v>1040.9257680000001</v>
      </c>
      <c r="K187">
        <v>-8810.1611059999996</v>
      </c>
      <c r="L187">
        <v>77017.420626000006</v>
      </c>
      <c r="M187">
        <v>-1.283045</v>
      </c>
      <c r="N187">
        <v>30.696712999999999</v>
      </c>
      <c r="O187">
        <v>92.268113999999997</v>
      </c>
      <c r="P187">
        <v>27.192606999999999</v>
      </c>
      <c r="Q187">
        <v>1516</v>
      </c>
      <c r="R187">
        <v>436</v>
      </c>
      <c r="S187">
        <f>R187/(R187+Q187)</f>
        <v>0.22336065573770492</v>
      </c>
      <c r="T187">
        <f>-4.0498-2.4768*S187</f>
        <v>-4.6030196721311478</v>
      </c>
      <c r="U187">
        <f>K187-(SUM(Q187:R187)*T187)</f>
        <v>174.93329400000039</v>
      </c>
      <c r="V187">
        <f>U187/(2*N187*P187)</f>
        <v>0.10478515459160512</v>
      </c>
      <c r="W187">
        <f>V187*16.02</f>
        <v>1.6786581765575139</v>
      </c>
    </row>
    <row r="188" spans="9:25" x14ac:dyDescent="0.2">
      <c r="J188">
        <v>1040.706134</v>
      </c>
      <c r="K188">
        <v>-8792.5859679999994</v>
      </c>
      <c r="L188">
        <v>77101.464265999995</v>
      </c>
      <c r="M188">
        <v>-1.2813270000000001</v>
      </c>
      <c r="N188">
        <v>30.715895</v>
      </c>
      <c r="O188">
        <v>92.234416999999993</v>
      </c>
      <c r="P188">
        <v>27.215131</v>
      </c>
      <c r="Q188">
        <v>1525</v>
      </c>
      <c r="R188">
        <v>427</v>
      </c>
      <c r="S188">
        <f>R188/(R188+Q188)</f>
        <v>0.21875</v>
      </c>
      <c r="T188">
        <f>-4.0498-2.4768*S188</f>
        <v>-4.5916000000000006</v>
      </c>
      <c r="U188">
        <f>K188-(SUM(Q188:R188)*T188)</f>
        <v>170.21723200000088</v>
      </c>
      <c r="V188">
        <f>U188/(2*N188*P188)</f>
        <v>0.10181222411115265</v>
      </c>
      <c r="W188">
        <f>V188*16.02</f>
        <v>1.6310318302606654</v>
      </c>
    </row>
    <row r="189" spans="9:25" x14ac:dyDescent="0.2">
      <c r="J189">
        <v>1040.809681</v>
      </c>
      <c r="K189">
        <v>-8778.3669320000008</v>
      </c>
      <c r="L189">
        <v>77298.753056999994</v>
      </c>
      <c r="M189">
        <v>-1.2282139999999999</v>
      </c>
      <c r="N189">
        <v>30.741928999999999</v>
      </c>
      <c r="O189">
        <v>92.524347000000006</v>
      </c>
      <c r="P189">
        <v>27.176203999999998</v>
      </c>
      <c r="Q189">
        <v>1532</v>
      </c>
      <c r="R189">
        <v>420</v>
      </c>
      <c r="S189">
        <f>R189/(R189+Q189)</f>
        <v>0.2151639344262295</v>
      </c>
      <c r="T189">
        <f>-4.0498-2.4768*S189</f>
        <v>-4.5827180327868859</v>
      </c>
      <c r="U189">
        <f>K189-(SUM(Q189:R189)*T189)</f>
        <v>167.09866800000054</v>
      </c>
      <c r="V189">
        <f>U189/(2*N189*P189)</f>
        <v>0.1000053152431809</v>
      </c>
      <c r="W189">
        <f>V189*16.02</f>
        <v>1.602085150195758</v>
      </c>
    </row>
    <row r="190" spans="9:25" x14ac:dyDescent="0.2">
      <c r="J190">
        <v>1040.9838</v>
      </c>
      <c r="K190">
        <v>-8783.5765269999993</v>
      </c>
      <c r="L190">
        <v>77390.720398000005</v>
      </c>
      <c r="M190">
        <v>-1.1979759999999999</v>
      </c>
      <c r="N190">
        <v>30.74605</v>
      </c>
      <c r="O190">
        <v>92.538364999999999</v>
      </c>
      <c r="P190">
        <v>27.20082</v>
      </c>
      <c r="Q190">
        <v>1527</v>
      </c>
      <c r="R190">
        <v>425</v>
      </c>
      <c r="S190">
        <f>R190/(R190+Q190)</f>
        <v>0.21772540983606559</v>
      </c>
      <c r="T190">
        <f>-4.0498-2.4768*S190</f>
        <v>-4.5890622950819679</v>
      </c>
      <c r="U190">
        <f>K190-(SUM(Q190:R190)*T190)</f>
        <v>174.27307300000211</v>
      </c>
      <c r="V190">
        <f>U190/(2*N190*P190)</f>
        <v>0.10419070291489947</v>
      </c>
      <c r="W190">
        <f>V190*16.02</f>
        <v>1.6691350606966895</v>
      </c>
    </row>
    <row r="191" spans="9:25" x14ac:dyDescent="0.2">
      <c r="R191">
        <f>SUM(Q186:R186)</f>
        <v>1952</v>
      </c>
      <c r="W191" s="1">
        <f>AVERAGE(W186:W190)</f>
        <v>1.6581960805676403</v>
      </c>
      <c r="X191" s="1"/>
      <c r="Y191" s="1"/>
    </row>
    <row r="192" spans="9:25" x14ac:dyDescent="0.2">
      <c r="I192" t="s">
        <v>27</v>
      </c>
      <c r="J192">
        <v>1115.1412740000001</v>
      </c>
      <c r="K192">
        <v>-6671.6252780000004</v>
      </c>
      <c r="L192">
        <v>58011.416324999998</v>
      </c>
      <c r="M192">
        <v>-1.8709789999999999</v>
      </c>
      <c r="N192">
        <v>32.582465999999997</v>
      </c>
      <c r="O192">
        <v>130.66400999999999</v>
      </c>
      <c r="P192">
        <v>13.626331</v>
      </c>
      <c r="Q192">
        <v>1125</v>
      </c>
      <c r="R192">
        <v>339</v>
      </c>
      <c r="S192">
        <f>R192/(R192+Q192)</f>
        <v>0.23155737704918034</v>
      </c>
      <c r="T192">
        <f>-4.0498-2.4768*S192</f>
        <v>-4.6233213114754097</v>
      </c>
      <c r="U192">
        <f>K192-(SUM(Q192:R192)*T192)</f>
        <v>96.917121999998926</v>
      </c>
      <c r="V192">
        <f>U192/(2*N192*P192)</f>
        <v>0.10914595078162892</v>
      </c>
      <c r="W192">
        <f>V192*16.02</f>
        <v>1.7485181315216953</v>
      </c>
    </row>
    <row r="193" spans="9:23" x14ac:dyDescent="0.2">
      <c r="J193">
        <v>1115.0255990000001</v>
      </c>
      <c r="K193">
        <v>-6629.9369020000004</v>
      </c>
      <c r="L193">
        <v>58260.238064999998</v>
      </c>
      <c r="M193">
        <v>-1.76529</v>
      </c>
      <c r="N193">
        <v>32.532041</v>
      </c>
      <c r="O193">
        <v>131.368357</v>
      </c>
      <c r="P193">
        <v>13.632509000000001</v>
      </c>
      <c r="Q193">
        <v>1144</v>
      </c>
      <c r="R193">
        <v>320</v>
      </c>
      <c r="S193">
        <f>R193/(R193+Q193)</f>
        <v>0.21857923497267759</v>
      </c>
      <c r="T193">
        <f>-4.0498-2.4768*S193</f>
        <v>-4.5911770491803283</v>
      </c>
      <c r="U193">
        <f>K193-(SUM(Q193:R193)*T193)</f>
        <v>91.546298000000206</v>
      </c>
      <c r="V193">
        <f>U193/(2*N193*P193)</f>
        <v>0.10321045367307755</v>
      </c>
      <c r="W193">
        <f>V193*16.02</f>
        <v>1.6534314678427022</v>
      </c>
    </row>
    <row r="194" spans="9:23" x14ac:dyDescent="0.2">
      <c r="J194">
        <v>1115.7074640000001</v>
      </c>
      <c r="K194">
        <v>-6636.9756589999997</v>
      </c>
      <c r="L194">
        <v>58159.211085000003</v>
      </c>
      <c r="M194">
        <v>-1.844692</v>
      </c>
      <c r="N194">
        <v>32.539000999999999</v>
      </c>
      <c r="O194">
        <v>131.06625600000001</v>
      </c>
      <c r="P194">
        <v>13.637339000000001</v>
      </c>
      <c r="Q194">
        <v>1141</v>
      </c>
      <c r="R194">
        <v>323</v>
      </c>
      <c r="S194">
        <f>R194/(R194+Q194)</f>
        <v>0.22062841530054644</v>
      </c>
      <c r="T194">
        <f>-4.0498-2.4768*S194</f>
        <v>-4.5962524590163936</v>
      </c>
      <c r="U194">
        <f>K194-(SUM(Q194:R194)*T194)</f>
        <v>91.937941000000137</v>
      </c>
      <c r="V194">
        <f>U194/(2*N194*P194)</f>
        <v>0.10359312301511003</v>
      </c>
      <c r="W194">
        <f>V194*16.02</f>
        <v>1.6595618307020628</v>
      </c>
    </row>
    <row r="195" spans="9:23" x14ac:dyDescent="0.2">
      <c r="J195">
        <v>1115.794167</v>
      </c>
      <c r="K195">
        <v>-6617.3084490000001</v>
      </c>
      <c r="L195">
        <v>58321.578564000003</v>
      </c>
      <c r="M195">
        <v>-2.0325099999999998</v>
      </c>
      <c r="N195">
        <v>32.526139000000001</v>
      </c>
      <c r="O195">
        <v>131.10074599999999</v>
      </c>
      <c r="P195">
        <v>13.677175999999999</v>
      </c>
      <c r="Q195">
        <v>1147</v>
      </c>
      <c r="R195">
        <v>317</v>
      </c>
      <c r="S195">
        <f>R195/(R195+Q195)</f>
        <v>0.21653005464480873</v>
      </c>
      <c r="T195">
        <f>-4.0498-2.4768*S195</f>
        <v>-4.5861016393442622</v>
      </c>
      <c r="U195">
        <f>K195-(SUM(Q195:R195)*T195)</f>
        <v>96.744350999999369</v>
      </c>
      <c r="V195">
        <f>U195/(2*N195*P195)</f>
        <v>0.10873432698381147</v>
      </c>
      <c r="W195">
        <f>V195*16.02</f>
        <v>1.7419239182806596</v>
      </c>
    </row>
    <row r="196" spans="9:23" x14ac:dyDescent="0.2">
      <c r="J196">
        <v>1115.2844990000001</v>
      </c>
      <c r="K196">
        <v>-6641.7193960000004</v>
      </c>
      <c r="L196">
        <v>58161.900507999999</v>
      </c>
      <c r="M196">
        <v>-1.3691930000000001</v>
      </c>
      <c r="N196">
        <v>32.569800999999998</v>
      </c>
      <c r="O196">
        <v>130.91887500000001</v>
      </c>
      <c r="P196">
        <v>13.640363000000001</v>
      </c>
      <c r="Q196">
        <v>1137</v>
      </c>
      <c r="R196">
        <v>327</v>
      </c>
      <c r="S196">
        <f>R196/(R196+Q196)</f>
        <v>0.22336065573770492</v>
      </c>
      <c r="T196">
        <f>-4.0498-2.4768*S196</f>
        <v>-4.6030196721311478</v>
      </c>
      <c r="U196">
        <f>K196-(SUM(Q196:R196)*T196)</f>
        <v>97.101404000000002</v>
      </c>
      <c r="V196">
        <f>U196/(2*N196*P196)</f>
        <v>0.10928347109346637</v>
      </c>
      <c r="W196">
        <f>V196*16.02</f>
        <v>1.7507212069173312</v>
      </c>
    </row>
    <row r="197" spans="9:23" x14ac:dyDescent="0.2">
      <c r="R197">
        <f>SUM(Q192:R192)</f>
        <v>1464</v>
      </c>
      <c r="W197" s="1">
        <f>AVERAGE(W192:W196)</f>
        <v>1.7108313110528901</v>
      </c>
    </row>
    <row r="198" spans="9:23" x14ac:dyDescent="0.2">
      <c r="I198" t="s">
        <v>28</v>
      </c>
      <c r="J198">
        <v>1115.9142280000001</v>
      </c>
      <c r="K198">
        <v>-5763.2608579999996</v>
      </c>
      <c r="L198">
        <v>50085.153595999996</v>
      </c>
      <c r="M198">
        <v>-2.0824549999999999</v>
      </c>
      <c r="N198">
        <v>34.853763999999998</v>
      </c>
      <c r="O198">
        <v>140.82755</v>
      </c>
      <c r="P198">
        <v>10.204193</v>
      </c>
      <c r="Q198">
        <v>964</v>
      </c>
      <c r="R198">
        <v>296</v>
      </c>
      <c r="S198">
        <f>R198/(R198+Q198)</f>
        <v>0.23492063492063492</v>
      </c>
      <c r="T198">
        <f>-4.0498-2.4768*S198</f>
        <v>-4.6316514285714288</v>
      </c>
      <c r="U198">
        <f>K198-(SUM(Q198:R198)*T198)</f>
        <v>72.619942000000265</v>
      </c>
      <c r="V198">
        <f>U198/(2*N198*P198)</f>
        <v>0.10209337282181527</v>
      </c>
      <c r="W198">
        <f>V198*16.02</f>
        <v>1.6355358326054805</v>
      </c>
    </row>
    <row r="199" spans="9:23" x14ac:dyDescent="0.2">
      <c r="J199">
        <v>1115.3464349999999</v>
      </c>
      <c r="K199">
        <v>-5704.6645410000001</v>
      </c>
      <c r="L199">
        <v>50469.867319999998</v>
      </c>
      <c r="M199">
        <v>-2.4270849999999999</v>
      </c>
      <c r="N199">
        <v>34.917127999999998</v>
      </c>
      <c r="O199">
        <v>141.35583299999999</v>
      </c>
      <c r="P199">
        <v>10.225552</v>
      </c>
      <c r="Q199">
        <v>987</v>
      </c>
      <c r="R199">
        <v>273</v>
      </c>
      <c r="S199">
        <f t="shared" ref="S199:S220" si="19">R199/(R199+Q199)</f>
        <v>0.21666666666666667</v>
      </c>
      <c r="T199">
        <f>-4.0498-2.4768*S199</f>
        <v>-4.5864400000000005</v>
      </c>
      <c r="U199">
        <f>K199-(SUM(Q199:R199)*T199)</f>
        <v>74.24985900000047</v>
      </c>
      <c r="V199">
        <f>U199/(2*N199*P199)</f>
        <v>0.10397773699336231</v>
      </c>
      <c r="W199">
        <f>V199*16.02</f>
        <v>1.6657233466336641</v>
      </c>
    </row>
    <row r="200" spans="9:23" x14ac:dyDescent="0.2">
      <c r="J200">
        <v>1115.8274039999999</v>
      </c>
      <c r="K200">
        <v>-5713.3044120000004</v>
      </c>
      <c r="L200">
        <v>50457.723148999998</v>
      </c>
      <c r="M200">
        <v>-1.9768220000000001</v>
      </c>
      <c r="N200">
        <v>34.871951000000003</v>
      </c>
      <c r="O200">
        <v>141.335341</v>
      </c>
      <c r="P200">
        <v>10.237879</v>
      </c>
      <c r="Q200">
        <v>983</v>
      </c>
      <c r="R200">
        <v>277</v>
      </c>
      <c r="S200">
        <f t="shared" si="19"/>
        <v>0.21984126984126984</v>
      </c>
      <c r="T200">
        <f>-4.0498-2.4768*S200</f>
        <v>-4.594302857142857</v>
      </c>
      <c r="U200">
        <f>K200-(SUM(Q200:R200)*T200)</f>
        <v>75.517187999999805</v>
      </c>
      <c r="V200">
        <f>U200/(2*N200*P200)</f>
        <v>0.1057619808236121</v>
      </c>
      <c r="W200">
        <f>V200*16.02</f>
        <v>1.6943069327942657</v>
      </c>
    </row>
    <row r="201" spans="9:23" x14ac:dyDescent="0.2">
      <c r="J201">
        <v>1115.2828890000001</v>
      </c>
      <c r="K201">
        <v>-5683.9881830000004</v>
      </c>
      <c r="L201">
        <v>50587.634353000001</v>
      </c>
      <c r="M201">
        <v>-2.472375</v>
      </c>
      <c r="N201">
        <v>34.940978000000001</v>
      </c>
      <c r="O201">
        <v>141.36948599999999</v>
      </c>
      <c r="P201">
        <v>10.241455</v>
      </c>
      <c r="Q201">
        <v>994</v>
      </c>
      <c r="R201">
        <v>266</v>
      </c>
      <c r="S201">
        <f t="shared" si="19"/>
        <v>0.21111111111111111</v>
      </c>
      <c r="T201">
        <f>-4.0498-2.4768*S201</f>
        <v>-4.5726800000000001</v>
      </c>
      <c r="U201">
        <f>K201-(SUM(Q201:R201)*T201)</f>
        <v>77.588616999999431</v>
      </c>
      <c r="V201">
        <f>U201/(2*N201*P201)</f>
        <v>0.10841048746851979</v>
      </c>
      <c r="W201">
        <f>V201*16.02</f>
        <v>1.7367360092456869</v>
      </c>
    </row>
    <row r="202" spans="9:23" x14ac:dyDescent="0.2">
      <c r="J202">
        <v>1115.4027579999999</v>
      </c>
      <c r="K202">
        <v>-5747.8370459999996</v>
      </c>
      <c r="L202">
        <v>50338.923964000001</v>
      </c>
      <c r="M202">
        <v>-2.3661020000000001</v>
      </c>
      <c r="N202">
        <v>34.992928999999997</v>
      </c>
      <c r="O202">
        <v>141.33522400000001</v>
      </c>
      <c r="P202">
        <v>10.178437000000001</v>
      </c>
      <c r="Q202">
        <v>969</v>
      </c>
      <c r="R202">
        <v>291</v>
      </c>
      <c r="S202">
        <f t="shared" si="19"/>
        <v>0.23095238095238096</v>
      </c>
      <c r="T202">
        <f>-4.0498-2.4768*S202</f>
        <v>-4.6218228571428579</v>
      </c>
      <c r="U202">
        <f>K202-(SUM(Q202:R202)*T202)</f>
        <v>75.659754000001158</v>
      </c>
      <c r="V202">
        <f>U202/(2*N202*P202)</f>
        <v>0.10621198873761184</v>
      </c>
      <c r="W202">
        <f>V202*16.02</f>
        <v>1.7015160595765417</v>
      </c>
    </row>
    <row r="203" spans="9:23" x14ac:dyDescent="0.2">
      <c r="R203">
        <f>SUM(Q198:R198)</f>
        <v>1260</v>
      </c>
      <c r="W203" s="1">
        <f>AVERAGE(W198:W202)</f>
        <v>1.6867636361711278</v>
      </c>
    </row>
    <row r="204" spans="9:23" x14ac:dyDescent="0.2">
      <c r="I204" t="s">
        <v>55</v>
      </c>
      <c r="J204">
        <v>1041.2356179999999</v>
      </c>
      <c r="K204">
        <v>-8990.4763089999997</v>
      </c>
      <c r="L204">
        <v>79305.848603999999</v>
      </c>
      <c r="M204">
        <v>-1.1219730000000001</v>
      </c>
      <c r="N204">
        <v>30.965661999999998</v>
      </c>
      <c r="O204">
        <v>187.22588300000001</v>
      </c>
      <c r="P204">
        <v>13.679358000000001</v>
      </c>
      <c r="Q204">
        <v>1541</v>
      </c>
      <c r="R204">
        <v>435</v>
      </c>
      <c r="S204">
        <f>R204/(R204+Q204)</f>
        <v>0.22014170040485831</v>
      </c>
      <c r="T204">
        <f>-4.0498-2.4768*S204</f>
        <v>-4.5950469635627531</v>
      </c>
      <c r="U204">
        <f>K204-(SUM(Q204:R204)*T204)</f>
        <v>89.336491000000024</v>
      </c>
      <c r="V204">
        <f>U204/(2*N204*P204)</f>
        <v>0.10545151167075352</v>
      </c>
      <c r="W204">
        <f>V204*16.02</f>
        <v>1.6893332169654713</v>
      </c>
    </row>
    <row r="205" spans="9:23" x14ac:dyDescent="0.2">
      <c r="J205">
        <v>1041.0964750000001</v>
      </c>
      <c r="K205">
        <v>-8928.1115140000002</v>
      </c>
      <c r="L205">
        <v>79646.110853000006</v>
      </c>
      <c r="M205">
        <v>-1.2003349999999999</v>
      </c>
      <c r="N205">
        <v>30.981292</v>
      </c>
      <c r="O205">
        <v>187.75976600000001</v>
      </c>
      <c r="P205">
        <v>13.692030000000001</v>
      </c>
      <c r="Q205">
        <v>1566</v>
      </c>
      <c r="R205">
        <v>410</v>
      </c>
      <c r="S205">
        <f>R205/(R205+Q205)</f>
        <v>0.20748987854251011</v>
      </c>
      <c r="T205">
        <f>-4.0498-2.4768*S205</f>
        <v>-4.5637109311740893</v>
      </c>
      <c r="U205">
        <f>K205-(SUM(Q205:R205)*T205)</f>
        <v>89.781285999999454</v>
      </c>
      <c r="V205">
        <f>U205/(2*N205*P205)</f>
        <v>0.10582504434055386</v>
      </c>
      <c r="W205">
        <f>V205*16.02</f>
        <v>1.6953172103356726</v>
      </c>
    </row>
    <row r="206" spans="9:23" x14ac:dyDescent="0.2">
      <c r="J206">
        <v>1040.758206</v>
      </c>
      <c r="K206">
        <v>-9016.4701659999992</v>
      </c>
      <c r="L206">
        <v>79472.267783000003</v>
      </c>
      <c r="M206">
        <v>-1.2348209999999999</v>
      </c>
      <c r="N206">
        <v>30.979357</v>
      </c>
      <c r="O206">
        <v>187.99010100000001</v>
      </c>
      <c r="P206">
        <v>13.646238</v>
      </c>
      <c r="Q206">
        <v>1527</v>
      </c>
      <c r="R206">
        <v>449</v>
      </c>
      <c r="S206">
        <f>R206/(R206+Q206)</f>
        <v>0.22722672064777327</v>
      </c>
      <c r="T206">
        <f>-4.0498-2.4768*S206</f>
        <v>-4.612595141700405</v>
      </c>
      <c r="U206">
        <f>K206-(SUM(Q206:R206)*T206)</f>
        <v>98.017834000000221</v>
      </c>
      <c r="V206">
        <f>U206/(2*N206*P206)</f>
        <v>0.11592837939678344</v>
      </c>
      <c r="W206">
        <f>V206*16.02</f>
        <v>1.8571726379364706</v>
      </c>
    </row>
    <row r="207" spans="9:23" x14ac:dyDescent="0.2">
      <c r="J207">
        <v>1041.052312</v>
      </c>
      <c r="K207">
        <v>-8969.8336369999997</v>
      </c>
      <c r="L207">
        <v>79680.028992000007</v>
      </c>
      <c r="M207">
        <v>-1.3696269999999999</v>
      </c>
      <c r="N207">
        <v>30.970863000000001</v>
      </c>
      <c r="O207">
        <v>188.08641299999999</v>
      </c>
      <c r="P207">
        <v>13.678682</v>
      </c>
      <c r="Q207">
        <v>1550</v>
      </c>
      <c r="R207">
        <v>426</v>
      </c>
      <c r="S207">
        <f>R207/(R207+Q207)</f>
        <v>0.21558704453441296</v>
      </c>
      <c r="T207">
        <f>-4.0498-2.4768*S207</f>
        <v>-4.5837659919028342</v>
      </c>
      <c r="U207">
        <f>K207-(SUM(Q207:R207)*T207)</f>
        <v>87.687963000000309</v>
      </c>
      <c r="V207">
        <f>U207/(2*N207*P207)</f>
        <v>0.10349334535878529</v>
      </c>
      <c r="W207">
        <f>V207*16.02</f>
        <v>1.6579633926477404</v>
      </c>
    </row>
    <row r="208" spans="9:23" x14ac:dyDescent="0.2">
      <c r="J208">
        <v>1040.865247</v>
      </c>
      <c r="K208">
        <v>-8905.1751399999994</v>
      </c>
      <c r="L208">
        <v>80008.785497000004</v>
      </c>
      <c r="M208">
        <v>-1.22601</v>
      </c>
      <c r="N208">
        <v>31.045536999999999</v>
      </c>
      <c r="O208">
        <v>188.10538199999999</v>
      </c>
      <c r="P208">
        <v>13.70068</v>
      </c>
      <c r="Q208">
        <v>1574</v>
      </c>
      <c r="R208">
        <v>402</v>
      </c>
      <c r="S208">
        <f>R208/(R208+Q208)</f>
        <v>0.20344129554655871</v>
      </c>
      <c r="T208">
        <f>-4.0498-2.4768*S208</f>
        <v>-4.5536834008097173</v>
      </c>
      <c r="U208">
        <f>K208-(SUM(Q208:R208)*T208)</f>
        <v>92.903260000002774</v>
      </c>
      <c r="V208">
        <f>U208/(2*N208*P208)</f>
        <v>0.10920930893609906</v>
      </c>
      <c r="W208">
        <f>V208*16.02</f>
        <v>1.749533129156307</v>
      </c>
    </row>
    <row r="209" spans="9:23" x14ac:dyDescent="0.2">
      <c r="W209" s="1">
        <f>AVERAGE(W204:W208)</f>
        <v>1.7298639174083323</v>
      </c>
    </row>
    <row r="210" spans="9:23" x14ac:dyDescent="0.2">
      <c r="I210">
        <v>100</v>
      </c>
      <c r="J210">
        <v>1115.4515899999999</v>
      </c>
      <c r="K210">
        <v>-21313.684571000002</v>
      </c>
      <c r="L210">
        <v>103241.382879</v>
      </c>
      <c r="M210">
        <v>-0.96271300000000004</v>
      </c>
      <c r="N210">
        <v>27.341756</v>
      </c>
      <c r="O210">
        <v>27.376156000000002</v>
      </c>
      <c r="P210">
        <v>137.929517</v>
      </c>
      <c r="Q210">
        <v>3642</v>
      </c>
      <c r="R210">
        <v>1030</v>
      </c>
      <c r="S210">
        <f t="shared" si="19"/>
        <v>0.22046232876712329</v>
      </c>
      <c r="T210">
        <f>-4.0498-2.4768*S210</f>
        <v>-4.5958410958904112</v>
      </c>
      <c r="U210">
        <f>K210-(SUM(Q210:R210)*T210)</f>
        <v>158.08502899999803</v>
      </c>
      <c r="V210">
        <f>U210/(2*N210*O210)</f>
        <v>0.10559950374703664</v>
      </c>
      <c r="W210">
        <f>V210*16.02</f>
        <v>1.6917040500275269</v>
      </c>
    </row>
    <row r="211" spans="9:23" x14ac:dyDescent="0.2">
      <c r="J211">
        <v>1115.4544800000001</v>
      </c>
      <c r="K211">
        <v>-21283.095921</v>
      </c>
      <c r="L211">
        <v>103503.594234</v>
      </c>
      <c r="M211">
        <v>-1.0527059999999999</v>
      </c>
      <c r="N211">
        <v>27.342828000000001</v>
      </c>
      <c r="O211">
        <v>27.405377999999999</v>
      </c>
      <c r="P211">
        <v>138.12683799999999</v>
      </c>
      <c r="Q211">
        <v>3653</v>
      </c>
      <c r="R211">
        <v>1019</v>
      </c>
      <c r="S211">
        <f t="shared" si="19"/>
        <v>0.21810787671232876</v>
      </c>
      <c r="T211">
        <f>-4.0498-2.4768*S211</f>
        <v>-4.5900095890410961</v>
      </c>
      <c r="U211">
        <f>K211-(SUM(Q211:R211)*T211)</f>
        <v>161.42887900000278</v>
      </c>
      <c r="V211">
        <f>U211/(2*N211*O211)</f>
        <v>0.10771396384185046</v>
      </c>
      <c r="W211">
        <f>V211*16.02</f>
        <v>1.7255777007464443</v>
      </c>
    </row>
    <row r="212" spans="9:23" x14ac:dyDescent="0.2">
      <c r="J212">
        <v>1115.305145</v>
      </c>
      <c r="K212">
        <v>-21347.267962000002</v>
      </c>
      <c r="L212">
        <v>103168.074223</v>
      </c>
      <c r="M212">
        <v>-0.94912099999999999</v>
      </c>
      <c r="N212">
        <v>27.380804999999999</v>
      </c>
      <c r="O212">
        <v>27.369160000000001</v>
      </c>
      <c r="P212">
        <v>137.670151</v>
      </c>
      <c r="Q212">
        <v>3630</v>
      </c>
      <c r="R212">
        <v>1042</v>
      </c>
      <c r="S212">
        <f t="shared" si="19"/>
        <v>0.22303082191780821</v>
      </c>
      <c r="T212">
        <f>-4.0498-2.4768*S212</f>
        <v>-4.6022027397260281</v>
      </c>
      <c r="U212">
        <f>K212-(SUM(Q212:R212)*T212)</f>
        <v>154.22323800000231</v>
      </c>
      <c r="V212">
        <f>U212/(2*N212*O212)</f>
        <v>0.10289923373239021</v>
      </c>
      <c r="W212">
        <f>V212*16.02</f>
        <v>1.6484457243928912</v>
      </c>
    </row>
    <row r="213" spans="9:23" x14ac:dyDescent="0.2">
      <c r="J213">
        <v>1115.4269300000001</v>
      </c>
      <c r="K213">
        <v>-21257.820984000002</v>
      </c>
      <c r="L213">
        <v>103629.685012</v>
      </c>
      <c r="M213">
        <v>-1.0228539999999999</v>
      </c>
      <c r="N213">
        <v>27.394670999999999</v>
      </c>
      <c r="O213">
        <v>27.375041</v>
      </c>
      <c r="P213">
        <v>138.18641199999999</v>
      </c>
      <c r="Q213">
        <v>3665</v>
      </c>
      <c r="R213">
        <v>1007</v>
      </c>
      <c r="S213">
        <f t="shared" si="19"/>
        <v>0.21553938356164384</v>
      </c>
      <c r="T213">
        <f>-4.0498-2.4768*S213</f>
        <v>-4.5836479452054792</v>
      </c>
      <c r="U213">
        <f>K213-(SUM(Q213:R213)*T213)</f>
        <v>156.9822159999967</v>
      </c>
      <c r="V213">
        <f>U213/(2*N213*O213)</f>
        <v>0.1046645456128302</v>
      </c>
      <c r="W213">
        <f>V213*16.02</f>
        <v>1.6767260207175398</v>
      </c>
    </row>
    <row r="214" spans="9:23" x14ac:dyDescent="0.2">
      <c r="J214">
        <v>1115.4935599999999</v>
      </c>
      <c r="K214">
        <v>-21241.950997</v>
      </c>
      <c r="L214">
        <v>103681.158988</v>
      </c>
      <c r="M214">
        <v>-1.040473</v>
      </c>
      <c r="N214">
        <v>27.403136</v>
      </c>
      <c r="O214">
        <v>27.378658999999999</v>
      </c>
      <c r="P214">
        <v>138.194086</v>
      </c>
      <c r="Q214">
        <v>3670</v>
      </c>
      <c r="R214">
        <v>1002</v>
      </c>
      <c r="S214">
        <f t="shared" si="19"/>
        <v>0.21446917808219179</v>
      </c>
      <c r="T214">
        <f>-4.0498-2.4768*S214</f>
        <v>-4.580997260273973</v>
      </c>
      <c r="U214">
        <f>K214-(SUM(Q214:R214)*T214)</f>
        <v>160.46820300000036</v>
      </c>
      <c r="V214">
        <f>U214/(2*N214*O214)</f>
        <v>0.10694156978277918</v>
      </c>
      <c r="W214">
        <f>V214*16.02</f>
        <v>1.7132039479201224</v>
      </c>
    </row>
    <row r="215" spans="9:23" x14ac:dyDescent="0.2">
      <c r="R215">
        <f>SUM(Q210:R210)</f>
        <v>4672</v>
      </c>
      <c r="W215" s="1">
        <f>AVERAGE(W210:W214)</f>
        <v>1.6911314887609048</v>
      </c>
    </row>
    <row r="216" spans="9:23" x14ac:dyDescent="0.2">
      <c r="I216">
        <v>110</v>
      </c>
      <c r="J216">
        <v>1041.3827759999999</v>
      </c>
      <c r="K216">
        <v>-8219.7213929999998</v>
      </c>
      <c r="L216">
        <v>40223.570739000003</v>
      </c>
      <c r="M216">
        <v>-2.3136459999999999</v>
      </c>
      <c r="N216">
        <v>97.081918000000002</v>
      </c>
      <c r="O216">
        <v>24.302129999999998</v>
      </c>
      <c r="P216">
        <v>17.049083</v>
      </c>
      <c r="Q216">
        <v>1393</v>
      </c>
      <c r="R216">
        <v>407</v>
      </c>
      <c r="S216">
        <f t="shared" si="19"/>
        <v>0.22611111111111112</v>
      </c>
      <c r="T216">
        <f>-4.0498-2.4768*S216</f>
        <v>-4.6098319999999999</v>
      </c>
      <c r="U216">
        <f>K216-(SUM(Q216:R216)*T216)</f>
        <v>77.976206999999704</v>
      </c>
      <c r="V216">
        <f>U216/(2*P216*O216)</f>
        <v>9.4099376439680846E-2</v>
      </c>
      <c r="W216">
        <f>V216*16.02</f>
        <v>1.5074720105636872</v>
      </c>
    </row>
    <row r="217" spans="9:23" x14ac:dyDescent="0.2">
      <c r="J217">
        <v>1041.4964620000001</v>
      </c>
      <c r="K217">
        <v>-8184.9033099999997</v>
      </c>
      <c r="L217">
        <v>40474.843004000002</v>
      </c>
      <c r="M217">
        <v>-2.1784819999999998</v>
      </c>
      <c r="N217">
        <v>97.547527000000002</v>
      </c>
      <c r="O217">
        <v>24.307631000000001</v>
      </c>
      <c r="P217">
        <v>17.069821999999998</v>
      </c>
      <c r="Q217">
        <v>1409</v>
      </c>
      <c r="R217">
        <v>391</v>
      </c>
      <c r="S217">
        <f t="shared" si="19"/>
        <v>0.21722222222222223</v>
      </c>
      <c r="T217">
        <f>-4.0498-2.4768*S217</f>
        <v>-4.5878160000000001</v>
      </c>
      <c r="U217">
        <f>K217-(SUM(Q217:R217)*T217)</f>
        <v>73.165490000001228</v>
      </c>
      <c r="V217">
        <f>U217/(2*P217*O217)</f>
        <v>8.816671554925852E-2</v>
      </c>
      <c r="W217">
        <f>V217*16.02</f>
        <v>1.4124307830991214</v>
      </c>
    </row>
    <row r="218" spans="9:23" x14ac:dyDescent="0.2">
      <c r="J218">
        <v>1041.1695279999999</v>
      </c>
      <c r="K218">
        <v>-8200.1204350000007</v>
      </c>
      <c r="L218">
        <v>40285.714959999998</v>
      </c>
      <c r="M218">
        <v>-2.2255660000000002</v>
      </c>
      <c r="N218">
        <v>97.220115000000007</v>
      </c>
      <c r="O218">
        <v>24.302344999999999</v>
      </c>
      <c r="P218">
        <v>17.050972000000002</v>
      </c>
      <c r="Q218">
        <v>1402</v>
      </c>
      <c r="R218">
        <v>398</v>
      </c>
      <c r="S218">
        <f t="shared" si="19"/>
        <v>0.22111111111111112</v>
      </c>
      <c r="T218">
        <f>-4.0498-2.4768*S218</f>
        <v>-4.597448</v>
      </c>
      <c r="U218">
        <f>K218-(SUM(Q218:R218)*T218)</f>
        <v>75.285964999999123</v>
      </c>
      <c r="V218">
        <f>U218/(2*P218*O218)</f>
        <v>9.0842003242643424E-2</v>
      </c>
      <c r="W218">
        <f>V218*16.02</f>
        <v>1.4552888919471476</v>
      </c>
    </row>
    <row r="219" spans="9:23" x14ac:dyDescent="0.2">
      <c r="J219">
        <v>1040.843306</v>
      </c>
      <c r="K219">
        <v>-8180.1433109999998</v>
      </c>
      <c r="L219">
        <v>40458.052939000001</v>
      </c>
      <c r="M219">
        <v>-2.2475109999999998</v>
      </c>
      <c r="N219">
        <v>97.497172000000006</v>
      </c>
      <c r="O219">
        <v>24.327276000000001</v>
      </c>
      <c r="P219">
        <v>17.057784999999999</v>
      </c>
      <c r="Q219">
        <v>1409</v>
      </c>
      <c r="R219">
        <v>391</v>
      </c>
      <c r="S219">
        <f t="shared" si="19"/>
        <v>0.21722222222222223</v>
      </c>
      <c r="T219">
        <f>-4.0498-2.4768*S219</f>
        <v>-4.5878160000000001</v>
      </c>
      <c r="U219">
        <f>K219-(SUM(Q219:R219)*T219)</f>
        <v>77.925489000001107</v>
      </c>
      <c r="V219">
        <f>U219/(2*P219*O219)</f>
        <v>9.3893044648989635E-2</v>
      </c>
      <c r="W219">
        <f>V219*16.02</f>
        <v>1.5041665752768139</v>
      </c>
    </row>
    <row r="220" spans="9:23" x14ac:dyDescent="0.2">
      <c r="J220">
        <v>1040.9255270000001</v>
      </c>
      <c r="K220">
        <v>-8230.1079549999995</v>
      </c>
      <c r="L220">
        <v>40221.085729999999</v>
      </c>
      <c r="M220">
        <v>-2.290556</v>
      </c>
      <c r="N220">
        <v>97.053389999999993</v>
      </c>
      <c r="O220">
        <v>24.293586999999999</v>
      </c>
      <c r="P220">
        <v>17.059025999999999</v>
      </c>
      <c r="Q220">
        <v>1393</v>
      </c>
      <c r="R220">
        <v>407</v>
      </c>
      <c r="S220">
        <f t="shared" si="19"/>
        <v>0.22611111111111112</v>
      </c>
      <c r="T220">
        <f>-4.0498-2.4768*S220</f>
        <v>-4.6098319999999999</v>
      </c>
      <c r="U220">
        <f>K220-(SUM(Q220:R220)*T220)</f>
        <v>67.589645000000019</v>
      </c>
      <c r="V220">
        <f>U220/(2*P220*O220)</f>
        <v>8.1546306384595924E-2</v>
      </c>
      <c r="W220">
        <f>V220*16.02</f>
        <v>1.3063718282812267</v>
      </c>
    </row>
    <row r="221" spans="9:23" x14ac:dyDescent="0.2">
      <c r="R221">
        <f>SUM(Q216:R216)</f>
        <v>1800</v>
      </c>
      <c r="W221" s="1">
        <f>AVERAGE(W216:W220)</f>
        <v>1.4371460178335993</v>
      </c>
    </row>
    <row r="222" spans="9:23" x14ac:dyDescent="0.2">
      <c r="I222">
        <v>111</v>
      </c>
      <c r="J222">
        <v>1040.909887</v>
      </c>
      <c r="K222">
        <v>-12345.724126999999</v>
      </c>
      <c r="L222">
        <v>61951.020366999997</v>
      </c>
      <c r="M222">
        <v>-1.5594159999999999</v>
      </c>
      <c r="N222">
        <v>95.225676000000007</v>
      </c>
      <c r="O222">
        <v>19.372857</v>
      </c>
      <c r="P222">
        <v>33.581645000000002</v>
      </c>
      <c r="Q222">
        <v>2103</v>
      </c>
      <c r="R222">
        <v>608</v>
      </c>
      <c r="S222">
        <f>R222/(R222+Q222)</f>
        <v>0.22427148653633347</v>
      </c>
      <c r="T222">
        <f>-4.0498-2.4768*S222</f>
        <v>-4.6052756178531906</v>
      </c>
      <c r="U222">
        <f>K222-(SUM(Q222:R222)*T222)</f>
        <v>139.17807300000095</v>
      </c>
      <c r="V222">
        <f>U222/(2*O222*P222)</f>
        <v>0.10696585931769385</v>
      </c>
      <c r="W222">
        <f>V222*16.02</f>
        <v>1.7135930662694554</v>
      </c>
    </row>
    <row r="223" spans="9:23" x14ac:dyDescent="0.2">
      <c r="J223">
        <v>1040.8447329999999</v>
      </c>
      <c r="K223">
        <v>-12337.965944</v>
      </c>
      <c r="L223">
        <v>62152.725214999999</v>
      </c>
      <c r="M223">
        <v>-1.477125</v>
      </c>
      <c r="N223">
        <v>95.332669999999993</v>
      </c>
      <c r="O223">
        <v>19.409490999999999</v>
      </c>
      <c r="P223">
        <v>33.589663999999999</v>
      </c>
      <c r="Q223">
        <v>2102</v>
      </c>
      <c r="R223">
        <v>609</v>
      </c>
      <c r="S223">
        <f>R223/(R223+Q223)</f>
        <v>0.22464035411287347</v>
      </c>
      <c r="T223">
        <f>-4.0498-2.4768*S223</f>
        <v>-4.6061892290667652</v>
      </c>
      <c r="U223">
        <f>K223-(SUM(Q223:R223)*T223)</f>
        <v>149.41305600000123</v>
      </c>
      <c r="V223">
        <f>U223/(2*O223*P223)</f>
        <v>0.11458789644306165</v>
      </c>
      <c r="W223">
        <f>V223*16.02</f>
        <v>1.8356981010178477</v>
      </c>
    </row>
    <row r="224" spans="9:23" x14ac:dyDescent="0.2">
      <c r="J224">
        <v>1041.0059590000001</v>
      </c>
      <c r="K224">
        <v>-12332.040585999999</v>
      </c>
      <c r="L224">
        <v>62008.373036999998</v>
      </c>
      <c r="M224">
        <v>-1.5100420000000001</v>
      </c>
      <c r="N224">
        <v>95.276561999999998</v>
      </c>
      <c r="O224">
        <v>19.381661999999999</v>
      </c>
      <c r="P224">
        <v>33.579487</v>
      </c>
      <c r="Q224">
        <v>2109</v>
      </c>
      <c r="R224">
        <v>602</v>
      </c>
      <c r="S224">
        <f>R224/(R224+Q224)</f>
        <v>0.22205828107709333</v>
      </c>
      <c r="T224">
        <f>-4.0498-2.4768*S224</f>
        <v>-4.5997939505717449</v>
      </c>
      <c r="U224">
        <f>K224-(SUM(Q224:R224)*T224)</f>
        <v>138.0008140000009</v>
      </c>
      <c r="V224">
        <f>U224/(2*O224*P224)</f>
        <v>0.10601970215540392</v>
      </c>
      <c r="W224">
        <f>V224*16.02</f>
        <v>1.6984356285295708</v>
      </c>
    </row>
    <row r="225" spans="9:23" x14ac:dyDescent="0.2">
      <c r="J225">
        <v>1041.543469</v>
      </c>
      <c r="K225">
        <v>-12305.04581</v>
      </c>
      <c r="L225">
        <v>62252.947680999998</v>
      </c>
      <c r="M225">
        <v>-1.445792</v>
      </c>
      <c r="N225">
        <v>95.505936000000005</v>
      </c>
      <c r="O225">
        <v>19.405441</v>
      </c>
      <c r="P225">
        <v>33.589759000000001</v>
      </c>
      <c r="Q225">
        <v>2118</v>
      </c>
      <c r="R225">
        <v>593</v>
      </c>
      <c r="S225">
        <f>R225/(R225+Q225)</f>
        <v>0.21873847288823312</v>
      </c>
      <c r="T225">
        <f>-4.0498-2.4768*S225</f>
        <v>-4.5915714496495763</v>
      </c>
      <c r="U225">
        <f>K225-(SUM(Q225:R225)*T225)</f>
        <v>142.7043900000026</v>
      </c>
      <c r="V225">
        <f>U225/(2*O225*P225)</f>
        <v>0.10946541632951889</v>
      </c>
      <c r="W225">
        <f>V225*16.02</f>
        <v>1.7536359695988926</v>
      </c>
    </row>
    <row r="226" spans="9:23" x14ac:dyDescent="0.2">
      <c r="J226">
        <v>1040.9840810000001</v>
      </c>
      <c r="K226">
        <v>-12295.591829999999</v>
      </c>
      <c r="L226">
        <v>62296.760844999997</v>
      </c>
      <c r="M226">
        <v>-1.4652050000000001</v>
      </c>
      <c r="N226">
        <v>95.460204000000004</v>
      </c>
      <c r="O226">
        <v>19.402851999999999</v>
      </c>
      <c r="P226">
        <v>33.634000999999998</v>
      </c>
      <c r="Q226">
        <v>2124</v>
      </c>
      <c r="R226">
        <v>587</v>
      </c>
      <c r="S226">
        <f>R226/(R226+Q226)</f>
        <v>0.216525267428993</v>
      </c>
      <c r="T226">
        <f>-4.0498-2.4768*S226</f>
        <v>-4.5860897823681306</v>
      </c>
      <c r="U226">
        <f>K226-(SUM(Q226:R226)*T226)</f>
        <v>137.29757000000245</v>
      </c>
      <c r="V226">
        <f>U226/(2*O226*P226)</f>
        <v>0.10519346274473611</v>
      </c>
      <c r="W226">
        <f>V226*16.02</f>
        <v>1.6851992731706724</v>
      </c>
    </row>
    <row r="227" spans="9:23" x14ac:dyDescent="0.2">
      <c r="I227" t="s">
        <v>29</v>
      </c>
      <c r="R227">
        <f>SUM(Q222:R222)</f>
        <v>2711</v>
      </c>
      <c r="W227" s="1">
        <f>AVERAGE(W222:W226)</f>
        <v>1.7373124077172879</v>
      </c>
    </row>
    <row r="228" spans="9:23" x14ac:dyDescent="0.2">
      <c r="J228" t="s">
        <v>18</v>
      </c>
      <c r="K228" t="s">
        <v>5</v>
      </c>
      <c r="L228" t="s">
        <v>7</v>
      </c>
      <c r="M228" t="s">
        <v>19</v>
      </c>
      <c r="N228" t="s">
        <v>20</v>
      </c>
      <c r="O228" t="s">
        <v>21</v>
      </c>
      <c r="P228" t="s">
        <v>22</v>
      </c>
      <c r="Q228" t="s">
        <v>26</v>
      </c>
      <c r="R228" t="s">
        <v>12</v>
      </c>
      <c r="S228" t="s">
        <v>23</v>
      </c>
      <c r="T228" t="s">
        <v>23</v>
      </c>
    </row>
    <row r="229" spans="9:23" x14ac:dyDescent="0.2">
      <c r="I229" t="s">
        <v>17</v>
      </c>
      <c r="J229">
        <v>1115.417649</v>
      </c>
      <c r="K229">
        <v>-15480.877369</v>
      </c>
      <c r="L229">
        <v>168082.65723499999</v>
      </c>
      <c r="M229">
        <v>-0.66357299999999997</v>
      </c>
      <c r="N229">
        <v>31.518557000000001</v>
      </c>
      <c r="O229">
        <v>189.81149300000001</v>
      </c>
      <c r="P229">
        <v>28.095441000000001</v>
      </c>
      <c r="Q229">
        <f>$E$27</f>
        <v>-4.0371768887999995</v>
      </c>
      <c r="R229">
        <f>K229-3872*Q229</f>
        <v>151.07154443359832</v>
      </c>
      <c r="S229">
        <f>R229/(2*N229*P229)</f>
        <v>8.5300287295720478E-2</v>
      </c>
      <c r="T229">
        <f>S229*16.02</f>
        <v>1.366510602477442</v>
      </c>
    </row>
    <row r="230" spans="9:23" x14ac:dyDescent="0.2">
      <c r="J230">
        <v>1115.4525530000001</v>
      </c>
      <c r="K230">
        <v>-15491.892291</v>
      </c>
      <c r="L230">
        <v>168091.01337299999</v>
      </c>
      <c r="M230">
        <v>-0.62036999999999998</v>
      </c>
      <c r="N230">
        <v>31.503613999999999</v>
      </c>
      <c r="O230">
        <v>189.79343800000001</v>
      </c>
      <c r="P230">
        <v>28.112856000000001</v>
      </c>
      <c r="Q230">
        <f>$E$27</f>
        <v>-4.0371768887999995</v>
      </c>
      <c r="R230">
        <f>K230-3872*Q230</f>
        <v>140.05662243359802</v>
      </c>
      <c r="S230">
        <f>R230/(2*N230*P230)</f>
        <v>7.9069375279584644E-2</v>
      </c>
      <c r="T230">
        <f>S230*16.02</f>
        <v>1.266691391978946</v>
      </c>
    </row>
    <row r="231" spans="9:23" x14ac:dyDescent="0.2">
      <c r="J231">
        <v>1115.3331920000001</v>
      </c>
      <c r="K231">
        <v>-15480.711826999999</v>
      </c>
      <c r="L231">
        <v>168141.354819</v>
      </c>
      <c r="M231">
        <v>-0.76484600000000003</v>
      </c>
      <c r="N231">
        <v>31.520603000000001</v>
      </c>
      <c r="O231">
        <v>189.80561299999999</v>
      </c>
      <c r="P231">
        <v>28.104323999999998</v>
      </c>
      <c r="Q231">
        <f>$E$27</f>
        <v>-4.0371768887999995</v>
      </c>
      <c r="R231">
        <f>K231-3872*Q231</f>
        <v>151.23708643359896</v>
      </c>
      <c r="S231">
        <f>R231/(2*N231*P231)</f>
        <v>8.536122635209635E-2</v>
      </c>
      <c r="T231">
        <f>S231*16.02</f>
        <v>1.3674868461605836</v>
      </c>
    </row>
    <row r="232" spans="9:23" x14ac:dyDescent="0.2">
      <c r="J232">
        <v>1115.578225</v>
      </c>
      <c r="K232">
        <v>-15491.810724999999</v>
      </c>
      <c r="L232">
        <v>168039.222411</v>
      </c>
      <c r="M232">
        <v>-0.78849499999999995</v>
      </c>
      <c r="N232">
        <v>31.509651000000002</v>
      </c>
      <c r="O232">
        <v>189.75948700000001</v>
      </c>
      <c r="P232">
        <v>28.103833999999999</v>
      </c>
      <c r="Q232">
        <f>$E$27</f>
        <v>-4.0371768887999995</v>
      </c>
      <c r="R232">
        <f>K232-3872*Q232</f>
        <v>140.13818843359877</v>
      </c>
      <c r="S232">
        <f>R232/(2*N232*P232)</f>
        <v>7.9125658782540104E-2</v>
      </c>
      <c r="T232">
        <f>S232*16.02</f>
        <v>1.2675930536962925</v>
      </c>
    </row>
    <row r="233" spans="9:23" x14ac:dyDescent="0.2">
      <c r="J233">
        <v>1115.4460750000001</v>
      </c>
      <c r="K233">
        <v>-15489.012455</v>
      </c>
      <c r="L233">
        <v>168053.531418</v>
      </c>
      <c r="M233">
        <v>-0.66450500000000001</v>
      </c>
      <c r="N233">
        <v>31.509689000000002</v>
      </c>
      <c r="O233">
        <v>189.83852200000001</v>
      </c>
      <c r="P233">
        <v>28.094535</v>
      </c>
      <c r="Q233">
        <f>$E$27</f>
        <v>-4.0371768887999995</v>
      </c>
      <c r="R233">
        <f>K233-3872*Q233</f>
        <v>142.93645843359809</v>
      </c>
      <c r="S233">
        <f>R233/(2*N233*P233)</f>
        <v>8.0732250027185107E-2</v>
      </c>
      <c r="T233">
        <f>S233*16.02</f>
        <v>1.2933306454355054</v>
      </c>
    </row>
    <row r="234" spans="9:23" x14ac:dyDescent="0.2">
      <c r="T234" s="1">
        <f>AVERAGE(T229:T233)</f>
        <v>1.3123225079497538</v>
      </c>
    </row>
    <row r="235" spans="9:23" x14ac:dyDescent="0.2">
      <c r="I235" t="s">
        <v>27</v>
      </c>
      <c r="J235">
        <v>1115.7286200000001</v>
      </c>
      <c r="K235">
        <v>-5827.221039</v>
      </c>
      <c r="L235">
        <v>63025.204475999999</v>
      </c>
      <c r="M235">
        <v>-1.7080850000000001</v>
      </c>
      <c r="N235">
        <v>33.375705000000004</v>
      </c>
      <c r="O235">
        <v>134.334734</v>
      </c>
      <c r="P235">
        <v>14.057293</v>
      </c>
      <c r="Q235">
        <f>$E$27</f>
        <v>-4.0371768887999995</v>
      </c>
      <c r="R235">
        <f>K235-1464*Q235</f>
        <v>83.205926203198942</v>
      </c>
      <c r="S235">
        <f>R235/(2*N235*P235)</f>
        <v>8.8673146314956874E-2</v>
      </c>
      <c r="T235">
        <f>S235*16.02</f>
        <v>1.4205438039656091</v>
      </c>
    </row>
    <row r="236" spans="9:23" x14ac:dyDescent="0.2">
      <c r="J236">
        <v>1115.0678089999999</v>
      </c>
      <c r="K236">
        <v>-5823.4253639999997</v>
      </c>
      <c r="L236">
        <v>62984.917535</v>
      </c>
      <c r="M236">
        <v>-1.6840379999999999</v>
      </c>
      <c r="N236">
        <v>33.373534999999997</v>
      </c>
      <c r="O236">
        <v>134.53936899999999</v>
      </c>
      <c r="P236">
        <v>14.027875999999999</v>
      </c>
      <c r="Q236">
        <f>$E$27</f>
        <v>-4.0371768887999995</v>
      </c>
      <c r="R236">
        <f>K236-1464*Q236</f>
        <v>87.001601203199243</v>
      </c>
      <c r="S236">
        <f>R236/(2*N236*P236)</f>
        <v>9.2918699151298439E-2</v>
      </c>
      <c r="T236">
        <f>S236*16.02</f>
        <v>1.488557560403801</v>
      </c>
    </row>
    <row r="237" spans="9:23" x14ac:dyDescent="0.2">
      <c r="J237">
        <v>1115.562232</v>
      </c>
      <c r="K237">
        <v>-5826.7379170000004</v>
      </c>
      <c r="L237">
        <v>63017.528867000001</v>
      </c>
      <c r="M237">
        <v>-2.0028860000000002</v>
      </c>
      <c r="N237">
        <v>33.428876000000002</v>
      </c>
      <c r="O237">
        <v>134.48129399999999</v>
      </c>
      <c r="P237">
        <v>14.017932</v>
      </c>
      <c r="Q237">
        <f>$E$27</f>
        <v>-4.0371768887999995</v>
      </c>
      <c r="R237">
        <f>K237-1464*Q237</f>
        <v>83.689048203198581</v>
      </c>
      <c r="S237">
        <f>R237/(2*N237*P237)</f>
        <v>8.9296185998241059E-2</v>
      </c>
      <c r="T237">
        <f>S237*16.02</f>
        <v>1.4305248996918218</v>
      </c>
    </row>
    <row r="238" spans="9:23" x14ac:dyDescent="0.2">
      <c r="J238">
        <v>1115.756511</v>
      </c>
      <c r="K238">
        <v>-5833.6437040000001</v>
      </c>
      <c r="L238">
        <v>62981.863666999998</v>
      </c>
      <c r="M238">
        <v>-1.901214</v>
      </c>
      <c r="N238">
        <v>33.357500999999999</v>
      </c>
      <c r="O238">
        <v>134.37009800000001</v>
      </c>
      <c r="P238">
        <v>14.051662</v>
      </c>
      <c r="Q238">
        <f>$E$27</f>
        <v>-4.0371768887999995</v>
      </c>
      <c r="R238">
        <f>K238-1464*Q238</f>
        <v>76.78326120319889</v>
      </c>
      <c r="S238">
        <f>R238/(2*N238*P238)</f>
        <v>8.1905931876913585E-2</v>
      </c>
      <c r="T238">
        <f>S238*16.02</f>
        <v>1.3121330286681556</v>
      </c>
    </row>
    <row r="239" spans="9:23" x14ac:dyDescent="0.2">
      <c r="J239">
        <v>1115.9049480000001</v>
      </c>
      <c r="K239">
        <v>-5830.105681</v>
      </c>
      <c r="L239">
        <v>63031.425469000002</v>
      </c>
      <c r="M239">
        <v>-1.9838789999999999</v>
      </c>
      <c r="N239">
        <v>33.387746999999997</v>
      </c>
      <c r="O239">
        <v>134.77167600000001</v>
      </c>
      <c r="P239">
        <v>14.00807</v>
      </c>
      <c r="Q239">
        <f>$E$27</f>
        <v>-4.0371768887999995</v>
      </c>
      <c r="R239">
        <f>K239-1464*Q239</f>
        <v>80.321284203198957</v>
      </c>
      <c r="S239">
        <f>R239/(2*N239*P239)</f>
        <v>8.5868767743127281E-2</v>
      </c>
      <c r="T239">
        <f>S239*16.02</f>
        <v>1.375617659244899</v>
      </c>
    </row>
    <row r="240" spans="9:23" x14ac:dyDescent="0.2">
      <c r="T240" s="1">
        <f>AVERAGE(T235:T239)</f>
        <v>1.4054753903948574</v>
      </c>
    </row>
    <row r="241" spans="9:20" x14ac:dyDescent="0.2">
      <c r="I241" t="s">
        <v>28</v>
      </c>
      <c r="J241">
        <v>1115.671857</v>
      </c>
      <c r="K241">
        <v>-10042.670555999999</v>
      </c>
      <c r="L241">
        <v>109092.244276</v>
      </c>
      <c r="M241">
        <v>-1.068057</v>
      </c>
      <c r="N241">
        <v>35.890906000000001</v>
      </c>
      <c r="O241">
        <v>144.47605799999999</v>
      </c>
      <c r="P241">
        <v>21.038696000000002</v>
      </c>
      <c r="Q241">
        <f>$E$27</f>
        <v>-4.0371768887999995</v>
      </c>
      <c r="R241">
        <f>K241-2520*Q241</f>
        <v>131.01520377599991</v>
      </c>
      <c r="S241">
        <f>R241/(2*N241*P241)</f>
        <v>8.6753790885788745E-2</v>
      </c>
      <c r="T241">
        <f>S241*16.02</f>
        <v>1.3897957299903356</v>
      </c>
    </row>
    <row r="242" spans="9:20" x14ac:dyDescent="0.2">
      <c r="J242">
        <v>1115.3430510000001</v>
      </c>
      <c r="K242">
        <v>-10045.672419</v>
      </c>
      <c r="L242">
        <v>108955.56623900001</v>
      </c>
      <c r="M242">
        <v>-1.045096</v>
      </c>
      <c r="N242">
        <v>35.867629000000001</v>
      </c>
      <c r="O242">
        <v>144.177975</v>
      </c>
      <c r="P242">
        <v>21.069410999999999</v>
      </c>
      <c r="Q242">
        <f>$E$27</f>
        <v>-4.0371768887999995</v>
      </c>
      <c r="R242">
        <f>K242-2520*Q242</f>
        <v>128.01334077599859</v>
      </c>
      <c r="S242">
        <f>R242/(2*N242*P242)</f>
        <v>8.4697418173534364E-2</v>
      </c>
      <c r="T242">
        <f>S242*16.02</f>
        <v>1.3568526391400204</v>
      </c>
    </row>
    <row r="243" spans="9:20" x14ac:dyDescent="0.2">
      <c r="J243">
        <v>1115.4299249999999</v>
      </c>
      <c r="K243">
        <v>-10044.971170000001</v>
      </c>
      <c r="L243">
        <v>108899.385046</v>
      </c>
      <c r="M243">
        <v>-0.86416999999999999</v>
      </c>
      <c r="N243">
        <v>35.922401999999998</v>
      </c>
      <c r="O243">
        <v>144.285878</v>
      </c>
      <c r="P243">
        <v>21.010774999999999</v>
      </c>
      <c r="Q243">
        <f>$E$27</f>
        <v>-4.0371768887999995</v>
      </c>
      <c r="R243">
        <f>K243-2520*Q243</f>
        <v>128.71458977599832</v>
      </c>
      <c r="S243">
        <f>R243/(2*N243*P243)</f>
        <v>8.5268837191397551E-2</v>
      </c>
      <c r="T243">
        <f>S243*16.02</f>
        <v>1.3660067718061888</v>
      </c>
    </row>
    <row r="244" spans="9:20" x14ac:dyDescent="0.2">
      <c r="J244">
        <v>1115.6671289999999</v>
      </c>
      <c r="K244">
        <v>-10047.919883</v>
      </c>
      <c r="L244">
        <v>109004.65311499999</v>
      </c>
      <c r="M244">
        <v>-0.89040799999999998</v>
      </c>
      <c r="N244">
        <v>35.834919999999997</v>
      </c>
      <c r="O244">
        <v>144.29425699999999</v>
      </c>
      <c r="P244">
        <v>21.081135</v>
      </c>
      <c r="Q244">
        <f>$E$27</f>
        <v>-4.0371768887999995</v>
      </c>
      <c r="R244">
        <f>K244-2520*Q244</f>
        <v>125.76587677599855</v>
      </c>
      <c r="S244">
        <f>R244/(2*N244*P244)</f>
        <v>8.3240062667869333E-2</v>
      </c>
      <c r="T244">
        <f>S244*16.02</f>
        <v>1.3335058039392667</v>
      </c>
    </row>
    <row r="245" spans="9:20" x14ac:dyDescent="0.2">
      <c r="J245">
        <v>1115.761315</v>
      </c>
      <c r="K245">
        <v>-10040.522396</v>
      </c>
      <c r="L245">
        <v>109087.343503</v>
      </c>
      <c r="M245">
        <v>-0.99216000000000004</v>
      </c>
      <c r="N245">
        <v>35.886107000000003</v>
      </c>
      <c r="O245">
        <v>144.52593200000001</v>
      </c>
      <c r="P245">
        <v>21.033369</v>
      </c>
      <c r="Q245">
        <f>$E$27</f>
        <v>-4.0371768887999995</v>
      </c>
      <c r="R245">
        <f>K245-2520*Q245</f>
        <v>133.16336377599873</v>
      </c>
      <c r="S245">
        <f>R245/(2*N245*P245)</f>
        <v>8.8210355588448877E-2</v>
      </c>
      <c r="T245">
        <f>S245*16.02</f>
        <v>1.413129896526951</v>
      </c>
    </row>
    <row r="246" spans="9:20" x14ac:dyDescent="0.2">
      <c r="T246" s="1">
        <f>AVERAGE(T241:T245)</f>
        <v>1.3718581682805524</v>
      </c>
    </row>
    <row r="247" spans="9:20" x14ac:dyDescent="0.2">
      <c r="I247" t="s">
        <v>55</v>
      </c>
      <c r="J247">
        <v>1041.2160980000001</v>
      </c>
      <c r="K247">
        <v>-7895.3810199999998</v>
      </c>
      <c r="L247">
        <v>86070.227983999997</v>
      </c>
      <c r="M247">
        <v>-1.1562460000000001</v>
      </c>
      <c r="N247">
        <v>31.805997000000001</v>
      </c>
      <c r="O247">
        <v>192.32934499999999</v>
      </c>
      <c r="P247">
        <v>14.070337</v>
      </c>
      <c r="Q247">
        <f>$E$27</f>
        <v>-4.0371768887999995</v>
      </c>
      <c r="R247">
        <f>K247-1976*Q247</f>
        <v>82.080512268798884</v>
      </c>
      <c r="S247">
        <f>R247/(2*N247*P247)</f>
        <v>9.1705746306782798E-2</v>
      </c>
      <c r="T247">
        <f>S247*16.02</f>
        <v>1.4691260558346604</v>
      </c>
    </row>
    <row r="248" spans="9:20" x14ac:dyDescent="0.2">
      <c r="J248">
        <v>1041.307026</v>
      </c>
      <c r="K248">
        <v>-7893.3168820000001</v>
      </c>
      <c r="L248">
        <v>86040.855351000006</v>
      </c>
      <c r="M248">
        <v>-1.213355</v>
      </c>
      <c r="N248">
        <v>31.826221</v>
      </c>
      <c r="O248">
        <v>192.20804799999999</v>
      </c>
      <c r="P248">
        <v>14.065492000000001</v>
      </c>
      <c r="Q248">
        <f>$E$27</f>
        <v>-4.0371768887999995</v>
      </c>
      <c r="R248">
        <f>K248-1976*Q248</f>
        <v>84.144650268798614</v>
      </c>
      <c r="S248">
        <f>R248/(2*N248*P248)</f>
        <v>9.3984559838076034E-2</v>
      </c>
      <c r="T248">
        <f>S248*16.02</f>
        <v>1.5056326486059781</v>
      </c>
    </row>
    <row r="249" spans="9:20" x14ac:dyDescent="0.2">
      <c r="J249">
        <v>1041.071081</v>
      </c>
      <c r="K249">
        <v>-7892.3319799999999</v>
      </c>
      <c r="L249">
        <v>86176.393721</v>
      </c>
      <c r="M249">
        <v>-1.1270039999999999</v>
      </c>
      <c r="N249">
        <v>31.847066999999999</v>
      </c>
      <c r="O249">
        <v>192.43411800000001</v>
      </c>
      <c r="P249">
        <v>14.06184</v>
      </c>
      <c r="Q249">
        <f>$E$27</f>
        <v>-4.0371768887999995</v>
      </c>
      <c r="R249">
        <f>K249-1976*Q249</f>
        <v>85.129552268798761</v>
      </c>
      <c r="S249">
        <f>R249/(2*N249*P249)</f>
        <v>9.5047075792963273E-2</v>
      </c>
      <c r="T249">
        <f>S249*16.02</f>
        <v>1.5226541542032717</v>
      </c>
    </row>
    <row r="250" spans="9:20" x14ac:dyDescent="0.2">
      <c r="J250">
        <v>1040.7779889999999</v>
      </c>
      <c r="K250">
        <v>-7892.9913210000004</v>
      </c>
      <c r="L250">
        <v>86068.296388000002</v>
      </c>
      <c r="M250">
        <v>-1.144104</v>
      </c>
      <c r="N250">
        <v>31.8002</v>
      </c>
      <c r="O250">
        <v>192.34054800000001</v>
      </c>
      <c r="P250">
        <v>14.071769</v>
      </c>
      <c r="Q250">
        <f>$E$27</f>
        <v>-4.0371768887999995</v>
      </c>
      <c r="R250">
        <f>K250-1976*Q250</f>
        <v>84.470211268798266</v>
      </c>
      <c r="S250">
        <f>R250/(2*N250*P250)</f>
        <v>9.4383273548983931E-2</v>
      </c>
      <c r="T250">
        <f>S250*16.02</f>
        <v>1.5120200422547225</v>
      </c>
    </row>
    <row r="251" spans="9:20" x14ac:dyDescent="0.2">
      <c r="J251">
        <v>1040.9532079999999</v>
      </c>
      <c r="K251">
        <v>-7896.769362</v>
      </c>
      <c r="L251">
        <v>86078.786989999993</v>
      </c>
      <c r="M251">
        <v>-1.1921010000000001</v>
      </c>
      <c r="N251">
        <v>31.806747000000001</v>
      </c>
      <c r="O251">
        <v>192.53670299999999</v>
      </c>
      <c r="P251">
        <v>14.056219</v>
      </c>
      <c r="Q251">
        <f>$E$27</f>
        <v>-4.0371768887999995</v>
      </c>
      <c r="R251">
        <f>K251-1976*Q251</f>
        <v>80.692170268798691</v>
      </c>
      <c r="S251">
        <f>R251/(2*N251*P251)</f>
        <v>9.0243022202539547E-2</v>
      </c>
      <c r="T251">
        <f>S251*16.02</f>
        <v>1.4456932156846836</v>
      </c>
    </row>
    <row r="252" spans="9:20" x14ac:dyDescent="0.2">
      <c r="T252" s="1">
        <f>AVERAGE(T247:T251)</f>
        <v>1.4910252233166632</v>
      </c>
    </row>
    <row r="253" spans="9:20" x14ac:dyDescent="0.2">
      <c r="I253">
        <v>100</v>
      </c>
      <c r="J253">
        <v>1041.239783</v>
      </c>
      <c r="K253">
        <v>-18718.981554999998</v>
      </c>
      <c r="L253">
        <v>111775.682959</v>
      </c>
      <c r="M253">
        <v>-0.92360699999999996</v>
      </c>
      <c r="N253">
        <v>28.144572</v>
      </c>
      <c r="O253">
        <v>28.133205</v>
      </c>
      <c r="P253">
        <v>141.16800900000001</v>
      </c>
      <c r="Q253">
        <f>$E$27</f>
        <v>-4.0371768887999995</v>
      </c>
      <c r="R253">
        <f>K253-4672*Q253</f>
        <v>142.70886947359759</v>
      </c>
      <c r="S253">
        <f>R253/(2*N253*O253)</f>
        <v>9.0117079884111523E-2</v>
      </c>
      <c r="T253">
        <f>S253*16.02</f>
        <v>1.4436756197434666</v>
      </c>
    </row>
    <row r="254" spans="9:20" x14ac:dyDescent="0.2">
      <c r="J254">
        <v>1041.0726079999999</v>
      </c>
      <c r="K254">
        <v>-18711.585747000001</v>
      </c>
      <c r="L254">
        <v>111793.28715800001</v>
      </c>
      <c r="M254">
        <v>-1.0663659999999999</v>
      </c>
      <c r="N254">
        <v>28.137278999999999</v>
      </c>
      <c r="O254">
        <v>28.145831999999999</v>
      </c>
      <c r="P254">
        <v>141.163433</v>
      </c>
      <c r="Q254">
        <f>$E$27</f>
        <v>-4.0371768887999995</v>
      </c>
      <c r="R254">
        <f>K254-4672*Q254</f>
        <v>150.10467747359507</v>
      </c>
      <c r="S254">
        <f>R254/(2*N254*O254)</f>
        <v>9.4769380574058398E-2</v>
      </c>
      <c r="T254">
        <f>S254*16.02</f>
        <v>1.5182054767964155</v>
      </c>
    </row>
    <row r="255" spans="9:20" x14ac:dyDescent="0.2">
      <c r="J255">
        <v>1041.091817</v>
      </c>
      <c r="K255">
        <v>-18715.052811000001</v>
      </c>
      <c r="L255">
        <v>111795.110715</v>
      </c>
      <c r="M255">
        <v>-0.94308499999999995</v>
      </c>
      <c r="N255">
        <v>28.136391</v>
      </c>
      <c r="O255">
        <v>28.146906000000001</v>
      </c>
      <c r="P255">
        <v>141.16473400000001</v>
      </c>
      <c r="Q255">
        <f>$E$27</f>
        <v>-4.0371768887999995</v>
      </c>
      <c r="R255">
        <f>K255-4672*Q255</f>
        <v>146.63761347359468</v>
      </c>
      <c r="S255">
        <f>R255/(2*N255*O255)</f>
        <v>9.2579820605220201E-2</v>
      </c>
      <c r="T255">
        <f>S255*16.02</f>
        <v>1.4831287260956276</v>
      </c>
    </row>
    <row r="256" spans="9:20" x14ac:dyDescent="0.2">
      <c r="J256">
        <v>1041.3732339999999</v>
      </c>
      <c r="K256">
        <v>-18721.100354999999</v>
      </c>
      <c r="L256">
        <v>111812.448773</v>
      </c>
      <c r="M256">
        <v>-0.88656199999999996</v>
      </c>
      <c r="N256">
        <v>28.146761999999999</v>
      </c>
      <c r="O256">
        <v>28.135159000000002</v>
      </c>
      <c r="P256">
        <v>141.193611</v>
      </c>
      <c r="Q256">
        <f>$E$27</f>
        <v>-4.0371768887999995</v>
      </c>
      <c r="R256">
        <f>K256-4672*Q256</f>
        <v>140.5900694735974</v>
      </c>
      <c r="S256">
        <f>R256/(2*N256*O256)</f>
        <v>8.8766037845798743E-2</v>
      </c>
      <c r="T256">
        <f>S256*16.02</f>
        <v>1.4220319262896959</v>
      </c>
    </row>
    <row r="257" spans="9:20" x14ac:dyDescent="0.2">
      <c r="J257">
        <v>1041.327192</v>
      </c>
      <c r="K257">
        <v>-18714.619360000001</v>
      </c>
      <c r="L257">
        <v>111810.051309</v>
      </c>
      <c r="M257">
        <v>-1.0097020000000001</v>
      </c>
      <c r="N257">
        <v>28.132933999999999</v>
      </c>
      <c r="O257">
        <v>28.138871000000002</v>
      </c>
      <c r="P257">
        <v>141.24142000000001</v>
      </c>
      <c r="Q257">
        <f>$E$27</f>
        <v>-4.0371768887999995</v>
      </c>
      <c r="R257">
        <f>K257-4672*Q257</f>
        <v>147.07106447359547</v>
      </c>
      <c r="S257">
        <f>R257/(2*N257*O257)</f>
        <v>9.2891407684486685E-2</v>
      </c>
      <c r="T257">
        <f>S257*16.02</f>
        <v>1.4881203511054766</v>
      </c>
    </row>
    <row r="258" spans="9:20" x14ac:dyDescent="0.2">
      <c r="T258" s="1">
        <f>AVERAGE(T253:T257)</f>
        <v>1.4710324200061364</v>
      </c>
    </row>
    <row r="259" spans="9:20" x14ac:dyDescent="0.2">
      <c r="I259">
        <v>110</v>
      </c>
      <c r="J259">
        <v>1041.041056</v>
      </c>
      <c r="K259">
        <v>-7204.879387</v>
      </c>
      <c r="L259">
        <v>43663.020204</v>
      </c>
      <c r="M259">
        <v>-2.2976489999999998</v>
      </c>
      <c r="N259">
        <v>99.842833999999996</v>
      </c>
      <c r="O259">
        <v>24.912707000000001</v>
      </c>
      <c r="P259">
        <v>17.554154</v>
      </c>
      <c r="Q259">
        <f>$E$27</f>
        <v>-4.0371768887999995</v>
      </c>
      <c r="R259">
        <f>K259-1800*Q259</f>
        <v>62.039012839999486</v>
      </c>
      <c r="S259">
        <f>R259/(2*O259*P259)</f>
        <v>7.0930669445689348E-2</v>
      </c>
      <c r="T259">
        <f>S259*16.02</f>
        <v>1.1363093245199434</v>
      </c>
    </row>
    <row r="260" spans="9:20" x14ac:dyDescent="0.2">
      <c r="J260">
        <v>1041.353981</v>
      </c>
      <c r="K260">
        <v>-7201.8162169999996</v>
      </c>
      <c r="L260">
        <v>43652.286161000004</v>
      </c>
      <c r="M260">
        <v>-2.4043389999999998</v>
      </c>
      <c r="N260">
        <v>99.753905000000003</v>
      </c>
      <c r="O260">
        <v>24.914593</v>
      </c>
      <c r="P260">
        <v>17.564284000000001</v>
      </c>
      <c r="Q260">
        <f>$E$27</f>
        <v>-4.0371768887999995</v>
      </c>
      <c r="R260">
        <f>K260-1800*Q260</f>
        <v>65.102182839999841</v>
      </c>
      <c r="S260">
        <f>R260/(2*O260*P260)</f>
        <v>7.4384304575534452E-2</v>
      </c>
      <c r="T260">
        <f>S260*16.02</f>
        <v>1.191636559300062</v>
      </c>
    </row>
    <row r="261" spans="9:20" x14ac:dyDescent="0.2">
      <c r="J261">
        <v>1040.9872800000001</v>
      </c>
      <c r="K261">
        <v>-7203.6929899999996</v>
      </c>
      <c r="L261">
        <v>43687.174319999998</v>
      </c>
      <c r="M261">
        <v>-2.1816070000000001</v>
      </c>
      <c r="N261">
        <v>99.830192999999994</v>
      </c>
      <c r="O261">
        <v>24.914766</v>
      </c>
      <c r="P261">
        <v>17.564627999999999</v>
      </c>
      <c r="Q261">
        <f>$E$27</f>
        <v>-4.0371768887999995</v>
      </c>
      <c r="R261">
        <f>K261-1800*Q261</f>
        <v>63.225409839999884</v>
      </c>
      <c r="S261">
        <f>R261/(2*O261*P261)</f>
        <v>7.2238029126381498E-2</v>
      </c>
      <c r="T261">
        <f>S261*16.02</f>
        <v>1.1572532266046316</v>
      </c>
    </row>
    <row r="262" spans="9:20" x14ac:dyDescent="0.2">
      <c r="J262">
        <v>1041.2905459999999</v>
      </c>
      <c r="K262">
        <v>-7203.5095419999998</v>
      </c>
      <c r="L262">
        <v>43640.319180999999</v>
      </c>
      <c r="M262">
        <v>-2.2306900000000001</v>
      </c>
      <c r="N262">
        <v>99.759899000000004</v>
      </c>
      <c r="O262">
        <v>24.917869</v>
      </c>
      <c r="P262">
        <v>17.555986999999998</v>
      </c>
      <c r="Q262">
        <f>$E$27</f>
        <v>-4.0371768887999995</v>
      </c>
      <c r="R262">
        <f>K262-1800*Q262</f>
        <v>63.408857839999655</v>
      </c>
      <c r="S262">
        <f>R262/(2*O262*P262)</f>
        <v>7.2474259374951097E-2</v>
      </c>
      <c r="T262">
        <f>S262*16.02</f>
        <v>1.1610376351867167</v>
      </c>
    </row>
    <row r="263" spans="9:20" x14ac:dyDescent="0.2">
      <c r="J263">
        <v>1041.26794</v>
      </c>
      <c r="K263">
        <v>-7204.2892419999998</v>
      </c>
      <c r="L263">
        <v>43661.756254</v>
      </c>
      <c r="M263">
        <v>-2.3350559999999998</v>
      </c>
      <c r="N263">
        <v>99.803895999999995</v>
      </c>
      <c r="O263">
        <v>24.910520000000002</v>
      </c>
      <c r="P263">
        <v>17.562042000000002</v>
      </c>
      <c r="Q263">
        <f>$E$27</f>
        <v>-4.0371768887999995</v>
      </c>
      <c r="R263">
        <f>K263-1800*Q263</f>
        <v>62.629157839999607</v>
      </c>
      <c r="S263">
        <f>R263/(2*O263*P263)</f>
        <v>7.1579518287638921E-2</v>
      </c>
      <c r="T263">
        <f>S263*16.02</f>
        <v>1.1467038829679754</v>
      </c>
    </row>
    <row r="264" spans="9:20" x14ac:dyDescent="0.2">
      <c r="T264" s="1">
        <f>AVERAGE(T259:T263)</f>
        <v>1.1585881257158659</v>
      </c>
    </row>
    <row r="265" spans="9:20" x14ac:dyDescent="0.2">
      <c r="I265">
        <v>111</v>
      </c>
      <c r="J265">
        <v>1115.352813</v>
      </c>
      <c r="K265">
        <v>-13830.804655</v>
      </c>
      <c r="L265">
        <v>84131.124295999995</v>
      </c>
      <c r="M265">
        <v>-1.570533</v>
      </c>
      <c r="N265">
        <v>122.271826</v>
      </c>
      <c r="O265">
        <v>19.935701999999999</v>
      </c>
      <c r="P265">
        <v>34.514360000000003</v>
      </c>
      <c r="Q265">
        <f>$E$27</f>
        <v>-4.0371768887999995</v>
      </c>
      <c r="R265">
        <f>K265-3456*Q265</f>
        <v>121.6786726927985</v>
      </c>
      <c r="S265">
        <f>R265/(2*O265*P265)</f>
        <v>8.8420529262096578E-2</v>
      </c>
      <c r="T265">
        <f>S265*16.02</f>
        <v>1.416496878778787</v>
      </c>
    </row>
    <row r="266" spans="9:20" x14ac:dyDescent="0.2">
      <c r="J266">
        <v>1115.6678999999999</v>
      </c>
      <c r="K266">
        <v>-13830.335212</v>
      </c>
      <c r="L266">
        <v>84021.940275999994</v>
      </c>
      <c r="M266">
        <v>-1.37947</v>
      </c>
      <c r="N266">
        <v>122.19081199999999</v>
      </c>
      <c r="O266">
        <v>19.931073999999999</v>
      </c>
      <c r="P266">
        <v>34.500428999999997</v>
      </c>
      <c r="Q266">
        <f>$E$27</f>
        <v>-4.0371768887999995</v>
      </c>
      <c r="R266">
        <f>K266-3456*Q266</f>
        <v>122.14811569279846</v>
      </c>
      <c r="S266">
        <f>R266/(2*O266*P266)</f>
        <v>8.8818120574748749E-2</v>
      </c>
      <c r="T266">
        <f>S266*16.02</f>
        <v>1.422866291607475</v>
      </c>
    </row>
    <row r="267" spans="9:20" x14ac:dyDescent="0.2">
      <c r="J267">
        <v>1115.626853</v>
      </c>
      <c r="K267">
        <v>-13830.031082</v>
      </c>
      <c r="L267">
        <v>84049.741785000006</v>
      </c>
      <c r="M267">
        <v>-1.166153</v>
      </c>
      <c r="N267">
        <v>122.219454</v>
      </c>
      <c r="O267">
        <v>19.926380999999999</v>
      </c>
      <c r="P267">
        <v>34.511893000000001</v>
      </c>
      <c r="Q267">
        <f>$E$27</f>
        <v>-4.0371768887999995</v>
      </c>
      <c r="R267">
        <f>K267-3456*Q267</f>
        <v>122.4522456927989</v>
      </c>
      <c r="S267">
        <f>R267/(2*O267*P267)</f>
        <v>8.9030650658597235E-2</v>
      </c>
      <c r="T267">
        <f>S267*16.02</f>
        <v>1.4262710235507277</v>
      </c>
    </row>
    <row r="268" spans="9:20" x14ac:dyDescent="0.2">
      <c r="J268">
        <v>1115.869238</v>
      </c>
      <c r="K268">
        <v>-13828.615867</v>
      </c>
      <c r="L268">
        <v>84107.350464000003</v>
      </c>
      <c r="M268">
        <v>-1.2868550000000001</v>
      </c>
      <c r="N268">
        <v>122.260875</v>
      </c>
      <c r="O268">
        <v>19.926418000000002</v>
      </c>
      <c r="P268">
        <v>34.523772999999998</v>
      </c>
      <c r="Q268">
        <f>$E$27</f>
        <v>-4.0371768887999995</v>
      </c>
      <c r="R268">
        <f>K268-3456*Q268</f>
        <v>123.86746069279798</v>
      </c>
      <c r="S268">
        <f>R268/(2*O268*P268)</f>
        <v>9.0028445254989917E-2</v>
      </c>
      <c r="T268">
        <f>S268*16.02</f>
        <v>1.4422556929849384</v>
      </c>
    </row>
    <row r="269" spans="9:20" x14ac:dyDescent="0.2">
      <c r="J269">
        <v>1115.3755880000001</v>
      </c>
      <c r="K269">
        <v>-13828.64055</v>
      </c>
      <c r="L269">
        <v>84013.651901000005</v>
      </c>
      <c r="M269">
        <v>-1.4514089999999999</v>
      </c>
      <c r="N269">
        <v>122.19179</v>
      </c>
      <c r="O269">
        <v>19.924828000000002</v>
      </c>
      <c r="P269">
        <v>34.507579999999997</v>
      </c>
      <c r="Q269">
        <f>$E$27</f>
        <v>-4.0371768887999995</v>
      </c>
      <c r="R269">
        <f>K269-3456*Q269</f>
        <v>123.84277769279834</v>
      </c>
      <c r="S269">
        <f>R269/(2*O269*P269)</f>
        <v>9.0059929799285954E-2</v>
      </c>
      <c r="T269">
        <f>S269*16.02</f>
        <v>1.4427600753845609</v>
      </c>
    </row>
    <row r="270" spans="9:20" x14ac:dyDescent="0.2">
      <c r="T270" s="1">
        <f>AVERAGE(T265:T269)</f>
        <v>1.4301299924612976</v>
      </c>
    </row>
    <row r="271" spans="9:20" x14ac:dyDescent="0.2">
      <c r="I271" t="s">
        <v>30</v>
      </c>
    </row>
    <row r="272" spans="9:20" x14ac:dyDescent="0.2">
      <c r="J272" t="s">
        <v>18</v>
      </c>
      <c r="K272" t="s">
        <v>5</v>
      </c>
      <c r="L272" t="s">
        <v>7</v>
      </c>
      <c r="M272" t="s">
        <v>19</v>
      </c>
      <c r="N272" t="s">
        <v>20</v>
      </c>
      <c r="O272" t="s">
        <v>21</v>
      </c>
      <c r="P272" t="s">
        <v>22</v>
      </c>
      <c r="Q272" t="s">
        <v>26</v>
      </c>
      <c r="R272" t="s">
        <v>12</v>
      </c>
      <c r="S272" t="s">
        <v>23</v>
      </c>
      <c r="T272" t="s">
        <v>23</v>
      </c>
    </row>
    <row r="273" spans="9:25" x14ac:dyDescent="0.2">
      <c r="I273" t="s">
        <v>17</v>
      </c>
      <c r="J273">
        <v>1115.162114</v>
      </c>
      <c r="K273">
        <v>-25601.022067000002</v>
      </c>
      <c r="L273">
        <v>123242.757899</v>
      </c>
      <c r="M273">
        <v>-0.63372799999999996</v>
      </c>
      <c r="N273">
        <v>28.443846000000001</v>
      </c>
      <c r="O273">
        <v>170.70679100000001</v>
      </c>
      <c r="P273">
        <v>25.381803999999999</v>
      </c>
      <c r="Q273">
        <f>$E$41</f>
        <v>-6.7245818759000002</v>
      </c>
      <c r="R273">
        <f>K273-3872*Q273</f>
        <v>436.55895648479782</v>
      </c>
      <c r="S273">
        <f>R273/(2*N273*P273)</f>
        <v>0.30234452057716177</v>
      </c>
      <c r="T273">
        <f>S273*16.02</f>
        <v>4.8435592196461315</v>
      </c>
    </row>
    <row r="274" spans="9:25" x14ac:dyDescent="0.2">
      <c r="J274">
        <v>1115.4143819999999</v>
      </c>
      <c r="K274">
        <v>-25602.564568999998</v>
      </c>
      <c r="L274">
        <v>123187.772445</v>
      </c>
      <c r="M274">
        <v>-0.87944299999999997</v>
      </c>
      <c r="N274">
        <v>28.445295000000002</v>
      </c>
      <c r="O274">
        <v>170.61680799999999</v>
      </c>
      <c r="P274">
        <v>25.382565</v>
      </c>
      <c r="Q274">
        <f>$E$41</f>
        <v>-6.7245818759000002</v>
      </c>
      <c r="R274">
        <f>K274-3872*Q274</f>
        <v>435.01645448480122</v>
      </c>
      <c r="S274">
        <f>R274/(2*N274*P274)</f>
        <v>0.30125186183408265</v>
      </c>
      <c r="T274">
        <f>S274*16.02</f>
        <v>4.8260548265820038</v>
      </c>
    </row>
    <row r="275" spans="9:25" x14ac:dyDescent="0.2">
      <c r="J275">
        <v>1115.2644620000001</v>
      </c>
      <c r="K275">
        <v>-25602.23029</v>
      </c>
      <c r="L275">
        <v>123184.279066</v>
      </c>
      <c r="M275">
        <v>-0.99227900000000002</v>
      </c>
      <c r="N275">
        <v>28.445150999999999</v>
      </c>
      <c r="O275">
        <v>170.61192399999999</v>
      </c>
      <c r="P275">
        <v>25.382701000000001</v>
      </c>
      <c r="Q275">
        <f>$E$41</f>
        <v>-6.7245818759000002</v>
      </c>
      <c r="R275">
        <f>K275-3872*Q275</f>
        <v>435.3507334848</v>
      </c>
      <c r="S275">
        <f>R275/(2*N275*P275)</f>
        <v>0.30148326319324992</v>
      </c>
      <c r="T275">
        <f>S275*16.02</f>
        <v>4.8297618763558638</v>
      </c>
    </row>
    <row r="276" spans="9:25" x14ac:dyDescent="0.2">
      <c r="J276">
        <v>1115.4341300000001</v>
      </c>
      <c r="K276">
        <v>-25601.104779000001</v>
      </c>
      <c r="L276">
        <v>123210.621008</v>
      </c>
      <c r="M276">
        <v>-0.83709999999999996</v>
      </c>
      <c r="N276">
        <v>28.444984999999999</v>
      </c>
      <c r="O276">
        <v>170.64371800000001</v>
      </c>
      <c r="P276">
        <v>25.383545000000002</v>
      </c>
      <c r="Q276">
        <f>$E$41</f>
        <v>-6.7245818759000002</v>
      </c>
      <c r="R276">
        <f>K276-3872*Q276</f>
        <v>436.47624448479837</v>
      </c>
      <c r="S276">
        <f>R276/(2*N276*P276)</f>
        <v>0.30225440070088788</v>
      </c>
      <c r="T276">
        <f>S276*16.02</f>
        <v>4.8421154992282238</v>
      </c>
    </row>
    <row r="277" spans="9:25" x14ac:dyDescent="0.2">
      <c r="J277">
        <v>1115.476044</v>
      </c>
      <c r="K277">
        <v>-25599.966974999999</v>
      </c>
      <c r="L277">
        <v>123268.28642400001</v>
      </c>
      <c r="M277">
        <v>-0.758822</v>
      </c>
      <c r="N277">
        <v>28.444032</v>
      </c>
      <c r="O277">
        <v>170.738392</v>
      </c>
      <c r="P277">
        <v>25.382196</v>
      </c>
      <c r="Q277">
        <f>$E$41</f>
        <v>-6.7245818759000002</v>
      </c>
      <c r="R277">
        <f>K277-3872*Q277</f>
        <v>437.61404848480015</v>
      </c>
      <c r="S277">
        <f>R277/(2*N277*P277)</f>
        <v>0.30306857562437478</v>
      </c>
      <c r="T277">
        <f>S277*16.02</f>
        <v>4.8551585815024838</v>
      </c>
    </row>
    <row r="278" spans="9:25" x14ac:dyDescent="0.2">
      <c r="T278" s="1">
        <f>AVERAGE(T273:T277)</f>
        <v>4.8393300006629412</v>
      </c>
    </row>
    <row r="279" spans="9:25" x14ac:dyDescent="0.2">
      <c r="I279" t="s">
        <v>27</v>
      </c>
      <c r="J279">
        <v>1115.2866220000001</v>
      </c>
      <c r="K279">
        <v>-9610.4683810000006</v>
      </c>
      <c r="L279">
        <v>46208.528445000004</v>
      </c>
      <c r="M279">
        <v>-2.1119520000000001</v>
      </c>
      <c r="N279">
        <v>30.146542</v>
      </c>
      <c r="O279">
        <v>120.879318</v>
      </c>
      <c r="P279">
        <v>12.680405</v>
      </c>
      <c r="Q279">
        <f>$E$41</f>
        <v>-6.7245818759000002</v>
      </c>
      <c r="R279">
        <f>K279-1464*Q279</f>
        <v>234.31948531759917</v>
      </c>
      <c r="S279">
        <f>R279/(2*N279*P279)</f>
        <v>0.30648398184354486</v>
      </c>
      <c r="T279">
        <f>S279*16.02</f>
        <v>4.9098733891335886</v>
      </c>
    </row>
    <row r="280" spans="9:25" x14ac:dyDescent="0.2">
      <c r="J280">
        <v>1115.27701</v>
      </c>
      <c r="K280">
        <v>-9610.3980969999993</v>
      </c>
      <c r="L280">
        <v>46212.077983000003</v>
      </c>
      <c r="M280">
        <v>-2.4054310000000001</v>
      </c>
      <c r="N280">
        <v>30.146502999999999</v>
      </c>
      <c r="O280">
        <v>120.88295100000001</v>
      </c>
      <c r="P280">
        <v>12.681015</v>
      </c>
      <c r="Q280">
        <f>$E$41</f>
        <v>-6.7245818759000002</v>
      </c>
      <c r="R280">
        <f>K280-1464*Q280</f>
        <v>234.38976931760044</v>
      </c>
      <c r="S280">
        <f>R280/(2*N280*P280)</f>
        <v>0.30656156079191088</v>
      </c>
      <c r="T280">
        <f>S280*16.02</f>
        <v>4.9111162038864125</v>
      </c>
    </row>
    <row r="281" spans="9:25" x14ac:dyDescent="0.2">
      <c r="J281">
        <v>1115.0099929999999</v>
      </c>
      <c r="K281">
        <v>-9611.0038449999993</v>
      </c>
      <c r="L281">
        <v>46180.742106999998</v>
      </c>
      <c r="M281">
        <v>-2.140431</v>
      </c>
      <c r="N281">
        <v>30.148941000000001</v>
      </c>
      <c r="O281">
        <v>120.795787</v>
      </c>
      <c r="P281">
        <v>12.680535000000001</v>
      </c>
      <c r="Q281">
        <f>$E$41</f>
        <v>-6.7245818759000002</v>
      </c>
      <c r="R281">
        <f>K281-1464*Q281</f>
        <v>233.78402131760049</v>
      </c>
      <c r="S281">
        <f>R281/(2*N281*P281)</f>
        <v>0.30575614210542107</v>
      </c>
      <c r="T281">
        <f>S281*16.02</f>
        <v>4.8982133965288455</v>
      </c>
    </row>
    <row r="282" spans="9:25" x14ac:dyDescent="0.2">
      <c r="J282">
        <v>1115.382703</v>
      </c>
      <c r="K282">
        <v>-9610.8223259999995</v>
      </c>
      <c r="L282">
        <v>46229.076100999999</v>
      </c>
      <c r="M282">
        <v>-2.036416</v>
      </c>
      <c r="N282">
        <v>30.148199999999999</v>
      </c>
      <c r="O282">
        <v>120.906384</v>
      </c>
      <c r="P282">
        <v>12.682508</v>
      </c>
      <c r="Q282">
        <f>$E$41</f>
        <v>-6.7245818759000002</v>
      </c>
      <c r="R282">
        <f>K282-1464*Q282</f>
        <v>233.96554031760024</v>
      </c>
      <c r="S282">
        <f>R282/(2*N282*P282)</f>
        <v>0.30595345978769822</v>
      </c>
      <c r="T282">
        <f>S282*16.02</f>
        <v>4.9013744257989256</v>
      </c>
    </row>
    <row r="283" spans="9:25" x14ac:dyDescent="0.2">
      <c r="J283">
        <v>1115.9558280000001</v>
      </c>
      <c r="K283">
        <v>-9610.7767000000003</v>
      </c>
      <c r="L283">
        <v>46225.268964000003</v>
      </c>
      <c r="M283">
        <v>-1.8014209999999999</v>
      </c>
      <c r="N283">
        <v>30.149232999999999</v>
      </c>
      <c r="O283">
        <v>120.89649799999999</v>
      </c>
      <c r="P283">
        <v>12.682062</v>
      </c>
      <c r="Q283">
        <f>$E$41</f>
        <v>-6.7245818759000002</v>
      </c>
      <c r="R283">
        <f>K283-1464*Q283</f>
        <v>234.01116631759942</v>
      </c>
      <c r="S283">
        <f>R283/(2*N283*P283)</f>
        <v>0.30601340080760225</v>
      </c>
      <c r="T283">
        <f>S283*16.02</f>
        <v>4.9023346809377877</v>
      </c>
    </row>
    <row r="284" spans="9:25" x14ac:dyDescent="0.2">
      <c r="T284" s="1">
        <f>AVERAGE(T279:T283)</f>
        <v>4.9045824192571121</v>
      </c>
    </row>
    <row r="285" spans="9:25" x14ac:dyDescent="0.2">
      <c r="I285" t="s">
        <v>28</v>
      </c>
      <c r="J285">
        <v>1115.0982309999999</v>
      </c>
      <c r="K285">
        <v>-16563.277105000001</v>
      </c>
      <c r="L285">
        <v>79814.210208000004</v>
      </c>
      <c r="M285">
        <v>-1.0947929999999999</v>
      </c>
      <c r="N285">
        <v>32.384296999999997</v>
      </c>
      <c r="O285">
        <v>129.476091</v>
      </c>
      <c r="P285">
        <v>19.035157999999999</v>
      </c>
      <c r="Q285">
        <f>$E$41</f>
        <v>-6.7245818759000002</v>
      </c>
      <c r="R285">
        <f>K285-2520*Q285</f>
        <v>382.66922226799943</v>
      </c>
      <c r="S285">
        <f>R285/(2*N285*P285)</f>
        <v>0.31038632456931819</v>
      </c>
      <c r="T285">
        <f>S285*16.02</f>
        <v>4.9723889196004771</v>
      </c>
    </row>
    <row r="286" spans="9:25" x14ac:dyDescent="0.2">
      <c r="J286">
        <v>1115.5699030000001</v>
      </c>
      <c r="K286">
        <v>-16563.478899000002</v>
      </c>
      <c r="L286">
        <v>79808.838837999996</v>
      </c>
      <c r="M286">
        <v>-1.2285140000000001</v>
      </c>
      <c r="N286">
        <v>32.386040000000001</v>
      </c>
      <c r="O286">
        <v>129.48838000000001</v>
      </c>
      <c r="P286">
        <v>19.031047000000001</v>
      </c>
      <c r="Q286">
        <f>$E$41</f>
        <v>-6.7245818759000002</v>
      </c>
      <c r="R286">
        <f>K286-2520*Q286</f>
        <v>382.46742826799891</v>
      </c>
      <c r="S286">
        <f>R286/(2*N286*P286)</f>
        <v>0.31027296095811496</v>
      </c>
      <c r="T286">
        <f>S286*16.02</f>
        <v>4.9705728345490012</v>
      </c>
    </row>
    <row r="287" spans="9:25" x14ac:dyDescent="0.2">
      <c r="J287">
        <v>1115.4136470000001</v>
      </c>
      <c r="K287">
        <v>-16563.757668999999</v>
      </c>
      <c r="L287">
        <v>79755.129222999996</v>
      </c>
      <c r="M287">
        <v>-1.4067829999999999</v>
      </c>
      <c r="N287">
        <v>32.383560000000003</v>
      </c>
      <c r="O287">
        <v>129.399236</v>
      </c>
      <c r="P287">
        <v>19.032796000000001</v>
      </c>
      <c r="Q287">
        <f>$E$41</f>
        <v>-6.7245818759000002</v>
      </c>
      <c r="R287">
        <f>K287-2520*Q287</f>
        <v>382.18865826800175</v>
      </c>
      <c r="S287">
        <f>R287/(2*N287*P287)</f>
        <v>0.31004206192021183</v>
      </c>
      <c r="T287">
        <f>S287*16.02</f>
        <v>4.9668738319617933</v>
      </c>
      <c r="X287" s="1"/>
      <c r="Y287" s="1"/>
    </row>
    <row r="288" spans="9:25" x14ac:dyDescent="0.2">
      <c r="J288">
        <v>1115.3822259999999</v>
      </c>
      <c r="K288">
        <v>-16564.570778000001</v>
      </c>
      <c r="L288">
        <v>79794.150624000002</v>
      </c>
      <c r="M288">
        <v>-1.3853850000000001</v>
      </c>
      <c r="N288">
        <v>32.385058999999998</v>
      </c>
      <c r="O288">
        <v>129.453183</v>
      </c>
      <c r="P288">
        <v>19.033289</v>
      </c>
      <c r="Q288">
        <f>$E$41</f>
        <v>-6.7245818759000002</v>
      </c>
      <c r="R288">
        <f>K288-2520*Q288</f>
        <v>381.3755492679993</v>
      </c>
      <c r="S288">
        <f>R288/(2*N288*P288)</f>
        <v>0.30936011173502581</v>
      </c>
      <c r="T288">
        <f>S288*16.02</f>
        <v>4.9559489899951137</v>
      </c>
    </row>
    <row r="289" spans="9:25" x14ac:dyDescent="0.2">
      <c r="J289">
        <v>1115.453364</v>
      </c>
      <c r="K289">
        <v>-16563.212684999999</v>
      </c>
      <c r="L289">
        <v>79826.757696999994</v>
      </c>
      <c r="M289">
        <v>-1.191864</v>
      </c>
      <c r="N289">
        <v>32.384137000000003</v>
      </c>
      <c r="O289">
        <v>129.50869599999999</v>
      </c>
      <c r="P289">
        <v>19.033450999999999</v>
      </c>
      <c r="Q289">
        <f>$E$41</f>
        <v>-6.7245818759000002</v>
      </c>
      <c r="R289">
        <f>K289-2520*Q289</f>
        <v>382.73364226800186</v>
      </c>
      <c r="S289">
        <f>R289/(2*N289*P289)</f>
        <v>0.31046795154663909</v>
      </c>
      <c r="T289">
        <f>S289*16.02</f>
        <v>4.9736965837771576</v>
      </c>
    </row>
    <row r="290" spans="9:25" x14ac:dyDescent="0.2">
      <c r="T290" s="1">
        <f>AVERAGE(T285:T289)</f>
        <v>4.9678962319767086</v>
      </c>
    </row>
    <row r="291" spans="9:25" x14ac:dyDescent="0.2">
      <c r="I291" t="s">
        <v>55</v>
      </c>
      <c r="J291">
        <v>1040.0108479999999</v>
      </c>
      <c r="K291">
        <v>-13059.039924999999</v>
      </c>
      <c r="L291">
        <v>62998.781070999998</v>
      </c>
      <c r="M291">
        <v>-1.3961429999999999</v>
      </c>
      <c r="N291">
        <v>28.752589</v>
      </c>
      <c r="O291">
        <v>172.60478800000001</v>
      </c>
      <c r="P291">
        <v>12.694122</v>
      </c>
      <c r="Q291">
        <f>$E$41</f>
        <v>-6.7245818759000002</v>
      </c>
      <c r="R291">
        <f>K291-1976*Q291</f>
        <v>228.73386177840075</v>
      </c>
      <c r="S291">
        <f>R291/(2*N291*P291)</f>
        <v>0.31334360984813503</v>
      </c>
      <c r="T291">
        <f>S291*16.02</f>
        <v>5.0197646297671232</v>
      </c>
    </row>
    <row r="292" spans="9:25" x14ac:dyDescent="0.2">
      <c r="J292">
        <v>1040.214017</v>
      </c>
      <c r="K292">
        <v>-13060.207823000001</v>
      </c>
      <c r="L292">
        <v>63048.538554999999</v>
      </c>
      <c r="M292">
        <v>-1.3511249999999999</v>
      </c>
      <c r="N292">
        <v>28.750944</v>
      </c>
      <c r="O292">
        <v>172.73944900000001</v>
      </c>
      <c r="P292">
        <v>12.694972</v>
      </c>
      <c r="Q292">
        <f>$E$41</f>
        <v>-6.7245818759000002</v>
      </c>
      <c r="R292">
        <f>K292-1976*Q292</f>
        <v>227.56596377839924</v>
      </c>
      <c r="S292">
        <f>R292/(2*N292*P292)</f>
        <v>0.3117406631809897</v>
      </c>
      <c r="T292">
        <f>S292*16.02</f>
        <v>4.9940854241594552</v>
      </c>
    </row>
    <row r="293" spans="9:25" x14ac:dyDescent="0.2">
      <c r="J293">
        <v>1040.4018920000001</v>
      </c>
      <c r="K293">
        <v>-13060.866307</v>
      </c>
      <c r="L293">
        <v>62984.163802000003</v>
      </c>
      <c r="M293">
        <v>-1.4367479999999999</v>
      </c>
      <c r="N293">
        <v>28.751645</v>
      </c>
      <c r="O293">
        <v>172.57136700000001</v>
      </c>
      <c r="P293">
        <v>12.694053</v>
      </c>
      <c r="Q293">
        <f>$E$41</f>
        <v>-6.7245818759000002</v>
      </c>
      <c r="R293">
        <f>K293-1976*Q293</f>
        <v>226.90747977839965</v>
      </c>
      <c r="S293">
        <f>R293/(2*N293*P293)</f>
        <v>0.31085353592728165</v>
      </c>
      <c r="T293">
        <f>S293*16.02</f>
        <v>4.9798736455550516</v>
      </c>
      <c r="X293" s="1"/>
      <c r="Y293" s="1"/>
    </row>
    <row r="294" spans="9:25" x14ac:dyDescent="0.2">
      <c r="J294">
        <v>1040.1160609999999</v>
      </c>
      <c r="K294">
        <v>-13058.640572</v>
      </c>
      <c r="L294">
        <v>63057.878492999997</v>
      </c>
      <c r="M294">
        <v>-1.3201160000000001</v>
      </c>
      <c r="N294">
        <v>28.751932</v>
      </c>
      <c r="O294">
        <v>172.77429900000001</v>
      </c>
      <c r="P294">
        <v>12.693857</v>
      </c>
      <c r="Q294">
        <f>$E$41</f>
        <v>-6.7245818759000002</v>
      </c>
      <c r="R294">
        <f>K294-1976*Q294</f>
        <v>229.13321477839963</v>
      </c>
      <c r="S294">
        <f>R294/(2*N294*P294)</f>
        <v>0.31390441103985545</v>
      </c>
      <c r="T294">
        <f>S294*16.02</f>
        <v>5.028748664858484</v>
      </c>
    </row>
    <row r="295" spans="9:25" x14ac:dyDescent="0.2">
      <c r="J295">
        <v>1040.3674940000001</v>
      </c>
      <c r="K295">
        <v>-13060.993130999999</v>
      </c>
      <c r="L295">
        <v>63183.866226999999</v>
      </c>
      <c r="M295">
        <v>-1.3386229999999999</v>
      </c>
      <c r="N295">
        <v>28.752112</v>
      </c>
      <c r="O295">
        <v>173.115724</v>
      </c>
      <c r="P295">
        <v>12.694051999999999</v>
      </c>
      <c r="Q295">
        <f>$E$41</f>
        <v>-6.7245818759000002</v>
      </c>
      <c r="R295">
        <f>K295-1976*Q295</f>
        <v>226.78065577840061</v>
      </c>
      <c r="S295">
        <f>R295/(2*N295*P295)</f>
        <v>0.31067477079947892</v>
      </c>
      <c r="T295">
        <f>S295*16.02</f>
        <v>4.9770098282076525</v>
      </c>
    </row>
    <row r="296" spans="9:25" x14ac:dyDescent="0.2">
      <c r="T296" s="1">
        <f>AVERAGE(T291:T295)</f>
        <v>4.9998964385095537</v>
      </c>
    </row>
    <row r="297" spans="9:25" x14ac:dyDescent="0.2">
      <c r="I297">
        <v>100</v>
      </c>
      <c r="J297">
        <v>1039.7908890000001</v>
      </c>
      <c r="K297">
        <v>-5389.7689069999997</v>
      </c>
      <c r="L297">
        <v>15747.487019</v>
      </c>
      <c r="M297">
        <v>-5.5555709999999996</v>
      </c>
      <c r="N297">
        <v>15.856737000000001</v>
      </c>
      <c r="O297">
        <v>15.858288</v>
      </c>
      <c r="P297">
        <v>62.624208000000003</v>
      </c>
      <c r="Q297">
        <f>$E$41</f>
        <v>-6.7245818759000002</v>
      </c>
      <c r="R297">
        <f>K297-825*Q297</f>
        <v>158.01114061750013</v>
      </c>
      <c r="S297">
        <f>R297/(2*N297*O297)</f>
        <v>0.31418654944202606</v>
      </c>
      <c r="T297">
        <f>S297*16.02</f>
        <v>5.0332685220612579</v>
      </c>
    </row>
    <row r="298" spans="9:25" x14ac:dyDescent="0.2">
      <c r="J298">
        <v>1040.532925</v>
      </c>
      <c r="K298">
        <v>-5390.4541529999997</v>
      </c>
      <c r="L298">
        <v>15754.510393</v>
      </c>
      <c r="M298">
        <v>-5.1798700000000002</v>
      </c>
      <c r="N298">
        <v>15.856776999999999</v>
      </c>
      <c r="O298">
        <v>15.857965999999999</v>
      </c>
      <c r="P298">
        <v>62.653255000000001</v>
      </c>
      <c r="Q298">
        <f>$E$41</f>
        <v>-6.7245818759000002</v>
      </c>
      <c r="R298">
        <f>K298-825*Q298</f>
        <v>157.32589461750013</v>
      </c>
      <c r="S298">
        <f>R298/(2*N298*O298)</f>
        <v>0.31282958128022592</v>
      </c>
      <c r="T298">
        <f>S298*16.02</f>
        <v>5.0115298921092188</v>
      </c>
    </row>
    <row r="299" spans="9:25" x14ac:dyDescent="0.2">
      <c r="J299">
        <v>1039.715506</v>
      </c>
      <c r="K299">
        <v>-5390.3672660000002</v>
      </c>
      <c r="L299">
        <v>15772.229394</v>
      </c>
      <c r="M299">
        <v>-4.6985809999999999</v>
      </c>
      <c r="N299">
        <v>15.85407</v>
      </c>
      <c r="O299">
        <v>15.855648</v>
      </c>
      <c r="P299">
        <v>62.743563999999999</v>
      </c>
      <c r="Q299">
        <f>$E$41</f>
        <v>-6.7245818759000002</v>
      </c>
      <c r="R299">
        <f>K299-825*Q299</f>
        <v>157.4127816174996</v>
      </c>
      <c r="S299">
        <f>R299/(2*N299*O299)</f>
        <v>0.31310155931200528</v>
      </c>
      <c r="T299">
        <f>S299*16.02</f>
        <v>5.0158869801783244</v>
      </c>
    </row>
    <row r="300" spans="9:25" x14ac:dyDescent="0.2">
      <c r="J300">
        <v>1039.9455720000001</v>
      </c>
      <c r="K300">
        <v>-5391.3597399999999</v>
      </c>
      <c r="L300">
        <v>15758.701539</v>
      </c>
      <c r="M300">
        <v>-5.2016749999999998</v>
      </c>
      <c r="N300">
        <v>15.855238</v>
      </c>
      <c r="O300">
        <v>15.854986999999999</v>
      </c>
      <c r="P300">
        <v>62.687764000000001</v>
      </c>
      <c r="Q300">
        <f>$E$41</f>
        <v>-6.7245818759000002</v>
      </c>
      <c r="R300">
        <f>K300-825*Q300</f>
        <v>156.42030761749993</v>
      </c>
      <c r="S300">
        <f>R300/(2*N300*O300)</f>
        <v>0.3111175313920731</v>
      </c>
      <c r="T300">
        <f>S300*16.02</f>
        <v>4.9841028529010112</v>
      </c>
    </row>
    <row r="301" spans="9:25" x14ac:dyDescent="0.2">
      <c r="J301">
        <v>1040.098851</v>
      </c>
      <c r="K301">
        <v>-5387.862666</v>
      </c>
      <c r="L301">
        <v>15848.284471000001</v>
      </c>
      <c r="M301">
        <v>-5.2419659999999997</v>
      </c>
      <c r="N301">
        <v>15.855560000000001</v>
      </c>
      <c r="O301">
        <v>15.855229</v>
      </c>
      <c r="P301">
        <v>63.041888999999998</v>
      </c>
      <c r="Q301">
        <f>$E$41</f>
        <v>-6.7245818759000002</v>
      </c>
      <c r="R301">
        <f>K301-825*Q301</f>
        <v>159.91738161749981</v>
      </c>
      <c r="S301">
        <f>R301/(2*N301*O301)</f>
        <v>0.31806184234919443</v>
      </c>
      <c r="T301">
        <f>S301*16.02</f>
        <v>5.0953507144340948</v>
      </c>
    </row>
    <row r="302" spans="9:25" x14ac:dyDescent="0.2">
      <c r="T302" s="1">
        <f>AVERAGE(T297:T301)</f>
        <v>5.0280277923367809</v>
      </c>
    </row>
    <row r="303" spans="9:25" x14ac:dyDescent="0.2">
      <c r="I303">
        <v>110</v>
      </c>
      <c r="J303">
        <v>1040.318442</v>
      </c>
      <c r="K303">
        <v>-11898.729969</v>
      </c>
      <c r="L303">
        <v>32004.436194999998</v>
      </c>
      <c r="M303">
        <v>-2.7524060000000001</v>
      </c>
      <c r="N303">
        <v>89.660314999999997</v>
      </c>
      <c r="O303">
        <v>22.504522999999999</v>
      </c>
      <c r="P303">
        <v>15.861359</v>
      </c>
      <c r="Q303">
        <f>$E$41</f>
        <v>-6.7245818759000002</v>
      </c>
      <c r="R303">
        <f>K303-1800*Q303</f>
        <v>205.51740762000009</v>
      </c>
      <c r="S303">
        <f>R303/(2*P303*O303)</f>
        <v>0.28787795597715132</v>
      </c>
      <c r="T303">
        <f>S303*16.02</f>
        <v>4.6118048547539638</v>
      </c>
    </row>
    <row r="304" spans="9:25" x14ac:dyDescent="0.2">
      <c r="J304">
        <v>1040.5338360000001</v>
      </c>
      <c r="K304">
        <v>-11898.811358000001</v>
      </c>
      <c r="L304">
        <v>31980.990451999998</v>
      </c>
      <c r="M304">
        <v>-2.4077760000000001</v>
      </c>
      <c r="N304">
        <v>89.592285000000004</v>
      </c>
      <c r="O304">
        <v>22.504287999999999</v>
      </c>
      <c r="P304">
        <v>15.861941</v>
      </c>
      <c r="Q304">
        <f>$E$41</f>
        <v>-6.7245818759000002</v>
      </c>
      <c r="R304">
        <f>K304-1800*Q304</f>
        <v>205.43601861999923</v>
      </c>
      <c r="S304">
        <f>R304/(2*P304*O304)</f>
        <v>0.28775639688608784</v>
      </c>
      <c r="T304">
        <f>S304*16.02</f>
        <v>4.6098574781151269</v>
      </c>
    </row>
    <row r="305" spans="9:20" x14ac:dyDescent="0.2">
      <c r="J305">
        <v>1040.3230550000001</v>
      </c>
      <c r="K305">
        <v>-11899.370978999999</v>
      </c>
      <c r="L305">
        <v>32037.400655000001</v>
      </c>
      <c r="M305">
        <v>-2.3985829999999999</v>
      </c>
      <c r="N305">
        <v>89.755599000000004</v>
      </c>
      <c r="O305">
        <v>22.504390000000001</v>
      </c>
      <c r="P305">
        <v>15.860934</v>
      </c>
      <c r="Q305">
        <f>$E$41</f>
        <v>-6.7245818759000002</v>
      </c>
      <c r="R305">
        <f>K305-1800*Q305</f>
        <v>204.87639762000072</v>
      </c>
      <c r="S305">
        <f>R305/(2*P305*O305)</f>
        <v>0.28698944877353616</v>
      </c>
      <c r="T305">
        <f>S305*16.02</f>
        <v>4.5975709693520495</v>
      </c>
    </row>
    <row r="306" spans="9:20" x14ac:dyDescent="0.2">
      <c r="J306">
        <v>1040.653804</v>
      </c>
      <c r="K306">
        <v>-11898.798642</v>
      </c>
      <c r="L306">
        <v>32008.966842999998</v>
      </c>
      <c r="M306">
        <v>-2.3144659999999999</v>
      </c>
      <c r="N306">
        <v>89.673434</v>
      </c>
      <c r="O306">
        <v>22.504892999999999</v>
      </c>
      <c r="P306">
        <v>15.861022999999999</v>
      </c>
      <c r="Q306">
        <f>$E$41</f>
        <v>-6.7245818759000002</v>
      </c>
      <c r="R306">
        <f>K306-1800*Q306</f>
        <v>205.44873462000032</v>
      </c>
      <c r="S306">
        <f>R306/(2*P306*O306)</f>
        <v>0.28778312734505013</v>
      </c>
      <c r="T306">
        <f>S306*16.02</f>
        <v>4.6102857000677027</v>
      </c>
    </row>
    <row r="307" spans="9:20" x14ac:dyDescent="0.2">
      <c r="J307">
        <v>1040.168234</v>
      </c>
      <c r="K307">
        <v>-11899.069045</v>
      </c>
      <c r="L307">
        <v>32043.016079000001</v>
      </c>
      <c r="M307">
        <v>-2.528956</v>
      </c>
      <c r="N307">
        <v>89.770368000000005</v>
      </c>
      <c r="O307">
        <v>22.504168</v>
      </c>
      <c r="P307">
        <v>15.861262</v>
      </c>
      <c r="Q307">
        <f>$E$41</f>
        <v>-6.7245818759000002</v>
      </c>
      <c r="R307">
        <f>K307-1800*Q307</f>
        <v>205.17833161999988</v>
      </c>
      <c r="S307">
        <f>R307/(2*P307*O307)</f>
        <v>0.28740928757180828</v>
      </c>
      <c r="T307">
        <f>S307*16.02</f>
        <v>4.6042967869003686</v>
      </c>
    </row>
    <row r="308" spans="9:20" x14ac:dyDescent="0.2">
      <c r="T308" s="1">
        <f>AVERAGE(T303:T307)</f>
        <v>4.6067631578378423</v>
      </c>
    </row>
    <row r="309" spans="9:20" x14ac:dyDescent="0.2">
      <c r="I309">
        <v>111</v>
      </c>
      <c r="J309">
        <v>1040.2704409999999</v>
      </c>
      <c r="K309">
        <v>-17878.66979</v>
      </c>
      <c r="L309">
        <v>49290.34979</v>
      </c>
      <c r="M309">
        <v>-1.3324020000000001</v>
      </c>
      <c r="N309">
        <v>87.866232999999994</v>
      </c>
      <c r="O309">
        <v>17.997406000000002</v>
      </c>
      <c r="P309">
        <v>31.169522000000001</v>
      </c>
      <c r="Q309">
        <f>$E$41</f>
        <v>-6.7245818759000002</v>
      </c>
      <c r="R309">
        <f>K309-2711*Q309</f>
        <v>351.67167556489949</v>
      </c>
      <c r="S309">
        <f>R309/(2*O309*P309)</f>
        <v>0.3134493249397296</v>
      </c>
      <c r="T309">
        <f>S309*16.02</f>
        <v>5.0214581855344678</v>
      </c>
    </row>
    <row r="310" spans="9:20" x14ac:dyDescent="0.2">
      <c r="J310">
        <v>1040.4146969999999</v>
      </c>
      <c r="K310">
        <v>-17880.659909000002</v>
      </c>
      <c r="L310">
        <v>49295.633938999999</v>
      </c>
      <c r="M310">
        <v>-1.91717</v>
      </c>
      <c r="N310">
        <v>87.878568999999999</v>
      </c>
      <c r="O310">
        <v>17.997236999999998</v>
      </c>
      <c r="P310">
        <v>31.168783999999999</v>
      </c>
      <c r="Q310">
        <f>$E$41</f>
        <v>-6.7245818759000002</v>
      </c>
      <c r="R310">
        <f>K310-2711*Q310</f>
        <v>349.68155656489762</v>
      </c>
      <c r="S310">
        <f>R310/(2*O310*P310)</f>
        <v>0.31168581371204557</v>
      </c>
      <c r="T310">
        <f>S310*16.02</f>
        <v>4.9932067356669698</v>
      </c>
    </row>
    <row r="311" spans="9:20" x14ac:dyDescent="0.2">
      <c r="J311">
        <v>1040.503639</v>
      </c>
      <c r="K311">
        <v>-17878.227362000001</v>
      </c>
      <c r="L311">
        <v>49311.824175000002</v>
      </c>
      <c r="M311">
        <v>-1.4977510000000001</v>
      </c>
      <c r="N311">
        <v>87.902524999999997</v>
      </c>
      <c r="O311">
        <v>17.997951</v>
      </c>
      <c r="P311">
        <v>31.169280000000001</v>
      </c>
      <c r="Q311">
        <f>$E$41</f>
        <v>-6.7245818759000002</v>
      </c>
      <c r="R311">
        <f>K311-2711*Q311</f>
        <v>352.11410356489796</v>
      </c>
      <c r="S311">
        <f>R311/(2*O311*P311)</f>
        <v>0.31383659955700344</v>
      </c>
      <c r="T311">
        <f>S311*16.02</f>
        <v>5.0276623249031953</v>
      </c>
    </row>
    <row r="312" spans="9:20" x14ac:dyDescent="0.2">
      <c r="J312">
        <v>1040.511227</v>
      </c>
      <c r="K312">
        <v>-17879.601938</v>
      </c>
      <c r="L312">
        <v>49333.569861000004</v>
      </c>
      <c r="M312">
        <v>-1.332981</v>
      </c>
      <c r="N312">
        <v>87.941024999999996</v>
      </c>
      <c r="O312">
        <v>17.998381999999999</v>
      </c>
      <c r="P312">
        <v>31.168628000000002</v>
      </c>
      <c r="Q312">
        <f>$E$41</f>
        <v>-6.7245818759000002</v>
      </c>
      <c r="R312">
        <f>K312-2711*Q312</f>
        <v>350.73952756489962</v>
      </c>
      <c r="S312">
        <f>R312/(2*O312*P312)</f>
        <v>0.31261050372826121</v>
      </c>
      <c r="T312">
        <f>S312*16.02</f>
        <v>5.0080202697267442</v>
      </c>
    </row>
    <row r="313" spans="9:20" x14ac:dyDescent="0.2">
      <c r="J313">
        <v>1040.463088</v>
      </c>
      <c r="K313">
        <v>-17879.854499000001</v>
      </c>
      <c r="L313">
        <v>49339.629444999999</v>
      </c>
      <c r="M313">
        <v>-1.633035</v>
      </c>
      <c r="N313">
        <v>87.945937000000001</v>
      </c>
      <c r="O313">
        <v>17.998604</v>
      </c>
      <c r="P313">
        <v>31.170331999999998</v>
      </c>
      <c r="Q313">
        <f>$E$41</f>
        <v>-6.7245818759000002</v>
      </c>
      <c r="R313">
        <f>K313-2711*Q313</f>
        <v>350.48696656489847</v>
      </c>
      <c r="S313">
        <f>R313/(2*O313*P313)</f>
        <v>0.31236446859914424</v>
      </c>
      <c r="T313">
        <f>S313*16.02</f>
        <v>5.0040787869582903</v>
      </c>
    </row>
    <row r="314" spans="9:20" x14ac:dyDescent="0.2">
      <c r="T314" s="1">
        <f>AVERAGE(T309:T313)</f>
        <v>5.0108852605579326</v>
      </c>
    </row>
    <row r="316" spans="9:20" x14ac:dyDescent="0.2">
      <c r="I316" s="3"/>
      <c r="N316" s="2"/>
      <c r="O316" s="2"/>
    </row>
    <row r="317" spans="9:20" x14ac:dyDescent="0.2">
      <c r="I317" s="3"/>
    </row>
    <row r="318" spans="9:20" x14ac:dyDescent="0.2">
      <c r="J318" s="16"/>
      <c r="K318" s="16"/>
      <c r="L318" s="16"/>
      <c r="M318" s="16"/>
      <c r="N318" s="16"/>
      <c r="O318" s="16"/>
      <c r="P318" s="16"/>
    </row>
    <row r="319" spans="9:20" x14ac:dyDescent="0.2">
      <c r="J319" s="16"/>
      <c r="K319" s="16"/>
      <c r="L319" s="16"/>
      <c r="M319" s="16"/>
      <c r="N319" s="16"/>
      <c r="O319" s="16"/>
      <c r="P319" s="16"/>
    </row>
    <row r="320" spans="9:20" x14ac:dyDescent="0.2">
      <c r="J320" s="16"/>
      <c r="K320" s="16"/>
      <c r="L320" s="16"/>
      <c r="M320" s="16"/>
      <c r="N320" s="16"/>
      <c r="O320" s="16"/>
      <c r="P320" s="16"/>
    </row>
    <row r="321" spans="10:23" x14ac:dyDescent="0.2">
      <c r="J321" s="16"/>
      <c r="K321" s="16"/>
      <c r="L321" s="16"/>
      <c r="M321" s="16"/>
      <c r="N321" s="16"/>
      <c r="O321" s="16"/>
      <c r="P321" s="16"/>
    </row>
    <row r="322" spans="10:23" x14ac:dyDescent="0.2">
      <c r="J322" s="16"/>
      <c r="K322" s="16"/>
      <c r="L322" s="16"/>
      <c r="M322" s="16"/>
      <c r="N322" s="16"/>
      <c r="O322" s="16"/>
      <c r="P322" s="16"/>
    </row>
    <row r="323" spans="10:23" x14ac:dyDescent="0.2">
      <c r="J323" s="16"/>
      <c r="K323" s="16"/>
      <c r="L323" s="16"/>
      <c r="M323" s="16"/>
      <c r="N323" s="16"/>
      <c r="O323" s="16"/>
      <c r="P323" s="16"/>
      <c r="W323" s="1"/>
    </row>
    <row r="324" spans="10:23" x14ac:dyDescent="0.2">
      <c r="J324" s="16"/>
      <c r="K324" s="16"/>
      <c r="L324" s="16"/>
      <c r="M324" s="16"/>
      <c r="N324" s="16"/>
      <c r="O324" s="16"/>
      <c r="P324" s="16"/>
    </row>
    <row r="325" spans="10:23" x14ac:dyDescent="0.2">
      <c r="J325" s="16"/>
      <c r="K325" s="16"/>
      <c r="L325" s="16"/>
      <c r="M325" s="16"/>
      <c r="N325" s="16"/>
      <c r="O325" s="16"/>
      <c r="P325" s="16"/>
    </row>
    <row r="326" spans="10:23" x14ac:dyDescent="0.2">
      <c r="J326" s="16"/>
      <c r="K326" s="16"/>
      <c r="L326" s="16"/>
      <c r="M326" s="16"/>
      <c r="N326" s="16"/>
      <c r="O326" s="16"/>
      <c r="P326" s="16"/>
    </row>
    <row r="327" spans="10:23" x14ac:dyDescent="0.2">
      <c r="J327" s="16"/>
      <c r="K327" s="16"/>
      <c r="L327" s="16"/>
      <c r="M327" s="16"/>
      <c r="N327" s="16"/>
      <c r="O327" s="16"/>
      <c r="P327" s="16"/>
    </row>
    <row r="328" spans="10:23" x14ac:dyDescent="0.2">
      <c r="J328" s="16"/>
      <c r="K328" s="16"/>
      <c r="L328" s="16"/>
      <c r="M328" s="16"/>
      <c r="N328" s="16"/>
      <c r="O328" s="16"/>
      <c r="P328" s="16"/>
    </row>
    <row r="329" spans="10:23" x14ac:dyDescent="0.2">
      <c r="W329" s="1"/>
    </row>
    <row r="337" spans="20:20" x14ac:dyDescent="0.2">
      <c r="T337" s="1"/>
    </row>
    <row r="343" spans="20:20" x14ac:dyDescent="0.2">
      <c r="T343" s="1"/>
    </row>
    <row r="350" spans="20:20" x14ac:dyDescent="0.2">
      <c r="T350" s="1"/>
    </row>
    <row r="356" spans="20:20" x14ac:dyDescent="0.2">
      <c r="T356" s="1"/>
    </row>
    <row r="362" spans="20:20" x14ac:dyDescent="0.2">
      <c r="T362" s="1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P582"/>
  <sheetViews>
    <sheetView topLeftCell="Q52" workbookViewId="0">
      <selection activeCell="AL79" sqref="AL79"/>
    </sheetView>
  </sheetViews>
  <sheetFormatPr baseColWidth="10" defaultRowHeight="16" x14ac:dyDescent="0.2"/>
  <cols>
    <col min="3" max="5" width="12.1640625" bestFit="1" customWidth="1"/>
  </cols>
  <sheetData>
    <row r="1" spans="1:8" x14ac:dyDescent="0.2">
      <c r="E1" t="s">
        <v>29</v>
      </c>
      <c r="F1" t="s">
        <v>30</v>
      </c>
    </row>
    <row r="2" spans="1:8" x14ac:dyDescent="0.2">
      <c r="D2">
        <v>500</v>
      </c>
      <c r="E2">
        <v>-4.1331986110500001</v>
      </c>
      <c r="F2">
        <v>-6.8267956550292963</v>
      </c>
    </row>
    <row r="3" spans="1:8" x14ac:dyDescent="0.2">
      <c r="D3">
        <v>600</v>
      </c>
      <c r="E3">
        <v>-4.1201358984000001</v>
      </c>
      <c r="F3">
        <v>-6.8129961863403325</v>
      </c>
    </row>
    <row r="4" spans="1:8" x14ac:dyDescent="0.2">
      <c r="D4">
        <v>800</v>
      </c>
      <c r="E4">
        <v>-4.0944669552500006</v>
      </c>
      <c r="F4">
        <v>-6.7846091721999997</v>
      </c>
    </row>
    <row r="5" spans="1:8" x14ac:dyDescent="0.2">
      <c r="D5">
        <v>1000</v>
      </c>
      <c r="E5">
        <v>-4.0670907491499992</v>
      </c>
      <c r="F5">
        <v>-6.7554243092999995</v>
      </c>
    </row>
    <row r="6" spans="1:8" x14ac:dyDescent="0.2">
      <c r="D6">
        <v>1200</v>
      </c>
      <c r="E6">
        <v>-4.0371768887999995</v>
      </c>
      <c r="F6">
        <v>-6.7245818759000002</v>
      </c>
    </row>
    <row r="7" spans="1:8" x14ac:dyDescent="0.2">
      <c r="B7" t="s">
        <v>72</v>
      </c>
    </row>
    <row r="8" spans="1:8" x14ac:dyDescent="0.2">
      <c r="B8" t="s">
        <v>5</v>
      </c>
      <c r="C8" t="s">
        <v>7</v>
      </c>
      <c r="D8" t="s">
        <v>6</v>
      </c>
      <c r="E8" t="s">
        <v>8</v>
      </c>
      <c r="F8" t="s">
        <v>12</v>
      </c>
      <c r="G8" t="s">
        <v>14</v>
      </c>
      <c r="H8" t="s">
        <v>13</v>
      </c>
    </row>
    <row r="9" spans="1:8" x14ac:dyDescent="0.2">
      <c r="A9">
        <v>800</v>
      </c>
      <c r="B9">
        <v>-8744.2345139999998</v>
      </c>
      <c r="C9">
        <v>41465.616029999997</v>
      </c>
      <c r="D9">
        <f>B9/2000</f>
        <v>-4.3721172570000002</v>
      </c>
      <c r="E9">
        <f>C9/2000</f>
        <v>20.732808015</v>
      </c>
      <c r="F9">
        <f>B9-2000*(H9*$F$4+(1-H9)*E$4)</f>
        <v>44.601110879852058</v>
      </c>
      <c r="G9">
        <f>F9/2000</f>
        <v>2.2300555439926029E-2</v>
      </c>
      <c r="H9">
        <f>223/2000</f>
        <v>0.1115</v>
      </c>
    </row>
    <row r="10" spans="1:8" x14ac:dyDescent="0.2">
      <c r="B10">
        <v>-8755.8409690000008</v>
      </c>
      <c r="C10">
        <v>41421.575027999999</v>
      </c>
      <c r="D10">
        <f t="shared" ref="D10:E18" si="0">B10/2000</f>
        <v>-4.3779204845000006</v>
      </c>
      <c r="E10">
        <f t="shared" si="0"/>
        <v>20.710787514</v>
      </c>
      <c r="F10">
        <f t="shared" ref="F10:F18" si="1">B10-2000*(H10*$F$4+(1-H10)*E$4)</f>
        <v>43.755224747648754</v>
      </c>
      <c r="G10">
        <f t="shared" ref="G10:G18" si="2">F10/2000</f>
        <v>2.1877612373824375E-2</v>
      </c>
      <c r="H10">
        <f>227/2000</f>
        <v>0.1135</v>
      </c>
    </row>
    <row r="11" spans="1:8" x14ac:dyDescent="0.2">
      <c r="B11">
        <v>-8772.0802860000003</v>
      </c>
      <c r="C11">
        <v>41381.868977999999</v>
      </c>
      <c r="D11">
        <f t="shared" si="0"/>
        <v>-4.3860401429999998</v>
      </c>
      <c r="E11">
        <f t="shared" si="0"/>
        <v>20.690934489</v>
      </c>
      <c r="F11">
        <f t="shared" si="1"/>
        <v>46.346903266299705</v>
      </c>
      <c r="G11">
        <f t="shared" si="2"/>
        <v>2.3173451633149853E-2</v>
      </c>
      <c r="H11">
        <f>234/2000</f>
        <v>0.11700000000000001</v>
      </c>
    </row>
    <row r="12" spans="1:8" x14ac:dyDescent="0.2">
      <c r="B12">
        <v>-8782.1624439999996</v>
      </c>
      <c r="C12">
        <v>41346.096294000003</v>
      </c>
      <c r="D12">
        <f t="shared" si="0"/>
        <v>-4.3910812219999995</v>
      </c>
      <c r="E12">
        <f t="shared" si="0"/>
        <v>20.673048147000003</v>
      </c>
      <c r="F12">
        <f t="shared" si="1"/>
        <v>47.025314134101791</v>
      </c>
      <c r="G12">
        <f t="shared" si="2"/>
        <v>2.3512657067050895E-2</v>
      </c>
      <c r="H12">
        <f>238/2000</f>
        <v>0.11899999999999999</v>
      </c>
    </row>
    <row r="13" spans="1:8" x14ac:dyDescent="0.2">
      <c r="B13">
        <v>-8778.7712080000001</v>
      </c>
      <c r="C13">
        <v>41360.627674000003</v>
      </c>
      <c r="D13">
        <f t="shared" si="0"/>
        <v>-4.3893856040000001</v>
      </c>
      <c r="E13">
        <f t="shared" si="0"/>
        <v>20.680313837</v>
      </c>
      <c r="F13">
        <f t="shared" si="1"/>
        <v>47.726407917149118</v>
      </c>
      <c r="G13">
        <f t="shared" si="2"/>
        <v>2.386320395857456E-2</v>
      </c>
      <c r="H13">
        <f>237/2000</f>
        <v>0.11849999999999999</v>
      </c>
    </row>
    <row r="14" spans="1:8" x14ac:dyDescent="0.2">
      <c r="B14">
        <v>-8746.9832000000006</v>
      </c>
      <c r="C14">
        <v>41460.728504999999</v>
      </c>
      <c r="D14">
        <f t="shared" si="0"/>
        <v>-4.3734916000000004</v>
      </c>
      <c r="E14">
        <f t="shared" si="0"/>
        <v>20.730364252499999</v>
      </c>
      <c r="F14">
        <f t="shared" si="1"/>
        <v>41.852424879851242</v>
      </c>
      <c r="G14">
        <f t="shared" si="2"/>
        <v>2.092621243992562E-2</v>
      </c>
      <c r="H14">
        <f>223/2000</f>
        <v>0.1115</v>
      </c>
    </row>
    <row r="15" spans="1:8" x14ac:dyDescent="0.2">
      <c r="B15">
        <v>-8887.7659930000009</v>
      </c>
      <c r="C15">
        <v>41014.992595999996</v>
      </c>
      <c r="D15">
        <f t="shared" si="0"/>
        <v>-4.4438829965000002</v>
      </c>
      <c r="E15">
        <f t="shared" si="0"/>
        <v>20.507496298</v>
      </c>
      <c r="F15">
        <f t="shared" si="1"/>
        <v>51.717596029051492</v>
      </c>
      <c r="G15">
        <f t="shared" si="2"/>
        <v>2.5858798014525747E-2</v>
      </c>
      <c r="H15">
        <f>279/2000</f>
        <v>0.13950000000000001</v>
      </c>
    </row>
    <row r="16" spans="1:8" x14ac:dyDescent="0.2">
      <c r="B16">
        <v>-8743.5908429999999</v>
      </c>
      <c r="C16">
        <v>41465.863802</v>
      </c>
      <c r="D16">
        <f t="shared" si="0"/>
        <v>-4.3717954214999999</v>
      </c>
      <c r="E16">
        <f t="shared" si="0"/>
        <v>20.732931901000001</v>
      </c>
      <c r="F16">
        <f t="shared" si="1"/>
        <v>45.244781879851871</v>
      </c>
      <c r="G16">
        <f t="shared" si="2"/>
        <v>2.2622390939925935E-2</v>
      </c>
      <c r="H16">
        <f>223/2000</f>
        <v>0.1115</v>
      </c>
    </row>
    <row r="17" spans="1:36" x14ac:dyDescent="0.2">
      <c r="B17">
        <v>-8785.8704550000002</v>
      </c>
      <c r="C17">
        <v>41335.732945000003</v>
      </c>
      <c r="D17">
        <f t="shared" si="0"/>
        <v>-4.3929352274999998</v>
      </c>
      <c r="E17">
        <f t="shared" si="0"/>
        <v>20.667866472500002</v>
      </c>
      <c r="F17">
        <f t="shared" si="1"/>
        <v>48.697587568001836</v>
      </c>
      <c r="G17">
        <f t="shared" si="2"/>
        <v>2.4348793784000917E-2</v>
      </c>
      <c r="H17">
        <f>240/2000</f>
        <v>0.12</v>
      </c>
    </row>
    <row r="18" spans="1:36" x14ac:dyDescent="0.2">
      <c r="B18">
        <v>-8731.9126419999993</v>
      </c>
      <c r="C18">
        <v>41502.618483999999</v>
      </c>
      <c r="D18">
        <f t="shared" si="0"/>
        <v>-4.3659563209999996</v>
      </c>
      <c r="E18">
        <f t="shared" si="0"/>
        <v>20.751309241999998</v>
      </c>
      <c r="F18">
        <f t="shared" si="1"/>
        <v>43.472271795100824</v>
      </c>
      <c r="G18">
        <f t="shared" si="2"/>
        <v>2.1736135897550413E-2</v>
      </c>
      <c r="H18">
        <f>218/2000</f>
        <v>0.109</v>
      </c>
    </row>
    <row r="19" spans="1:36" x14ac:dyDescent="0.2">
      <c r="G19">
        <f>AVERAGE(G9:G18)</f>
        <v>2.3021981154845435E-2</v>
      </c>
    </row>
    <row r="20" spans="1:36" x14ac:dyDescent="0.2">
      <c r="B20" t="s">
        <v>5</v>
      </c>
      <c r="C20" t="s">
        <v>7</v>
      </c>
      <c r="D20" t="s">
        <v>6</v>
      </c>
      <c r="E20" t="s">
        <v>8</v>
      </c>
      <c r="F20" t="s">
        <v>12</v>
      </c>
      <c r="G20" t="s">
        <v>14</v>
      </c>
      <c r="H20" t="s">
        <v>13</v>
      </c>
    </row>
    <row r="21" spans="1:36" x14ac:dyDescent="0.2">
      <c r="A21">
        <v>1000</v>
      </c>
      <c r="B21">
        <v>-8692.3341199999995</v>
      </c>
      <c r="C21">
        <v>41693.470267999997</v>
      </c>
      <c r="D21">
        <f>B21/2000</f>
        <v>-4.34616706</v>
      </c>
      <c r="E21">
        <f>C21/2000</f>
        <v>20.846735133999999</v>
      </c>
      <c r="F21">
        <f>B21-2000*(H21*$F$5+(1-H21)*E$5)</f>
        <v>41.345762213448324</v>
      </c>
      <c r="G21">
        <f>F21/2000</f>
        <v>2.0672881106724161E-2</v>
      </c>
      <c r="H21">
        <f>223/2000</f>
        <v>0.1115</v>
      </c>
    </row>
    <row r="22" spans="1:36" x14ac:dyDescent="0.2">
      <c r="B22">
        <v>-8703.4727000000003</v>
      </c>
      <c r="C22">
        <v>41650.530702999997</v>
      </c>
      <c r="D22">
        <f t="shared" ref="D22:D30" si="3">B22/2000</f>
        <v>-4.3517363500000004</v>
      </c>
      <c r="E22">
        <f t="shared" ref="E22:E30" si="4">C22/2000</f>
        <v>20.825265351499997</v>
      </c>
      <c r="F22">
        <f t="shared" ref="F22:F30" si="5">B22-2000*(H22*$F$5+(1-H22)*E$5)</f>
        <v>40.960516454048047</v>
      </c>
      <c r="G22">
        <f t="shared" ref="G22:G30" si="6">F22/2000</f>
        <v>2.0480258227024022E-2</v>
      </c>
      <c r="H22">
        <f>227/2000</f>
        <v>0.1135</v>
      </c>
    </row>
    <row r="23" spans="1:36" x14ac:dyDescent="0.2">
      <c r="B23">
        <v>-8721.0201300000008</v>
      </c>
      <c r="C23">
        <v>41611.810416</v>
      </c>
      <c r="D23">
        <f t="shared" si="3"/>
        <v>-4.3605100650000006</v>
      </c>
      <c r="E23">
        <f t="shared" si="4"/>
        <v>20.805905207999999</v>
      </c>
      <c r="F23">
        <f t="shared" si="5"/>
        <v>42.231421375097852</v>
      </c>
      <c r="G23">
        <f t="shared" si="6"/>
        <v>2.1115710687548927E-2</v>
      </c>
      <c r="H23">
        <f>234/2000</f>
        <v>0.11700000000000001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2">
      <c r="B24">
        <v>-8729.3837299999996</v>
      </c>
      <c r="C24">
        <v>41573.087055999997</v>
      </c>
      <c r="D24">
        <f t="shared" si="3"/>
        <v>-4.3646918650000002</v>
      </c>
      <c r="E24">
        <f t="shared" si="4"/>
        <v>20.786543527999999</v>
      </c>
      <c r="F24">
        <f t="shared" si="5"/>
        <v>44.621155615697717</v>
      </c>
      <c r="G24">
        <f t="shared" si="6"/>
        <v>2.2310577807848859E-2</v>
      </c>
      <c r="H24">
        <f>238/2000</f>
        <v>0.11899999999999999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2">
      <c r="B25">
        <v>-8727.5434999999998</v>
      </c>
      <c r="C25">
        <v>41592.252603000001</v>
      </c>
      <c r="D25">
        <f t="shared" si="3"/>
        <v>-4.3637717499999997</v>
      </c>
      <c r="E25">
        <f t="shared" si="4"/>
        <v>20.796126301499999</v>
      </c>
      <c r="F25">
        <f t="shared" si="5"/>
        <v>43.77305205554876</v>
      </c>
      <c r="G25">
        <f t="shared" si="6"/>
        <v>2.188652602777438E-2</v>
      </c>
      <c r="H25">
        <f>237/2000</f>
        <v>0.11849999999999999</v>
      </c>
      <c r="J25" t="s">
        <v>68</v>
      </c>
      <c r="L25" t="s">
        <v>74</v>
      </c>
      <c r="X25" t="s">
        <v>25</v>
      </c>
      <c r="Y25" t="s">
        <v>24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">
      <c r="B26">
        <v>-8694.1176639999994</v>
      </c>
      <c r="C26">
        <v>41678.704501</v>
      </c>
      <c r="D26">
        <f t="shared" si="3"/>
        <v>-4.3470588320000001</v>
      </c>
      <c r="E26">
        <f t="shared" si="4"/>
        <v>20.839352250499999</v>
      </c>
      <c r="F26">
        <f t="shared" si="5"/>
        <v>39.562218213448432</v>
      </c>
      <c r="G26">
        <f t="shared" si="6"/>
        <v>1.9781109106724214E-2</v>
      </c>
      <c r="H26">
        <f>223/2000</f>
        <v>0.1115</v>
      </c>
      <c r="K26" t="s">
        <v>176</v>
      </c>
      <c r="L26" t="s">
        <v>18</v>
      </c>
      <c r="M26" t="s">
        <v>5</v>
      </c>
      <c r="N26" t="s">
        <v>7</v>
      </c>
      <c r="O26" t="s">
        <v>19</v>
      </c>
      <c r="P26" t="s">
        <v>20</v>
      </c>
      <c r="Q26" t="s">
        <v>21</v>
      </c>
      <c r="R26" t="s">
        <v>22</v>
      </c>
      <c r="S26" t="s">
        <v>4</v>
      </c>
      <c r="T26" t="s">
        <v>10</v>
      </c>
      <c r="U26" t="s">
        <v>13</v>
      </c>
      <c r="V26" t="s">
        <v>26</v>
      </c>
      <c r="W26" t="s">
        <v>12</v>
      </c>
      <c r="X26" t="s">
        <v>23</v>
      </c>
      <c r="Y26" t="s">
        <v>23</v>
      </c>
      <c r="AC26" s="10"/>
      <c r="AD26">
        <v>600</v>
      </c>
      <c r="AE26" s="10">
        <v>800</v>
      </c>
      <c r="AF26" s="10">
        <v>1000</v>
      </c>
      <c r="AG26" s="10">
        <v>1200</v>
      </c>
      <c r="AH26">
        <v>300</v>
      </c>
      <c r="AI26" s="10"/>
      <c r="AJ26" s="10"/>
    </row>
    <row r="27" spans="1:36" x14ac:dyDescent="0.2">
      <c r="B27">
        <v>-8834.8390450000006</v>
      </c>
      <c r="C27">
        <v>41259.484114999999</v>
      </c>
      <c r="D27">
        <f t="shared" si="3"/>
        <v>-4.4174195225000004</v>
      </c>
      <c r="E27">
        <f t="shared" si="4"/>
        <v>20.6297420575</v>
      </c>
      <c r="F27">
        <f t="shared" si="5"/>
        <v>49.387516581848104</v>
      </c>
      <c r="G27">
        <f t="shared" si="6"/>
        <v>2.4693758290924052E-2</v>
      </c>
      <c r="H27">
        <f>279/2000</f>
        <v>0.13950000000000001</v>
      </c>
      <c r="J27" t="s">
        <v>55</v>
      </c>
      <c r="L27">
        <v>694.18129699999997</v>
      </c>
      <c r="M27">
        <v>-17135.705911000001</v>
      </c>
      <c r="N27">
        <v>80664.841591999997</v>
      </c>
      <c r="O27">
        <v>-0.727738</v>
      </c>
      <c r="P27">
        <v>31.267005000000001</v>
      </c>
      <c r="Q27">
        <v>186.562996</v>
      </c>
      <c r="R27">
        <v>13.828472</v>
      </c>
      <c r="S27">
        <v>3433</v>
      </c>
      <c r="T27">
        <v>471</v>
      </c>
      <c r="U27">
        <f>T27/(T27+S27)</f>
        <v>0.12064549180327869</v>
      </c>
      <c r="V27">
        <f>-4.0888-2.5419*U27</f>
        <v>-4.3954687756147539</v>
      </c>
      <c r="W27">
        <f>M27-(SUM(S27:T27)*V27)</f>
        <v>24.204189000000042</v>
      </c>
      <c r="X27">
        <f>W27/(2*P27*R27)</f>
        <v>2.7989817196544441E-2</v>
      </c>
      <c r="Y27">
        <f>X27*16.02</f>
        <v>0.44839687148864193</v>
      </c>
      <c r="AA27">
        <f>N27/SUM(S27:T27)</f>
        <v>20.662100817622949</v>
      </c>
      <c r="AC27" t="s">
        <v>17</v>
      </c>
      <c r="AD27" s="20">
        <v>0.42028864761672791</v>
      </c>
      <c r="AE27" s="20">
        <v>0.49852866337781815</v>
      </c>
      <c r="AF27" s="20">
        <v>0.57445493857159113</v>
      </c>
      <c r="AG27" s="20">
        <v>0.69308110900649167</v>
      </c>
      <c r="AH27" s="20">
        <v>0.42087263802782304</v>
      </c>
      <c r="AI27" s="12"/>
      <c r="AJ27" s="10"/>
    </row>
    <row r="28" spans="1:36" x14ac:dyDescent="0.2">
      <c r="B28">
        <v>-8691.2404910000005</v>
      </c>
      <c r="C28">
        <v>41691.695422999997</v>
      </c>
      <c r="D28">
        <f t="shared" si="3"/>
        <v>-4.3456202455000001</v>
      </c>
      <c r="E28">
        <f t="shared" si="4"/>
        <v>20.845847711499999</v>
      </c>
      <c r="F28">
        <f t="shared" si="5"/>
        <v>42.439391213447379</v>
      </c>
      <c r="G28">
        <f t="shared" si="6"/>
        <v>2.1219695606723689E-2</v>
      </c>
      <c r="H28">
        <f>223/2000</f>
        <v>0.1115</v>
      </c>
      <c r="L28">
        <v>694.04782</v>
      </c>
      <c r="M28">
        <v>-17066.048871999999</v>
      </c>
      <c r="N28">
        <v>80901.635555000001</v>
      </c>
      <c r="O28">
        <v>-0.81201000000000001</v>
      </c>
      <c r="P28">
        <v>31.325472999999999</v>
      </c>
      <c r="Q28">
        <v>186.53989300000001</v>
      </c>
      <c r="R28">
        <v>13.844891000000001</v>
      </c>
      <c r="S28">
        <v>3460</v>
      </c>
      <c r="T28">
        <v>444</v>
      </c>
      <c r="U28">
        <f>T28/(T28+S28)</f>
        <v>0.11372950819672131</v>
      </c>
      <c r="V28">
        <f>-4.0888-2.5419*U28</f>
        <v>-4.3778890368852457</v>
      </c>
      <c r="W28">
        <f>M28-(SUM(S28:T28)*V28)</f>
        <v>25.229928000000655</v>
      </c>
      <c r="X28">
        <f>W28/(2*P28*R28)</f>
        <v>2.9086993723519208E-2</v>
      </c>
      <c r="Y28">
        <f>X28*16.02</f>
        <v>0.46597363945077769</v>
      </c>
      <c r="AA28">
        <f>N28/SUM(S28:T28)</f>
        <v>20.722755008965166</v>
      </c>
      <c r="AC28" t="s">
        <v>27</v>
      </c>
      <c r="AD28" s="20">
        <v>0.40709714188681073</v>
      </c>
      <c r="AE28" s="20">
        <v>0.48026505917896667</v>
      </c>
      <c r="AF28" s="20">
        <v>0.53620589916500738</v>
      </c>
      <c r="AG28" s="20">
        <v>0.63282250818263464</v>
      </c>
      <c r="AH28" s="20">
        <v>0.40288646784162302</v>
      </c>
      <c r="AI28" s="12"/>
      <c r="AJ28" s="10"/>
    </row>
    <row r="29" spans="1:36" x14ac:dyDescent="0.2">
      <c r="B29">
        <v>-8733.8748990000004</v>
      </c>
      <c r="C29">
        <v>41561.980443</v>
      </c>
      <c r="D29">
        <f t="shared" si="3"/>
        <v>-4.3669374495</v>
      </c>
      <c r="E29">
        <f t="shared" si="4"/>
        <v>20.780990221500002</v>
      </c>
      <c r="F29">
        <f t="shared" si="5"/>
        <v>45.506653735998043</v>
      </c>
      <c r="G29">
        <f t="shared" si="6"/>
        <v>2.2753326867999021E-2</v>
      </c>
      <c r="H29">
        <f>240/2000</f>
        <v>0.12</v>
      </c>
      <c r="L29">
        <v>694.14777500000002</v>
      </c>
      <c r="M29">
        <v>-17091.711023</v>
      </c>
      <c r="N29">
        <v>80800.624635</v>
      </c>
      <c r="O29">
        <v>-0.68581400000000003</v>
      </c>
      <c r="P29">
        <v>31.289643999999999</v>
      </c>
      <c r="Q29">
        <v>186.77587600000001</v>
      </c>
      <c r="R29">
        <v>13.825948</v>
      </c>
      <c r="S29">
        <v>3451</v>
      </c>
      <c r="T29">
        <v>453</v>
      </c>
      <c r="U29">
        <f>T29/(T29+S29)</f>
        <v>0.11603483606557377</v>
      </c>
      <c r="V29">
        <f>-4.0888-2.5419*U29</f>
        <v>-4.3837489497950823</v>
      </c>
      <c r="W29">
        <f>M29-(SUM(S29:T29)*V29)</f>
        <v>22.444877000001725</v>
      </c>
      <c r="X29">
        <f>W29/(2*P29*R29)</f>
        <v>2.5941297422199562E-2</v>
      </c>
      <c r="Y29">
        <f>X29*16.02</f>
        <v>0.41557958470363698</v>
      </c>
      <c r="AA29">
        <f>N29/SUM(S29:T29)</f>
        <v>20.696881310194673</v>
      </c>
      <c r="AC29" t="s">
        <v>28</v>
      </c>
      <c r="AD29" s="20">
        <v>0.44679845600478929</v>
      </c>
      <c r="AE29" s="20">
        <v>0.50353216159751357</v>
      </c>
      <c r="AF29" s="20">
        <v>0.52689102171577618</v>
      </c>
      <c r="AG29" s="20">
        <v>0.63222793456718152</v>
      </c>
      <c r="AH29" s="20">
        <v>0.49917983657298343</v>
      </c>
      <c r="AI29" s="12"/>
      <c r="AJ29" s="10"/>
    </row>
    <row r="30" spans="1:36" x14ac:dyDescent="0.2">
      <c r="B30">
        <v>-8679.7434229999999</v>
      </c>
      <c r="C30">
        <v>41726.822723999998</v>
      </c>
      <c r="D30">
        <f t="shared" si="3"/>
        <v>-4.3398717114999998</v>
      </c>
      <c r="E30">
        <f t="shared" si="4"/>
        <v>20.863411361999997</v>
      </c>
      <c r="F30">
        <f t="shared" si="5"/>
        <v>40.49479141269876</v>
      </c>
      <c r="G30">
        <f t="shared" si="6"/>
        <v>2.024739570634938E-2</v>
      </c>
      <c r="H30">
        <f>218/2000</f>
        <v>0.109</v>
      </c>
      <c r="L30">
        <v>694.07174099999997</v>
      </c>
      <c r="M30">
        <v>-17062.116216999999</v>
      </c>
      <c r="N30">
        <v>80912.420068000007</v>
      </c>
      <c r="O30">
        <v>-0.75317800000000001</v>
      </c>
      <c r="P30">
        <v>31.322800999999998</v>
      </c>
      <c r="Q30">
        <v>186.73008200000001</v>
      </c>
      <c r="R30">
        <v>13.833814</v>
      </c>
      <c r="S30">
        <v>3462</v>
      </c>
      <c r="T30">
        <v>442</v>
      </c>
      <c r="U30">
        <f>T30/(T30+S30)</f>
        <v>0.11321721311475409</v>
      </c>
      <c r="V30">
        <f>-4.0888-2.5419*U30</f>
        <v>-4.3765868340163934</v>
      </c>
      <c r="W30">
        <f>M30-(SUM(S30:T30)*V30)</f>
        <v>24.07878300000084</v>
      </c>
      <c r="X30">
        <f>W30/(2*P30*R30)</f>
        <v>2.7784463400060491E-2</v>
      </c>
      <c r="Y30">
        <f>X30*16.02</f>
        <v>0.44510710366896905</v>
      </c>
      <c r="AA30">
        <f>N30/SUM(S30:T30)</f>
        <v>20.725517435450822</v>
      </c>
      <c r="AB30" s="10"/>
      <c r="AC30" s="10" t="s">
        <v>55</v>
      </c>
      <c r="AD30" s="20">
        <v>0.41757721597053088</v>
      </c>
      <c r="AE30" s="20">
        <v>0.44217721979257896</v>
      </c>
      <c r="AF30" s="20">
        <v>0.49647213784709382</v>
      </c>
      <c r="AG30" s="20">
        <v>0.53984791829694267</v>
      </c>
      <c r="AH30" s="20">
        <v>0.44465985394754454</v>
      </c>
      <c r="AI30" s="10"/>
      <c r="AJ30" s="10"/>
    </row>
    <row r="31" spans="1:36" x14ac:dyDescent="0.2">
      <c r="G31">
        <f>AVERAGE(G21:G30)</f>
        <v>2.1516123943564069E-2</v>
      </c>
      <c r="L31">
        <v>694.155981</v>
      </c>
      <c r="M31">
        <v>-17016.816446000001</v>
      </c>
      <c r="N31">
        <v>81056.306796000004</v>
      </c>
      <c r="O31">
        <v>-0.80056300000000002</v>
      </c>
      <c r="P31">
        <v>31.324634</v>
      </c>
      <c r="Q31">
        <v>186.68594200000001</v>
      </c>
      <c r="R31">
        <v>13.860868</v>
      </c>
      <c r="S31">
        <v>3480</v>
      </c>
      <c r="T31">
        <v>424</v>
      </c>
      <c r="U31">
        <f>T31/(T31+S31)</f>
        <v>0.10860655737704918</v>
      </c>
      <c r="V31">
        <f>-4.0888-2.5419*U31</f>
        <v>-4.3648670081967209</v>
      </c>
      <c r="W31">
        <f>M31-(SUM(S31:T31)*V31)</f>
        <v>23.624353999995947</v>
      </c>
      <c r="X31">
        <f>W31/(2*P31*R31)</f>
        <v>2.720529960367472E-2</v>
      </c>
      <c r="Y31">
        <f>X31*16.02</f>
        <v>0.43582889965086902</v>
      </c>
      <c r="AA31">
        <f>N31/SUM(S31:T31)</f>
        <v>20.762373667008198</v>
      </c>
      <c r="AB31" s="10"/>
      <c r="AC31" s="39" t="s">
        <v>110</v>
      </c>
      <c r="AD31" s="20">
        <v>0.48821843838832873</v>
      </c>
      <c r="AE31" s="20">
        <v>0.54993020140221505</v>
      </c>
      <c r="AF31" s="20">
        <v>0.59949279804702582</v>
      </c>
      <c r="AG31" s="20">
        <v>0.7685712202231717</v>
      </c>
      <c r="AH31" s="20">
        <v>0.37046110164540352</v>
      </c>
      <c r="AI31" s="10"/>
      <c r="AJ31" s="10"/>
    </row>
    <row r="32" spans="1:36" x14ac:dyDescent="0.2">
      <c r="B32" t="s">
        <v>5</v>
      </c>
      <c r="C32" t="s">
        <v>7</v>
      </c>
      <c r="D32" t="s">
        <v>6</v>
      </c>
      <c r="E32" t="s">
        <v>8</v>
      </c>
      <c r="F32" t="s">
        <v>12</v>
      </c>
      <c r="G32" t="s">
        <v>14</v>
      </c>
      <c r="H32" t="s">
        <v>13</v>
      </c>
      <c r="M32">
        <f>AVERAGE(M27:M31)</f>
        <v>-17074.4796938</v>
      </c>
      <c r="Y32" s="1">
        <f>AVERAGE(Y27:Y31)</f>
        <v>0.44217721979257896</v>
      </c>
      <c r="Z32">
        <f>STDEV(Y27:Y31)</f>
        <v>1.8447718261649149E-2</v>
      </c>
      <c r="AA32" s="10"/>
      <c r="AB32" s="10"/>
      <c r="AC32" s="10"/>
      <c r="AD32" s="10"/>
      <c r="AE32" s="10"/>
      <c r="AF32" s="10"/>
      <c r="AG32" s="10"/>
      <c r="AH32" s="12"/>
      <c r="AI32" s="12"/>
      <c r="AJ32" s="10"/>
    </row>
    <row r="33" spans="1:36" x14ac:dyDescent="0.2">
      <c r="A33">
        <v>1200</v>
      </c>
      <c r="B33">
        <v>-8636.3785489999991</v>
      </c>
      <c r="C33">
        <v>41944.515586000001</v>
      </c>
      <c r="D33">
        <f>B33/2000</f>
        <v>-4.3181892744999999</v>
      </c>
      <c r="E33">
        <f>C33/2000</f>
        <v>20.972257793000001</v>
      </c>
      <c r="F33">
        <f>B33-2000*(H33*$F$6+(1-H33)*E$6)</f>
        <v>37.266540723298021</v>
      </c>
      <c r="G33">
        <f>F33/2000</f>
        <v>1.863327036164901E-2</v>
      </c>
      <c r="H33">
        <f>223/2000</f>
        <v>0.1115</v>
      </c>
      <c r="J33" t="s">
        <v>133</v>
      </c>
      <c r="K33">
        <v>100000</v>
      </c>
      <c r="L33">
        <v>743.77217700000006</v>
      </c>
      <c r="M33">
        <v>-13883.332893999999</v>
      </c>
      <c r="N33">
        <v>65529.939685999998</v>
      </c>
      <c r="O33">
        <v>-1.3346370000000001</v>
      </c>
      <c r="P33">
        <v>24.435358999999998</v>
      </c>
      <c r="Q33">
        <v>193.62331399999999</v>
      </c>
      <c r="R33">
        <v>13.850486999999999</v>
      </c>
      <c r="S33">
        <v>2794</v>
      </c>
      <c r="T33">
        <v>374</v>
      </c>
      <c r="U33">
        <f>T33/(T33+S33)</f>
        <v>0.11805555555555555</v>
      </c>
      <c r="V33">
        <f>-4.0888-2.5419*U33</f>
        <v>-4.3888854166666667</v>
      </c>
      <c r="W33">
        <f>M33-(SUM(S33:T33)*V33)</f>
        <v>20.656106000000364</v>
      </c>
      <c r="X33">
        <f>W33/(2*P33*R33)</f>
        <v>3.0516497745710115E-2</v>
      </c>
      <c r="Y33">
        <f>X33*16.02</f>
        <v>0.48887429388627601</v>
      </c>
      <c r="AA33">
        <f>N33/SUM(S33:T33)</f>
        <v>20.684955708964647</v>
      </c>
      <c r="AB33" s="12"/>
      <c r="AC33" s="12"/>
      <c r="AD33" s="12"/>
      <c r="AE33" s="10"/>
      <c r="AF33" s="10"/>
      <c r="AG33" s="10"/>
      <c r="AH33" s="12"/>
      <c r="AI33" s="12"/>
      <c r="AJ33" s="10"/>
    </row>
    <row r="34" spans="1:36" x14ac:dyDescent="0.2">
      <c r="B34">
        <v>-8648.8721480000004</v>
      </c>
      <c r="C34">
        <v>41897.414917000002</v>
      </c>
      <c r="D34">
        <f t="shared" ref="D34:D42" si="7">B34/2000</f>
        <v>-4.3244360740000003</v>
      </c>
      <c r="E34">
        <f t="shared" ref="E34:E42" si="8">C34/2000</f>
        <v>20.948707458499999</v>
      </c>
      <c r="F34">
        <f t="shared" ref="F34:F42" si="9">B34-2000*(H34*$F$6+(1-H34)*E$6)</f>
        <v>35.522561671697986</v>
      </c>
      <c r="G34">
        <f t="shared" ref="G34:G42" si="10">F34/2000</f>
        <v>1.7761280835848992E-2</v>
      </c>
      <c r="H34">
        <f>227/2000</f>
        <v>0.1135</v>
      </c>
      <c r="K34">
        <v>100000</v>
      </c>
      <c r="L34">
        <v>743.76920600000005</v>
      </c>
      <c r="M34">
        <v>-13928.513421</v>
      </c>
      <c r="N34">
        <v>65397.741586999997</v>
      </c>
      <c r="O34">
        <v>-0.95645000000000002</v>
      </c>
      <c r="P34">
        <v>24.425542</v>
      </c>
      <c r="Q34">
        <v>193.661506</v>
      </c>
      <c r="R34">
        <v>13.825386999999999</v>
      </c>
      <c r="S34">
        <v>2775</v>
      </c>
      <c r="T34">
        <v>393</v>
      </c>
      <c r="U34">
        <f>T34/(T34+S34)</f>
        <v>0.1240530303030303</v>
      </c>
      <c r="V34">
        <f>-4.0888-2.5419*U34</f>
        <v>-4.4041303977272728</v>
      </c>
      <c r="W34">
        <f>M34-(SUM(S34:T34)*V34)</f>
        <v>23.771679000001313</v>
      </c>
      <c r="X34">
        <f>W34/(2*P34*R34)</f>
        <v>3.5197219383949242E-2</v>
      </c>
      <c r="Y34">
        <f>X34*16.02</f>
        <v>0.56385945453086683</v>
      </c>
      <c r="AA34">
        <f>N34/SUM(S34:T34)</f>
        <v>20.643226511047978</v>
      </c>
      <c r="AB34" s="12"/>
      <c r="AC34" s="12"/>
      <c r="AD34" s="12"/>
      <c r="AE34" s="10"/>
      <c r="AF34" s="10"/>
      <c r="AG34" s="10"/>
      <c r="AH34" s="12"/>
      <c r="AI34" s="12"/>
      <c r="AJ34" s="10"/>
    </row>
    <row r="35" spans="1:36" x14ac:dyDescent="0.2">
      <c r="B35">
        <v>-8663.9078869999994</v>
      </c>
      <c r="C35">
        <v>41870.037069999998</v>
      </c>
      <c r="D35">
        <f t="shared" si="7"/>
        <v>-4.3319539434999994</v>
      </c>
      <c r="E35">
        <f t="shared" si="8"/>
        <v>20.935018534999998</v>
      </c>
      <c r="F35">
        <f t="shared" si="9"/>
        <v>39.298657581399311</v>
      </c>
      <c r="G35">
        <f t="shared" si="10"/>
        <v>1.9649328790699656E-2</v>
      </c>
      <c r="H35">
        <f>234/2000</f>
        <v>0.11700000000000001</v>
      </c>
      <c r="K35">
        <v>100000</v>
      </c>
      <c r="L35">
        <v>744.04273000000001</v>
      </c>
      <c r="M35">
        <v>-13805.683616</v>
      </c>
      <c r="N35">
        <v>65800.029007000005</v>
      </c>
      <c r="O35">
        <v>-0.93776499999999996</v>
      </c>
      <c r="P35">
        <v>24.496977000000001</v>
      </c>
      <c r="Q35">
        <v>193.881046</v>
      </c>
      <c r="R35">
        <v>13.854164000000001</v>
      </c>
      <c r="S35">
        <v>2825</v>
      </c>
      <c r="T35">
        <v>343</v>
      </c>
      <c r="U35">
        <f>T35/(T35+S35)</f>
        <v>0.10827020202020202</v>
      </c>
      <c r="V35">
        <f>-4.0888-2.5419*U35</f>
        <v>-4.3640120265151516</v>
      </c>
      <c r="W35">
        <f>M35-(SUM(S35:T35)*V35)</f>
        <v>19.506483999999546</v>
      </c>
      <c r="X35">
        <f>W35/(2*P35*R35)</f>
        <v>2.8737976241897299E-2</v>
      </c>
      <c r="Y35">
        <f>X35*16.02</f>
        <v>0.46038237939519472</v>
      </c>
      <c r="AA35">
        <f>N35/SUM(S35:T35)</f>
        <v>20.770211176452023</v>
      </c>
      <c r="AB35" s="12"/>
      <c r="AC35" s="12"/>
      <c r="AD35" s="12"/>
      <c r="AE35" s="10"/>
      <c r="AF35" s="10"/>
      <c r="AG35" s="10"/>
      <c r="AH35" s="10"/>
      <c r="AI35" s="10"/>
      <c r="AJ35" s="10"/>
    </row>
    <row r="36" spans="1:36" x14ac:dyDescent="0.2">
      <c r="B36">
        <v>-8674.1540949999999</v>
      </c>
      <c r="C36">
        <v>41833.613340999997</v>
      </c>
      <c r="D36">
        <f t="shared" si="7"/>
        <v>-4.3370770475000002</v>
      </c>
      <c r="E36">
        <f t="shared" si="8"/>
        <v>20.916806670499998</v>
      </c>
      <c r="F36">
        <f t="shared" si="9"/>
        <v>39.802069529800065</v>
      </c>
      <c r="G36">
        <f t="shared" si="10"/>
        <v>1.9901034764900034E-2</v>
      </c>
      <c r="H36">
        <f>238/2000</f>
        <v>0.11899999999999999</v>
      </c>
      <c r="K36">
        <v>100000</v>
      </c>
      <c r="L36">
        <v>743.56572900000003</v>
      </c>
      <c r="M36">
        <v>-13929.689645</v>
      </c>
      <c r="N36">
        <v>65399.459477999997</v>
      </c>
      <c r="O36">
        <v>-1.024246</v>
      </c>
      <c r="P36">
        <v>24.437203</v>
      </c>
      <c r="Q36">
        <v>193.65385000000001</v>
      </c>
      <c r="R36">
        <v>13.819689</v>
      </c>
      <c r="S36">
        <v>2777</v>
      </c>
      <c r="T36">
        <v>391</v>
      </c>
      <c r="U36">
        <f>T36/(T36+S36)</f>
        <v>0.12342171717171717</v>
      </c>
      <c r="V36">
        <f>-4.0888-2.5419*U36</f>
        <v>-4.4025256628787881</v>
      </c>
      <c r="W36">
        <f>M36-(SUM(S36:T36)*V36)</f>
        <v>17.511655000000246</v>
      </c>
      <c r="X36">
        <f>W36/(2*P36*R36)</f>
        <v>2.5926711232705367E-2</v>
      </c>
      <c r="Y36">
        <f>X36*16.02</f>
        <v>0.41534591394793996</v>
      </c>
      <c r="AA36">
        <f>N36/SUM(S36:T36)</f>
        <v>20.643768774621211</v>
      </c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x14ac:dyDescent="0.2">
      <c r="B37">
        <v>-8671.1520049999999</v>
      </c>
      <c r="C37">
        <v>41857.347536000001</v>
      </c>
      <c r="D37">
        <f t="shared" si="7"/>
        <v>-4.3355760024999999</v>
      </c>
      <c r="E37">
        <f t="shared" si="8"/>
        <v>20.928673767999999</v>
      </c>
      <c r="F37">
        <f t="shared" si="9"/>
        <v>40.116754542699709</v>
      </c>
      <c r="G37">
        <f t="shared" si="10"/>
        <v>2.0058377271349855E-2</v>
      </c>
      <c r="H37">
        <f>237/2000</f>
        <v>0.11849999999999999</v>
      </c>
      <c r="K37">
        <v>100000</v>
      </c>
      <c r="L37">
        <v>744.00067000000001</v>
      </c>
      <c r="M37">
        <v>-13825.811148999999</v>
      </c>
      <c r="N37">
        <v>65722.604969000007</v>
      </c>
      <c r="O37">
        <v>-1.1290579999999999</v>
      </c>
      <c r="P37">
        <v>24.471700999999999</v>
      </c>
      <c r="Q37">
        <v>193.95027999999999</v>
      </c>
      <c r="R37">
        <v>13.847205000000001</v>
      </c>
      <c r="S37">
        <v>2817</v>
      </c>
      <c r="T37">
        <v>351</v>
      </c>
      <c r="U37">
        <f>T37/(T37+S37)</f>
        <v>0.11079545454545454</v>
      </c>
      <c r="V37">
        <f>-4.0888-2.5419*U37</f>
        <v>-4.3704309659090912</v>
      </c>
      <c r="W37">
        <f>M37-(SUM(S37:T37)*V37)</f>
        <v>19.714151000001948</v>
      </c>
      <c r="X37">
        <f>W37/(2*P37*R37)</f>
        <v>2.9088531943803377E-2</v>
      </c>
      <c r="Y37">
        <f>X37*16.02</f>
        <v>0.46599828173973007</v>
      </c>
      <c r="AA37">
        <f>N37/SUM(S37:T37)</f>
        <v>20.745771770517678</v>
      </c>
      <c r="AB37" s="10"/>
      <c r="AC37" s="10"/>
      <c r="AD37" s="10"/>
      <c r="AE37" s="10"/>
      <c r="AF37" s="10"/>
      <c r="AG37" s="10"/>
      <c r="AH37" s="12"/>
      <c r="AI37" s="12"/>
      <c r="AJ37" s="10"/>
    </row>
    <row r="38" spans="1:36" x14ac:dyDescent="0.2">
      <c r="B38">
        <v>-8639.8867790000004</v>
      </c>
      <c r="C38">
        <v>41936.021970000002</v>
      </c>
      <c r="D38">
        <f t="shared" si="7"/>
        <v>-4.3199433895000006</v>
      </c>
      <c r="E38">
        <f t="shared" si="8"/>
        <v>20.968010984999999</v>
      </c>
      <c r="F38">
        <f t="shared" si="9"/>
        <v>33.758310723296745</v>
      </c>
      <c r="G38">
        <f t="shared" si="10"/>
        <v>1.6879155361648371E-2</v>
      </c>
      <c r="H38">
        <f>223/2000</f>
        <v>0.1115</v>
      </c>
      <c r="Y38" s="1">
        <f>AVERAGE(Y33:Y37)</f>
        <v>0.47889206470000156</v>
      </c>
      <c r="Z38">
        <f>STDEV(Y33:Y37)</f>
        <v>5.4465754375366077E-2</v>
      </c>
      <c r="AA38" s="10"/>
      <c r="AB38" s="10"/>
      <c r="AC38" s="10"/>
      <c r="AD38" s="10"/>
      <c r="AE38" s="10"/>
      <c r="AF38" s="10"/>
      <c r="AG38" s="10"/>
      <c r="AH38" s="12"/>
      <c r="AI38" s="12"/>
      <c r="AJ38" s="10"/>
    </row>
    <row r="39" spans="1:36" x14ac:dyDescent="0.2">
      <c r="B39">
        <v>-8780.4346389999992</v>
      </c>
      <c r="C39">
        <v>41532.971390999999</v>
      </c>
      <c r="D39">
        <f t="shared" si="7"/>
        <v>-4.3902173194999996</v>
      </c>
      <c r="E39">
        <f t="shared" si="8"/>
        <v>20.766485695499998</v>
      </c>
      <c r="F39">
        <f t="shared" si="9"/>
        <v>43.7051300009025</v>
      </c>
      <c r="G39">
        <f t="shared" si="10"/>
        <v>2.1852565000451251E-2</v>
      </c>
      <c r="H39">
        <f>279/2000</f>
        <v>0.13950000000000001</v>
      </c>
      <c r="J39" t="s">
        <v>28</v>
      </c>
      <c r="L39">
        <v>743.77433399999995</v>
      </c>
      <c r="M39">
        <v>-10869.472390000001</v>
      </c>
      <c r="N39">
        <v>51038.533779999998</v>
      </c>
      <c r="O39">
        <v>-1.4024209999999999</v>
      </c>
      <c r="P39">
        <v>35.253888000000003</v>
      </c>
      <c r="Q39">
        <v>139.90989500000001</v>
      </c>
      <c r="R39">
        <v>10.347753000000001</v>
      </c>
      <c r="S39">
        <v>2163</v>
      </c>
      <c r="T39">
        <v>309</v>
      </c>
      <c r="U39">
        <f>T39/(T39+S39)</f>
        <v>0.125</v>
      </c>
      <c r="V39">
        <f>-4.0888-2.5419*U39</f>
        <v>-4.4065374999999998</v>
      </c>
      <c r="W39">
        <f>M39-(SUM(S39:T39)*V39)</f>
        <v>23.488309999998819</v>
      </c>
      <c r="X39">
        <f>W39/(2*P39*R39)</f>
        <v>3.2193537487306051E-2</v>
      </c>
      <c r="Y39">
        <f>X39*16.02</f>
        <v>0.51574047054664296</v>
      </c>
      <c r="AA39">
        <f>N39/SUM(S39:T39)</f>
        <v>20.646656059870548</v>
      </c>
      <c r="AB39" s="10"/>
      <c r="AC39" s="10"/>
      <c r="AD39" s="10"/>
      <c r="AE39" s="10"/>
      <c r="AF39" s="10"/>
      <c r="AG39" s="10"/>
      <c r="AH39" s="12"/>
      <c r="AI39" s="12"/>
      <c r="AJ39" s="10"/>
    </row>
    <row r="40" spans="1:36" x14ac:dyDescent="0.2">
      <c r="B40">
        <v>-8636.2063699999999</v>
      </c>
      <c r="C40">
        <v>41947.059366000001</v>
      </c>
      <c r="D40">
        <f t="shared" si="7"/>
        <v>-4.318103185</v>
      </c>
      <c r="E40">
        <f t="shared" si="8"/>
        <v>20.973529683000002</v>
      </c>
      <c r="F40">
        <f t="shared" si="9"/>
        <v>37.438719723297254</v>
      </c>
      <c r="G40">
        <f t="shared" si="10"/>
        <v>1.8719359861648625E-2</v>
      </c>
      <c r="H40">
        <f>223/2000</f>
        <v>0.1115</v>
      </c>
      <c r="L40">
        <v>744.300297</v>
      </c>
      <c r="M40">
        <v>-10803.932446000001</v>
      </c>
      <c r="N40">
        <v>51212.168349</v>
      </c>
      <c r="O40">
        <v>-1.497484</v>
      </c>
      <c r="P40">
        <v>35.343867000000003</v>
      </c>
      <c r="Q40">
        <v>140.13759200000001</v>
      </c>
      <c r="R40">
        <v>10.339682</v>
      </c>
      <c r="S40">
        <v>2190</v>
      </c>
      <c r="T40">
        <v>282</v>
      </c>
      <c r="U40">
        <f>T40/(T40+S40)</f>
        <v>0.11407766990291263</v>
      </c>
      <c r="V40">
        <f>-4.0888-2.5419*U40</f>
        <v>-4.3787740291262134</v>
      </c>
      <c r="W40">
        <f>M40-(SUM(S40:T40)*V40)</f>
        <v>20.396953999998004</v>
      </c>
      <c r="X40">
        <f>W40/(2*P40*R40)</f>
        <v>2.7907059248627204E-2</v>
      </c>
      <c r="Y40">
        <f>X40*16.02</f>
        <v>0.44707108916300781</v>
      </c>
      <c r="AA40">
        <f>N40/SUM(S40:T40)</f>
        <v>20.716896581310678</v>
      </c>
      <c r="AB40" s="12"/>
      <c r="AC40" s="12"/>
      <c r="AD40" s="12"/>
      <c r="AE40" s="10"/>
      <c r="AF40" s="10"/>
      <c r="AG40" s="10"/>
      <c r="AH40" s="10"/>
      <c r="AI40" s="10"/>
      <c r="AJ40" s="10"/>
    </row>
    <row r="41" spans="1:36" x14ac:dyDescent="0.2">
      <c r="B41">
        <v>-8678.7457140000006</v>
      </c>
      <c r="C41">
        <v>41829.321845999999</v>
      </c>
      <c r="D41">
        <f t="shared" si="7"/>
        <v>-4.3393728569999999</v>
      </c>
      <c r="E41">
        <f t="shared" si="8"/>
        <v>20.914660923</v>
      </c>
      <c r="F41">
        <f t="shared" si="9"/>
        <v>40.585260503998143</v>
      </c>
      <c r="G41">
        <f t="shared" si="10"/>
        <v>2.029263025199907E-2</v>
      </c>
      <c r="H41">
        <f>240/2000</f>
        <v>0.12</v>
      </c>
      <c r="L41">
        <v>743.93857000000003</v>
      </c>
      <c r="M41">
        <v>-10812.895433</v>
      </c>
      <c r="N41">
        <v>51231.517800000001</v>
      </c>
      <c r="O41">
        <v>-1.283525</v>
      </c>
      <c r="P41">
        <v>35.36703</v>
      </c>
      <c r="Q41">
        <v>139.82414900000001</v>
      </c>
      <c r="R41">
        <v>10.359980999999999</v>
      </c>
      <c r="S41">
        <v>2185</v>
      </c>
      <c r="T41">
        <v>287</v>
      </c>
      <c r="U41">
        <f>T41/(T41+S41)</f>
        <v>0.11610032362459546</v>
      </c>
      <c r="V41">
        <f>-4.0888-2.5419*U41</f>
        <v>-4.3839154126213593</v>
      </c>
      <c r="W41">
        <f>M41-(SUM(S41:T41)*V41)</f>
        <v>24.143466999999873</v>
      </c>
      <c r="X41">
        <f>W41/(2*P41*R41)</f>
        <v>3.2946712752321965E-2</v>
      </c>
      <c r="Y41">
        <f>X41*16.02</f>
        <v>0.52780633829219781</v>
      </c>
      <c r="AA41">
        <f>N41/SUM(S41:T41)</f>
        <v>20.724724029126214</v>
      </c>
      <c r="AB41" s="12"/>
      <c r="AC41" s="12"/>
      <c r="AD41" s="12"/>
      <c r="AE41" s="10"/>
      <c r="AF41" s="10"/>
      <c r="AG41" s="10"/>
      <c r="AH41" s="10"/>
      <c r="AI41" s="10"/>
      <c r="AJ41" s="10"/>
    </row>
    <row r="42" spans="1:36" x14ac:dyDescent="0.2">
      <c r="B42">
        <v>-8625.1988180000008</v>
      </c>
      <c r="C42">
        <v>41982.800483999999</v>
      </c>
      <c r="D42">
        <f t="shared" si="7"/>
        <v>-4.3125994090000006</v>
      </c>
      <c r="E42">
        <f t="shared" si="8"/>
        <v>20.991400242000001</v>
      </c>
      <c r="F42">
        <f t="shared" si="9"/>
        <v>35.009246787798475</v>
      </c>
      <c r="G42">
        <f t="shared" si="10"/>
        <v>1.7504623393899237E-2</v>
      </c>
      <c r="H42">
        <f>218/2000</f>
        <v>0.109</v>
      </c>
      <c r="L42">
        <v>743.91024400000003</v>
      </c>
      <c r="M42">
        <v>-10766.575714000001</v>
      </c>
      <c r="N42">
        <v>51356.541737</v>
      </c>
      <c r="O42">
        <v>-1.573177</v>
      </c>
      <c r="P42">
        <v>35.329951999999999</v>
      </c>
      <c r="Q42">
        <v>140.01624100000001</v>
      </c>
      <c r="R42">
        <v>10.381891</v>
      </c>
      <c r="S42">
        <v>2203</v>
      </c>
      <c r="T42">
        <v>269</v>
      </c>
      <c r="U42">
        <f>T42/(T42+S42)</f>
        <v>0.10881877022653721</v>
      </c>
      <c r="V42">
        <f>-4.0888-2.5419*U42</f>
        <v>-4.365406432038835</v>
      </c>
      <c r="W42">
        <f>M42-(SUM(S42:T42)*V42)</f>
        <v>24.708985999999641</v>
      </c>
      <c r="X42">
        <f>W42/(2*P42*R42)</f>
        <v>3.3682585073822637E-2</v>
      </c>
      <c r="Y42">
        <f>X42*16.02</f>
        <v>0.53959501288263867</v>
      </c>
      <c r="AA42">
        <f>N42/SUM(S42:T42)</f>
        <v>20.775300055420711</v>
      </c>
      <c r="AB42" s="12"/>
      <c r="AC42" s="12"/>
      <c r="AD42" s="12"/>
      <c r="AE42" s="10"/>
      <c r="AF42" s="10"/>
      <c r="AG42" s="10"/>
      <c r="AH42" s="10"/>
      <c r="AI42" s="10"/>
      <c r="AJ42" s="10"/>
    </row>
    <row r="43" spans="1:36" x14ac:dyDescent="0.2">
      <c r="G43">
        <f>AVERAGE(G33:G42)</f>
        <v>1.9125162589409411E-2</v>
      </c>
      <c r="L43">
        <v>743.92024800000002</v>
      </c>
      <c r="M43">
        <v>-10804.654622</v>
      </c>
      <c r="N43">
        <v>51251.187147999997</v>
      </c>
      <c r="O43">
        <v>-1.4679329999999999</v>
      </c>
      <c r="P43">
        <v>35.303130000000003</v>
      </c>
      <c r="Q43">
        <v>140.385851</v>
      </c>
      <c r="R43">
        <v>10.341182999999999</v>
      </c>
      <c r="S43">
        <v>2189</v>
      </c>
      <c r="T43">
        <v>283</v>
      </c>
      <c r="U43">
        <f>T43/(T43+S43)</f>
        <v>0.11448220064724919</v>
      </c>
      <c r="V43">
        <f>-4.0888-2.5419*U43</f>
        <v>-4.3798023058252431</v>
      </c>
      <c r="W43">
        <f>M43-(SUM(S43:T43)*V43)</f>
        <v>22.216678000000684</v>
      </c>
      <c r="X43">
        <f>W43/(2*P43*R43)</f>
        <v>3.0427459244886431E-2</v>
      </c>
      <c r="Y43">
        <f>X43*16.02</f>
        <v>0.48744789710308062</v>
      </c>
      <c r="AA43">
        <f>N43/SUM(S43:T43)</f>
        <v>20.732680885113268</v>
      </c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x14ac:dyDescent="0.2">
      <c r="A44">
        <v>500</v>
      </c>
      <c r="B44" t="s">
        <v>5</v>
      </c>
      <c r="C44" t="s">
        <v>7</v>
      </c>
      <c r="D44" t="s">
        <v>6</v>
      </c>
      <c r="E44" t="s">
        <v>8</v>
      </c>
      <c r="F44" t="s">
        <v>12</v>
      </c>
      <c r="G44" t="s">
        <v>14</v>
      </c>
      <c r="H44" t="s">
        <v>13</v>
      </c>
      <c r="Y44" s="1">
        <f>AVERAGE(Y39:Y43)</f>
        <v>0.50353216159751357</v>
      </c>
      <c r="Z44">
        <f>STDEV(Y39:Y43)</f>
        <v>3.7031621518631132E-2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x14ac:dyDescent="0.2">
      <c r="B45">
        <v>-8823.8099010000005</v>
      </c>
      <c r="C45">
        <v>41183.773050999996</v>
      </c>
      <c r="D45">
        <f>B45/2000</f>
        <v>-4.4119049505000003</v>
      </c>
      <c r="E45">
        <f>C45/2000</f>
        <v>20.591886525499998</v>
      </c>
      <c r="F45">
        <f>B45-2000*(H45*$F$2+(1-H45)*E$2)</f>
        <v>40.565864863403476</v>
      </c>
      <c r="G45">
        <f>F45/2000</f>
        <v>2.0282932431701737E-2</v>
      </c>
      <c r="H45">
        <f>222/2000</f>
        <v>0.111</v>
      </c>
      <c r="J45" t="s">
        <v>134</v>
      </c>
      <c r="K45">
        <v>100000</v>
      </c>
      <c r="L45">
        <v>743.59638099999995</v>
      </c>
      <c r="M45">
        <v>-14181.45945</v>
      </c>
      <c r="N45">
        <v>66837.219442000001</v>
      </c>
      <c r="O45">
        <v>-0.95987199999999995</v>
      </c>
      <c r="P45">
        <v>28.497028</v>
      </c>
      <c r="Q45">
        <v>169.85810499999999</v>
      </c>
      <c r="R45">
        <v>13.808102999999999</v>
      </c>
      <c r="S45">
        <v>2841</v>
      </c>
      <c r="T45">
        <v>391</v>
      </c>
      <c r="U45">
        <f>T45/(T45+S45)</f>
        <v>0.12097772277227722</v>
      </c>
      <c r="V45">
        <f>-4.0888-2.5419*U45</f>
        <v>-4.3963132735148518</v>
      </c>
      <c r="W45">
        <f>M45-(SUM(S45:T45)*V45)</f>
        <v>27.425049999999828</v>
      </c>
      <c r="X45">
        <f>W45/(2*P45*R45)</f>
        <v>3.4848480421081567E-2</v>
      </c>
      <c r="Y45">
        <f>X45*16.02</f>
        <v>0.55827265634572665</v>
      </c>
      <c r="AA45">
        <f>N45/SUM(S45:T45)</f>
        <v>20.679832748143564</v>
      </c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x14ac:dyDescent="0.2">
      <c r="B46">
        <v>-8840.2290630000007</v>
      </c>
      <c r="C46">
        <v>41129.718956999997</v>
      </c>
      <c r="D46">
        <f t="shared" ref="D46:D54" si="11">B46/2000</f>
        <v>-4.4201145315000003</v>
      </c>
      <c r="E46">
        <f t="shared" ref="E46:E54" si="12">C46/2000</f>
        <v>20.564859478499997</v>
      </c>
      <c r="F46">
        <f t="shared" ref="F46:F54" si="13">B46-2000*(H46*$F$2+(1-H46)*E$2)</f>
        <v>34.921091039321254</v>
      </c>
      <c r="G46">
        <f t="shared" ref="G46:G54" si="14">F46/2000</f>
        <v>1.7460545519660628E-2</v>
      </c>
      <c r="H46">
        <f>226/2000</f>
        <v>0.113</v>
      </c>
      <c r="K46">
        <v>100000</v>
      </c>
      <c r="L46">
        <v>744.04092800000001</v>
      </c>
      <c r="M46">
        <v>-14249.141471999999</v>
      </c>
      <c r="N46">
        <v>66602.552320000003</v>
      </c>
      <c r="O46">
        <v>-1.131086</v>
      </c>
      <c r="P46">
        <v>28.495080999999999</v>
      </c>
      <c r="Q46">
        <v>169.617088</v>
      </c>
      <c r="R46">
        <v>13.780139999999999</v>
      </c>
      <c r="S46">
        <v>2815</v>
      </c>
      <c r="T46">
        <v>417</v>
      </c>
      <c r="U46">
        <f>T46/(T46+S46)</f>
        <v>0.12902227722772278</v>
      </c>
      <c r="V46">
        <f>-4.0888-2.5419*U46</f>
        <v>-4.4167617264851486</v>
      </c>
      <c r="W46">
        <f>M46-(SUM(S46:T46)*V46)</f>
        <v>25.832428000001528</v>
      </c>
      <c r="X46">
        <f>W46/(2*P46*R46)</f>
        <v>3.2893622673330937E-2</v>
      </c>
      <c r="Y46">
        <f>X46*16.02</f>
        <v>0.52695583522676159</v>
      </c>
      <c r="AA46">
        <f>N46/SUM(S46:T46)</f>
        <v>20.607225346534655</v>
      </c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x14ac:dyDescent="0.2">
      <c r="B47">
        <v>-8876.6278559999992</v>
      </c>
      <c r="C47">
        <v>41010.441804000002</v>
      </c>
      <c r="D47">
        <f t="shared" si="11"/>
        <v>-4.4383139279999995</v>
      </c>
      <c r="E47">
        <f t="shared" si="12"/>
        <v>20.505220902000001</v>
      </c>
      <c r="F47">
        <f t="shared" si="13"/>
        <v>36.23265665503277</v>
      </c>
      <c r="G47">
        <f t="shared" si="14"/>
        <v>1.8116328327516387E-2</v>
      </c>
      <c r="H47">
        <f>240/2000</f>
        <v>0.12</v>
      </c>
      <c r="K47">
        <v>100000</v>
      </c>
      <c r="L47">
        <v>743.71600100000001</v>
      </c>
      <c r="M47">
        <v>-14087.930128</v>
      </c>
      <c r="N47">
        <v>67125.478031000006</v>
      </c>
      <c r="O47">
        <v>-1.0398639999999999</v>
      </c>
      <c r="P47">
        <v>28.564143999999999</v>
      </c>
      <c r="Q47">
        <v>169.70334</v>
      </c>
      <c r="R47">
        <v>13.847690999999999</v>
      </c>
      <c r="S47">
        <v>2877</v>
      </c>
      <c r="T47">
        <v>355</v>
      </c>
      <c r="U47">
        <f>T47/(T47+S47)</f>
        <v>0.10983910891089109</v>
      </c>
      <c r="V47">
        <f>-4.0888-2.5419*U47</f>
        <v>-4.3680000309405944</v>
      </c>
      <c r="W47">
        <f>M47-(SUM(S47:T47)*V47)</f>
        <v>29.445972000001348</v>
      </c>
      <c r="X47">
        <f>W47/(2*P47*R47)</f>
        <v>3.7221795716238917E-2</v>
      </c>
      <c r="Y47">
        <f>X47*16.02</f>
        <v>0.59629316737414739</v>
      </c>
      <c r="AA47">
        <f>N47/SUM(S47:T47)</f>
        <v>20.769021668007429</v>
      </c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x14ac:dyDescent="0.2">
      <c r="B48">
        <v>-8895.2081600000001</v>
      </c>
      <c r="C48">
        <v>40903.827193999998</v>
      </c>
      <c r="D48">
        <f t="shared" si="11"/>
        <v>-4.4476040799999996</v>
      </c>
      <c r="E48">
        <f t="shared" si="12"/>
        <v>20.451913596999997</v>
      </c>
      <c r="F48">
        <f t="shared" si="13"/>
        <v>47.281920138802889</v>
      </c>
      <c r="G48">
        <f t="shared" si="14"/>
        <v>2.3640960069401445E-2</v>
      </c>
      <c r="H48">
        <f>251/2000</f>
        <v>0.1255</v>
      </c>
      <c r="K48">
        <v>100000</v>
      </c>
      <c r="L48">
        <v>743.74080100000003</v>
      </c>
      <c r="M48">
        <v>-14149.893754000001</v>
      </c>
      <c r="N48">
        <v>66929.248454999994</v>
      </c>
      <c r="O48">
        <v>-0.84478200000000003</v>
      </c>
      <c r="P48">
        <v>28.548348000000001</v>
      </c>
      <c r="Q48">
        <v>169.81845899999999</v>
      </c>
      <c r="R48">
        <v>13.805493</v>
      </c>
      <c r="S48">
        <v>2853</v>
      </c>
      <c r="T48">
        <v>379</v>
      </c>
      <c r="U48">
        <f>T48/(T48+S48)</f>
        <v>0.11726485148514851</v>
      </c>
      <c r="V48">
        <f>-4.0888-2.5419*U48</f>
        <v>-4.3868755259900993</v>
      </c>
      <c r="W48">
        <f>M48-(SUM(S48:T48)*V48)</f>
        <v>28.487946000001102</v>
      </c>
      <c r="X48">
        <f>W48/(2*P48*R48)</f>
        <v>3.6140839766870714E-2</v>
      </c>
      <c r="Y48">
        <f>X48*16.02</f>
        <v>0.57897625306526879</v>
      </c>
      <c r="AA48">
        <f>N48/SUM(S48:T48)</f>
        <v>20.70830707147277</v>
      </c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x14ac:dyDescent="0.2">
      <c r="B49">
        <v>-8828.7004539999998</v>
      </c>
      <c r="C49">
        <v>41140.734004999998</v>
      </c>
      <c r="D49">
        <f t="shared" si="11"/>
        <v>-4.4143502269999999</v>
      </c>
      <c r="E49">
        <f t="shared" si="12"/>
        <v>20.570367002499999</v>
      </c>
      <c r="F49">
        <f t="shared" si="13"/>
        <v>43.75610299534128</v>
      </c>
      <c r="G49">
        <f t="shared" si="14"/>
        <v>2.187805149767064E-2</v>
      </c>
      <c r="H49">
        <f>225/2000</f>
        <v>0.1125</v>
      </c>
      <c r="K49">
        <v>100000</v>
      </c>
      <c r="L49">
        <v>743.98057200000005</v>
      </c>
      <c r="M49">
        <v>-14221.281293</v>
      </c>
      <c r="N49">
        <v>66702.256840999995</v>
      </c>
      <c r="O49">
        <v>-1.1120209999999999</v>
      </c>
      <c r="P49">
        <v>28.487031999999999</v>
      </c>
      <c r="Q49">
        <v>169.568569</v>
      </c>
      <c r="R49">
        <v>13.808602</v>
      </c>
      <c r="S49">
        <v>2826</v>
      </c>
      <c r="T49">
        <v>406</v>
      </c>
      <c r="U49">
        <f>T49/(T49+S49)</f>
        <v>0.12561881188118812</v>
      </c>
      <c r="V49">
        <f>-4.0888-2.5419*U49</f>
        <v>-4.4081104579207917</v>
      </c>
      <c r="W49">
        <f>M49-(SUM(S49:T49)*V49)</f>
        <v>25.731706999999005</v>
      </c>
      <c r="X49">
        <f>W49/(2*P49*R49)</f>
        <v>3.2707073445271913E-2</v>
      </c>
      <c r="Y49">
        <f>X49*16.02</f>
        <v>0.52396731659325602</v>
      </c>
      <c r="AA49">
        <f>N49/SUM(S49:T49)</f>
        <v>20.638074517636138</v>
      </c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x14ac:dyDescent="0.2">
      <c r="B50">
        <v>-8834.2245930000008</v>
      </c>
      <c r="C50">
        <v>41144.912486000001</v>
      </c>
      <c r="D50">
        <f t="shared" si="11"/>
        <v>-4.4171122965</v>
      </c>
      <c r="E50">
        <f t="shared" si="12"/>
        <v>20.572456243000001</v>
      </c>
      <c r="F50">
        <f t="shared" si="13"/>
        <v>43.619158083300135</v>
      </c>
      <c r="G50">
        <f t="shared" si="14"/>
        <v>2.1809579041650068E-2</v>
      </c>
      <c r="H50">
        <f>227/2000</f>
        <v>0.1135</v>
      </c>
      <c r="Y50" s="1">
        <f>AVERAGE(Y45:Y49)</f>
        <v>0.55689304572103215</v>
      </c>
      <c r="Z50">
        <f>STDEV(Y45:Y49)</f>
        <v>3.1710728346801442E-2</v>
      </c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x14ac:dyDescent="0.2">
      <c r="B51">
        <v>-8956.3536820000008</v>
      </c>
      <c r="C51">
        <v>40704.522327999999</v>
      </c>
      <c r="D51">
        <f t="shared" si="11"/>
        <v>-4.4781768410000007</v>
      </c>
      <c r="E51">
        <f t="shared" si="12"/>
        <v>20.352261163999998</v>
      </c>
      <c r="F51">
        <f t="shared" si="13"/>
        <v>50.782727194306062</v>
      </c>
      <c r="G51">
        <f t="shared" si="14"/>
        <v>2.5391363597153032E-2</v>
      </c>
      <c r="H51">
        <f>275/2000</f>
        <v>0.13750000000000001</v>
      </c>
      <c r="J51" t="s">
        <v>27</v>
      </c>
      <c r="L51">
        <v>743.75568599999997</v>
      </c>
      <c r="M51">
        <v>-12624.038291000001</v>
      </c>
      <c r="N51">
        <v>59591.139327999997</v>
      </c>
      <c r="O51">
        <v>-1.151278</v>
      </c>
      <c r="P51">
        <v>32.865749000000001</v>
      </c>
      <c r="Q51">
        <v>131.52880999999999</v>
      </c>
      <c r="R51">
        <v>13.785392999999999</v>
      </c>
      <c r="S51">
        <v>2535</v>
      </c>
      <c r="T51">
        <v>345</v>
      </c>
      <c r="U51">
        <f>T51/(T51+S51)</f>
        <v>0.11979166666666667</v>
      </c>
      <c r="V51">
        <f>-4.0888-2.5419*U51</f>
        <v>-4.3932984375000004</v>
      </c>
      <c r="W51">
        <f>M51-(SUM(S51:T51)*V51)</f>
        <v>28.661208999999872</v>
      </c>
      <c r="X51">
        <f>W51/(2*P51*R51)</f>
        <v>3.1630191737436364E-2</v>
      </c>
      <c r="Y51">
        <f>X51*16.02</f>
        <v>0.50671567163373055</v>
      </c>
      <c r="AA51">
        <f>N51/SUM(S51:T51)</f>
        <v>20.691367822222222</v>
      </c>
      <c r="AB51" s="10"/>
      <c r="AC51" s="10" t="s">
        <v>145</v>
      </c>
      <c r="AD51">
        <v>600</v>
      </c>
      <c r="AE51" s="10">
        <v>800</v>
      </c>
      <c r="AF51" s="10">
        <v>1000</v>
      </c>
      <c r="AG51" s="10">
        <v>1200</v>
      </c>
      <c r="AH51" s="10"/>
      <c r="AI51" s="10"/>
      <c r="AJ51" s="10"/>
    </row>
    <row r="52" spans="1:36" x14ac:dyDescent="0.2">
      <c r="B52">
        <v>-8858.1331829999999</v>
      </c>
      <c r="C52">
        <v>41090.710908000001</v>
      </c>
      <c r="D52">
        <f t="shared" si="11"/>
        <v>-4.4290665914999998</v>
      </c>
      <c r="E52">
        <f t="shared" si="12"/>
        <v>20.545355453999999</v>
      </c>
      <c r="F52">
        <f t="shared" si="13"/>
        <v>35.872150347175193</v>
      </c>
      <c r="G52">
        <f t="shared" si="14"/>
        <v>1.7936075173587595E-2</v>
      </c>
      <c r="H52">
        <f>233/2000</f>
        <v>0.11650000000000001</v>
      </c>
      <c r="L52">
        <v>743.93203100000005</v>
      </c>
      <c r="M52">
        <v>-12554.007157</v>
      </c>
      <c r="N52">
        <v>59859.640858999999</v>
      </c>
      <c r="O52">
        <v>-1.0295620000000001</v>
      </c>
      <c r="P52">
        <v>32.856436000000002</v>
      </c>
      <c r="Q52">
        <v>131.88018099999999</v>
      </c>
      <c r="R52">
        <v>13.814529</v>
      </c>
      <c r="S52">
        <v>2564</v>
      </c>
      <c r="T52">
        <v>316</v>
      </c>
      <c r="U52">
        <f>T52/(T52+S52)</f>
        <v>0.10972222222222222</v>
      </c>
      <c r="V52">
        <f>-4.0888-2.5419*U52</f>
        <v>-4.3677029166666665</v>
      </c>
      <c r="W52">
        <f>M52-(SUM(S52:T52)*V52)</f>
        <v>24.977242999999362</v>
      </c>
      <c r="X52">
        <f>W52/(2*P52*R52)</f>
        <v>2.7514268309161389E-2</v>
      </c>
      <c r="Y52">
        <f>X52*16.02</f>
        <v>0.44077857831276546</v>
      </c>
      <c r="AA52">
        <f>N52/SUM(S52:T52)</f>
        <v>20.784597520486109</v>
      </c>
      <c r="AB52" s="10"/>
      <c r="AC52" t="s">
        <v>17</v>
      </c>
      <c r="AD52" s="32">
        <v>2.0090192680101544E-2</v>
      </c>
      <c r="AE52" s="32">
        <v>9.7629594979178197E-3</v>
      </c>
      <c r="AF52" s="32">
        <v>3.78094066404107E-2</v>
      </c>
      <c r="AG52" s="32">
        <v>3.4639588700074393E-2</v>
      </c>
      <c r="AH52" s="10"/>
      <c r="AI52" s="10"/>
      <c r="AJ52" s="10"/>
    </row>
    <row r="53" spans="1:36" x14ac:dyDescent="0.2">
      <c r="B53">
        <v>-8842.6588339999998</v>
      </c>
      <c r="C53">
        <v>41113.121371000001</v>
      </c>
      <c r="D53">
        <f t="shared" si="11"/>
        <v>-4.4213294169999999</v>
      </c>
      <c r="E53">
        <f t="shared" si="12"/>
        <v>20.556560685499999</v>
      </c>
      <c r="F53">
        <f t="shared" si="13"/>
        <v>40.572111171257347</v>
      </c>
      <c r="G53">
        <f t="shared" si="14"/>
        <v>2.0286055585628675E-2</v>
      </c>
      <c r="H53">
        <f>229/2000</f>
        <v>0.1145</v>
      </c>
      <c r="L53">
        <v>743.65382499999998</v>
      </c>
      <c r="M53">
        <v>-12613.917936</v>
      </c>
      <c r="N53">
        <v>59643.592639000002</v>
      </c>
      <c r="O53">
        <v>-1.0452699999999999</v>
      </c>
      <c r="P53">
        <v>32.818936000000001</v>
      </c>
      <c r="Q53">
        <v>131.67529400000001</v>
      </c>
      <c r="R53">
        <v>13.801833</v>
      </c>
      <c r="S53">
        <v>2540</v>
      </c>
      <c r="T53">
        <v>340</v>
      </c>
      <c r="U53">
        <f>T53/(T53+S53)</f>
        <v>0.11805555555555555</v>
      </c>
      <c r="V53">
        <f>-4.0888-2.5419*U53</f>
        <v>-4.3888854166666667</v>
      </c>
      <c r="W53">
        <f>M53-(SUM(S53:T53)*V53)</f>
        <v>26.072063999999955</v>
      </c>
      <c r="X53">
        <f>W53/(2*P53*R53)</f>
        <v>2.8779560185286567E-2</v>
      </c>
      <c r="Y53">
        <f>X53*16.02</f>
        <v>0.46104855416829077</v>
      </c>
      <c r="AA53">
        <f>N53/SUM(S53:T53)</f>
        <v>20.709580777430556</v>
      </c>
      <c r="AB53" s="10"/>
      <c r="AC53" t="s">
        <v>27</v>
      </c>
      <c r="AD53" s="32">
        <v>5.2607803041447951E-2</v>
      </c>
      <c r="AE53" s="32">
        <v>2.8105185913893806E-2</v>
      </c>
      <c r="AF53" s="32">
        <v>3.2620386867400222E-2</v>
      </c>
      <c r="AG53" s="32">
        <v>5.448121536242178E-2</v>
      </c>
      <c r="AH53" s="10"/>
      <c r="AI53" s="10"/>
      <c r="AJ53" s="10"/>
    </row>
    <row r="54" spans="1:36" x14ac:dyDescent="0.2">
      <c r="B54">
        <v>-8847.7179820000001</v>
      </c>
      <c r="C54">
        <v>41079.761384999998</v>
      </c>
      <c r="D54">
        <f t="shared" si="11"/>
        <v>-4.4238589910000004</v>
      </c>
      <c r="E54">
        <f t="shared" si="12"/>
        <v>20.539880692499999</v>
      </c>
      <c r="F54">
        <f t="shared" si="13"/>
        <v>48.980948391155835</v>
      </c>
      <c r="G54">
        <f t="shared" si="14"/>
        <v>2.4490474195577917E-2</v>
      </c>
      <c r="H54">
        <f>234/2000</f>
        <v>0.11700000000000001</v>
      </c>
      <c r="L54">
        <v>743.91847900000005</v>
      </c>
      <c r="M54">
        <v>-12581.244721999999</v>
      </c>
      <c r="N54">
        <v>59753.523736000003</v>
      </c>
      <c r="O54">
        <v>-1.1417489999999999</v>
      </c>
      <c r="P54">
        <v>32.844437999999997</v>
      </c>
      <c r="Q54">
        <v>131.74626499999999</v>
      </c>
      <c r="R54">
        <v>13.809086000000001</v>
      </c>
      <c r="S54">
        <v>2552</v>
      </c>
      <c r="T54">
        <v>328</v>
      </c>
      <c r="U54">
        <f>T54/(T54+S54)</f>
        <v>0.11388888888888889</v>
      </c>
      <c r="V54">
        <f>-4.0888-2.5419*U54</f>
        <v>-4.3782941666666666</v>
      </c>
      <c r="W54">
        <f>M54-(SUM(S54:T54)*V54)</f>
        <v>28.242478000000119</v>
      </c>
      <c r="X54">
        <f>W54/(2*P54*R54)</f>
        <v>3.113479668648568E-2</v>
      </c>
      <c r="Y54">
        <f>X54*16.02</f>
        <v>0.49877944291750059</v>
      </c>
      <c r="AA54">
        <f>N54/SUM(S54:T54)</f>
        <v>20.747751297222223</v>
      </c>
      <c r="AB54" s="10"/>
      <c r="AC54" t="s">
        <v>28</v>
      </c>
      <c r="AD54" s="32">
        <v>2.99048976544046E-2</v>
      </c>
      <c r="AE54" s="32">
        <v>3.7031621518631132E-2</v>
      </c>
      <c r="AF54" s="32">
        <v>3.4712462141539682E-2</v>
      </c>
      <c r="AG54" s="32">
        <v>7.4298362728311335E-2</v>
      </c>
      <c r="AH54" s="10"/>
      <c r="AI54" s="10"/>
      <c r="AJ54" s="10"/>
    </row>
    <row r="55" spans="1:36" x14ac:dyDescent="0.2">
      <c r="L55">
        <v>743.919713</v>
      </c>
      <c r="M55">
        <v>-12576.446238</v>
      </c>
      <c r="N55">
        <v>59787.592657000001</v>
      </c>
      <c r="O55">
        <v>-0.83471200000000001</v>
      </c>
      <c r="P55">
        <v>32.848022999999998</v>
      </c>
      <c r="Q55">
        <v>131.89159699999999</v>
      </c>
      <c r="R55">
        <v>13.800243</v>
      </c>
      <c r="S55">
        <v>2554</v>
      </c>
      <c r="T55">
        <v>326</v>
      </c>
      <c r="U55">
        <f>T55/(T55+S55)</f>
        <v>0.11319444444444444</v>
      </c>
      <c r="V55">
        <f>-4.0888-2.5419*U55</f>
        <v>-4.3765289583333331</v>
      </c>
      <c r="W55">
        <f>M55-(SUM(S55:T55)*V55)</f>
        <v>27.957161999998789</v>
      </c>
      <c r="X55">
        <f>W55/(2*P55*R55)</f>
        <v>3.0836644747974162E-2</v>
      </c>
      <c r="Y55">
        <f>X55*16.02</f>
        <v>0.49400304886254603</v>
      </c>
      <c r="AA55">
        <f>N55/SUM(S55:T55)</f>
        <v>20.759580783680555</v>
      </c>
      <c r="AB55" s="10"/>
      <c r="AC55" s="10" t="s">
        <v>55</v>
      </c>
      <c r="AD55" s="32">
        <v>1.3302842696443936E-2</v>
      </c>
      <c r="AE55" s="32">
        <v>1.8447718261649149E-2</v>
      </c>
      <c r="AF55" s="32">
        <v>3.4949369057928045E-2</v>
      </c>
      <c r="AG55" s="32">
        <v>3.3072690252072476E-2</v>
      </c>
      <c r="AH55" s="10"/>
      <c r="AI55" s="10"/>
      <c r="AJ55" s="10"/>
    </row>
    <row r="56" spans="1:36" x14ac:dyDescent="0.2">
      <c r="A56">
        <v>600</v>
      </c>
      <c r="B56" t="s">
        <v>5</v>
      </c>
      <c r="C56" t="s">
        <v>7</v>
      </c>
      <c r="D56" t="s">
        <v>6</v>
      </c>
      <c r="E56" t="s">
        <v>8</v>
      </c>
      <c r="F56" t="s">
        <v>12</v>
      </c>
      <c r="G56" t="s">
        <v>14</v>
      </c>
      <c r="H56" t="s">
        <v>13</v>
      </c>
      <c r="Y56" s="1">
        <f>AVERAGE(Y51:Y55)</f>
        <v>0.48026505917896667</v>
      </c>
      <c r="Z56">
        <f>STDEV(Y51:Y55)</f>
        <v>2.8105185913893806E-2</v>
      </c>
      <c r="AA56" s="10"/>
      <c r="AB56" s="10"/>
      <c r="AC56" s="39" t="s">
        <v>110</v>
      </c>
      <c r="AD56" s="32">
        <v>2.5795992584672175E-2</v>
      </c>
      <c r="AE56" s="32">
        <v>2.1453509237122248E-2</v>
      </c>
      <c r="AF56" s="32">
        <v>4.0716628996412797E-2</v>
      </c>
      <c r="AG56" s="32">
        <v>4.2926166531292206E-2</v>
      </c>
      <c r="AH56" s="10"/>
      <c r="AI56" s="10"/>
      <c r="AJ56" s="10"/>
    </row>
    <row r="57" spans="1:36" x14ac:dyDescent="0.2">
      <c r="B57">
        <v>-8793.958122</v>
      </c>
      <c r="C57">
        <v>41256.367179000001</v>
      </c>
      <c r="D57">
        <f t="shared" ref="D57:E64" si="15">B57/2000</f>
        <v>-4.3969790609999997</v>
      </c>
      <c r="E57">
        <f t="shared" si="15"/>
        <v>20.628183589500001</v>
      </c>
      <c r="F57">
        <f t="shared" ref="F57:F64" si="16">B57-2000*(H57*$F$3+(1-H57)*E$3)</f>
        <v>44.128658722755063</v>
      </c>
      <c r="G57">
        <f t="shared" ref="G57:G64" si="17">F57/2000</f>
        <v>2.2064329361377533E-2</v>
      </c>
      <c r="H57">
        <f>222/2000</f>
        <v>0.111</v>
      </c>
      <c r="J57" t="s">
        <v>172</v>
      </c>
      <c r="K57">
        <v>100000</v>
      </c>
      <c r="L57">
        <v>743.75230699999997</v>
      </c>
      <c r="M57">
        <v>-16170.577353999999</v>
      </c>
      <c r="N57">
        <v>76017.736359999995</v>
      </c>
      <c r="O57">
        <v>-1.0706709999999999</v>
      </c>
      <c r="P57">
        <v>26.308726</v>
      </c>
      <c r="Q57">
        <v>209.240725</v>
      </c>
      <c r="R57">
        <v>13.809246</v>
      </c>
      <c r="S57">
        <v>3228</v>
      </c>
      <c r="T57">
        <v>452</v>
      </c>
      <c r="U57">
        <f>T57/(T57+S57)</f>
        <v>0.12282608695652174</v>
      </c>
      <c r="V57">
        <f>-4.0888-2.5419*U57</f>
        <v>-4.4010116304347822</v>
      </c>
      <c r="W57">
        <f>M57-(SUM(S57:T57)*V57)</f>
        <v>25.145445999998628</v>
      </c>
      <c r="X57">
        <f>W57/(2*P57*R57)</f>
        <v>3.4606650202282506E-2</v>
      </c>
      <c r="Y57">
        <f>X57*16.02</f>
        <v>0.55439853624056568</v>
      </c>
      <c r="AA57">
        <f>N57/SUM(S57:T57)</f>
        <v>20.656993576086954</v>
      </c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x14ac:dyDescent="0.2">
      <c r="B58">
        <v>-8803.3754769999996</v>
      </c>
      <c r="C58">
        <v>41244.329120000002</v>
      </c>
      <c r="D58">
        <f t="shared" si="15"/>
        <v>-4.4016877384999997</v>
      </c>
      <c r="E58">
        <f t="shared" si="15"/>
        <v>20.622164560000002</v>
      </c>
      <c r="F58">
        <f t="shared" si="16"/>
        <v>45.482744874516357</v>
      </c>
      <c r="G58">
        <f t="shared" si="17"/>
        <v>2.2741372437258177E-2</v>
      </c>
      <c r="H58">
        <f>226/2000</f>
        <v>0.113</v>
      </c>
      <c r="K58">
        <v>100000</v>
      </c>
      <c r="L58">
        <v>743.69041500000003</v>
      </c>
      <c r="M58">
        <v>-16175.519237</v>
      </c>
      <c r="N58">
        <v>75968.061587999997</v>
      </c>
      <c r="O58">
        <v>-0.96965800000000002</v>
      </c>
      <c r="P58">
        <v>26.323191000000001</v>
      </c>
      <c r="Q58">
        <v>209.003683</v>
      </c>
      <c r="R58">
        <v>13.808275</v>
      </c>
      <c r="S58">
        <v>3226</v>
      </c>
      <c r="T58">
        <v>454</v>
      </c>
      <c r="U58">
        <f>T58/(T58+S58)</f>
        <v>0.1233695652173913</v>
      </c>
      <c r="V58">
        <f>-4.0888-2.5419*U58</f>
        <v>-4.4023930978260868</v>
      </c>
      <c r="W58">
        <f>M58-(SUM(S58:T58)*V58)</f>
        <v>25.287362999999459</v>
      </c>
      <c r="X58">
        <f>W58/(2*P58*R58)</f>
        <v>3.4785286489940496E-2</v>
      </c>
      <c r="Y58">
        <f>X58*16.02</f>
        <v>0.55726028956884677</v>
      </c>
      <c r="AA58">
        <f>N58/SUM(S58:T58)</f>
        <v>20.643494996739129</v>
      </c>
      <c r="AD58" s="32">
        <v>600</v>
      </c>
      <c r="AE58" s="32">
        <v>800</v>
      </c>
      <c r="AF58" s="32">
        <v>1000</v>
      </c>
      <c r="AG58" s="32">
        <v>1200</v>
      </c>
    </row>
    <row r="59" spans="1:36" x14ac:dyDescent="0.2">
      <c r="B59">
        <v>-8838.952029</v>
      </c>
      <c r="C59">
        <v>41100.295110999999</v>
      </c>
      <c r="D59">
        <f t="shared" si="15"/>
        <v>-4.4194760144999998</v>
      </c>
      <c r="E59">
        <f t="shared" si="15"/>
        <v>20.550147555500001</v>
      </c>
      <c r="F59">
        <f t="shared" si="16"/>
        <v>47.606236905678088</v>
      </c>
      <c r="G59">
        <f t="shared" si="17"/>
        <v>2.3803118452839046E-2</v>
      </c>
      <c r="H59">
        <f>240/2000</f>
        <v>0.12</v>
      </c>
      <c r="K59">
        <v>100000</v>
      </c>
      <c r="L59">
        <v>743.540841</v>
      </c>
      <c r="M59">
        <v>-16159.291660999999</v>
      </c>
      <c r="N59">
        <v>76053.295603999999</v>
      </c>
      <c r="O59">
        <v>-0.89415999999999995</v>
      </c>
      <c r="P59">
        <v>26.330174</v>
      </c>
      <c r="Q59">
        <v>209.03430700000001</v>
      </c>
      <c r="R59">
        <v>13.818087</v>
      </c>
      <c r="S59">
        <v>3232</v>
      </c>
      <c r="T59">
        <v>448</v>
      </c>
      <c r="U59">
        <f>T59/(T59+S59)</f>
        <v>0.12173913043478261</v>
      </c>
      <c r="V59">
        <f>-4.0888-2.5419*U59</f>
        <v>-4.3982486956521738</v>
      </c>
      <c r="W59">
        <f>M59-(SUM(S59:T59)*V59)</f>
        <v>26.263538999999582</v>
      </c>
      <c r="X59">
        <f>W59/(2*P59*R59)</f>
        <v>3.6092885119932999E-2</v>
      </c>
      <c r="Y59">
        <f>X59*16.02</f>
        <v>0.57820801962132662</v>
      </c>
      <c r="AA59">
        <f>N59/SUM(S59:T59)</f>
        <v>20.666656414130433</v>
      </c>
      <c r="AD59" s="16">
        <v>0.41757721597053088</v>
      </c>
      <c r="AE59" s="16">
        <v>0.44217721979257896</v>
      </c>
      <c r="AF59" s="16">
        <v>0.49647213784709382</v>
      </c>
      <c r="AG59" s="16">
        <v>0.53984791829694267</v>
      </c>
    </row>
    <row r="60" spans="1:36" x14ac:dyDescent="0.2">
      <c r="B60">
        <v>-8867.3572100000001</v>
      </c>
      <c r="C60">
        <v>41007.652757999997</v>
      </c>
      <c r="D60">
        <f t="shared" si="15"/>
        <v>-4.4336786049999999</v>
      </c>
      <c r="E60">
        <f t="shared" si="15"/>
        <v>20.503826378999999</v>
      </c>
      <c r="F60">
        <f t="shared" si="16"/>
        <v>48.822519073024523</v>
      </c>
      <c r="G60">
        <f t="shared" si="17"/>
        <v>2.4411259536512263E-2</v>
      </c>
      <c r="H60">
        <f>251/2000</f>
        <v>0.1255</v>
      </c>
      <c r="K60">
        <v>100000</v>
      </c>
      <c r="L60">
        <v>743.87907099999995</v>
      </c>
      <c r="M60">
        <v>-16060.280720000001</v>
      </c>
      <c r="N60">
        <v>76370.903963000004</v>
      </c>
      <c r="O60">
        <v>-0.97815200000000002</v>
      </c>
      <c r="P60">
        <v>26.356380000000001</v>
      </c>
      <c r="Q60">
        <v>209.310688</v>
      </c>
      <c r="R60">
        <v>13.8437</v>
      </c>
      <c r="S60">
        <v>3271</v>
      </c>
      <c r="T60">
        <v>409</v>
      </c>
      <c r="U60">
        <f>T60/(T60+S60)</f>
        <v>0.11114130434782608</v>
      </c>
      <c r="V60">
        <f>-4.0888-2.5419*U60</f>
        <v>-4.3713100815217389</v>
      </c>
      <c r="W60">
        <f>M60-(SUM(S60:T60)*V60)</f>
        <v>26.140379999998913</v>
      </c>
      <c r="X60">
        <f>W60/(2*P60*R60)</f>
        <v>3.5821515954901018E-2</v>
      </c>
      <c r="Y60">
        <f>X60*16.02</f>
        <v>0.57386068559751424</v>
      </c>
      <c r="AA60">
        <f>N60/SUM(S60:T60)</f>
        <v>20.752963033423914</v>
      </c>
      <c r="AD60" s="16">
        <v>0.41252706842831166</v>
      </c>
      <c r="AE60" s="16">
        <v>0.47889206470000156</v>
      </c>
      <c r="AF60" s="16">
        <v>0.52276385637058786</v>
      </c>
      <c r="AG60" s="16">
        <v>0.58088976378997814</v>
      </c>
    </row>
    <row r="61" spans="1:36" x14ac:dyDescent="0.2">
      <c r="B61">
        <v>-8800.5349189999997</v>
      </c>
      <c r="C61">
        <v>41234.266503999999</v>
      </c>
      <c r="D61">
        <f t="shared" si="15"/>
        <v>-4.4002674595000002</v>
      </c>
      <c r="E61">
        <f t="shared" si="15"/>
        <v>20.617133251999999</v>
      </c>
      <c r="F61">
        <f t="shared" si="16"/>
        <v>45.630442586574645</v>
      </c>
      <c r="G61">
        <f t="shared" si="17"/>
        <v>2.2815221293287322E-2</v>
      </c>
      <c r="H61">
        <f>225/2000</f>
        <v>0.1125</v>
      </c>
      <c r="K61">
        <v>100000</v>
      </c>
      <c r="L61">
        <v>743.71369200000004</v>
      </c>
      <c r="M61">
        <v>-16099.919925</v>
      </c>
      <c r="N61">
        <v>76232.011108000006</v>
      </c>
      <c r="O61">
        <v>-0.92745500000000003</v>
      </c>
      <c r="P61">
        <v>26.351361000000001</v>
      </c>
      <c r="Q61">
        <v>209.29751200000001</v>
      </c>
      <c r="R61">
        <v>13.822018999999999</v>
      </c>
      <c r="S61">
        <v>3256</v>
      </c>
      <c r="T61">
        <v>424</v>
      </c>
      <c r="U61">
        <f>T61/(T61+S61)</f>
        <v>0.11521739130434783</v>
      </c>
      <c r="V61">
        <f>-4.0888-2.5419*U61</f>
        <v>-4.3816710869565219</v>
      </c>
      <c r="W61">
        <f>M61-(SUM(S61:T61)*V61)</f>
        <v>24.629675000000134</v>
      </c>
      <c r="X61">
        <f>W61/(2*P61*R61)</f>
        <v>3.3810698983726101E-2</v>
      </c>
      <c r="Y61">
        <f>X61*16.02</f>
        <v>0.54164739771929216</v>
      </c>
      <c r="AA61">
        <f>N61/SUM(S61:T61)</f>
        <v>20.71522040978261</v>
      </c>
      <c r="AD61" s="16">
        <v>0.44679845600478929</v>
      </c>
      <c r="AE61" s="16">
        <v>0.50353216159751357</v>
      </c>
      <c r="AF61" s="16">
        <v>0.52689102171577618</v>
      </c>
      <c r="AG61" s="16">
        <v>0.63222793456718152</v>
      </c>
    </row>
    <row r="62" spans="1:36" x14ac:dyDescent="0.2">
      <c r="B62">
        <v>-8804.7169849999991</v>
      </c>
      <c r="C62">
        <v>41225.033017000002</v>
      </c>
      <c r="D62">
        <f t="shared" si="15"/>
        <v>-4.4023584924999994</v>
      </c>
      <c r="E62">
        <f t="shared" si="15"/>
        <v>20.612516508500001</v>
      </c>
      <c r="F62">
        <f t="shared" si="16"/>
        <v>46.834097162456601</v>
      </c>
      <c r="G62">
        <f t="shared" si="17"/>
        <v>2.3417048581228301E-2</v>
      </c>
      <c r="H62">
        <f>227/2000</f>
        <v>0.1135</v>
      </c>
      <c r="Y62" s="1">
        <f>AVERAGE(Y57:Y61)</f>
        <v>0.56107498574950898</v>
      </c>
      <c r="Z62">
        <f>STDEV(Y57:Y61)</f>
        <v>1.4946345974218785E-2</v>
      </c>
      <c r="AA62" s="10"/>
      <c r="AC62" s="43"/>
      <c r="AD62" s="16">
        <v>0.47870864165250693</v>
      </c>
      <c r="AE62" s="16">
        <v>0.55689304572103215</v>
      </c>
      <c r="AF62" s="16">
        <v>0.60660898545499475</v>
      </c>
      <c r="AG62" s="16">
        <v>0.6636064023461985</v>
      </c>
    </row>
    <row r="63" spans="1:36" x14ac:dyDescent="0.2">
      <c r="B63">
        <v>-8928.7479829999993</v>
      </c>
      <c r="C63">
        <v>40818.187515999998</v>
      </c>
      <c r="D63">
        <f t="shared" si="15"/>
        <v>-4.4643739914999996</v>
      </c>
      <c r="E63">
        <f t="shared" si="15"/>
        <v>20.409093757999997</v>
      </c>
      <c r="F63">
        <f t="shared" si="16"/>
        <v>52.060392983592465</v>
      </c>
      <c r="G63">
        <f t="shared" si="17"/>
        <v>2.6030196491796231E-2</v>
      </c>
      <c r="H63">
        <f>275/2000</f>
        <v>0.13750000000000001</v>
      </c>
      <c r="J63" t="s">
        <v>17</v>
      </c>
      <c r="L63">
        <v>694.13951299999997</v>
      </c>
      <c r="M63">
        <v>-16551.974407000002</v>
      </c>
      <c r="N63">
        <v>78082.220870999998</v>
      </c>
      <c r="O63">
        <v>-0.79499799999999998</v>
      </c>
      <c r="P63">
        <v>30.952258</v>
      </c>
      <c r="Q63">
        <v>91.415237000000005</v>
      </c>
      <c r="R63">
        <v>27.595776000000001</v>
      </c>
      <c r="S63">
        <v>3317</v>
      </c>
      <c r="T63">
        <v>459</v>
      </c>
      <c r="U63">
        <f>T63/(T63+S63)</f>
        <v>0.1215572033898305</v>
      </c>
      <c r="V63">
        <f>-4.0888-2.5419*U63</f>
        <v>-4.3977862552966105</v>
      </c>
      <c r="W63">
        <f>M63-(SUM(S63:T63)*V63)</f>
        <v>54.066492999998445</v>
      </c>
      <c r="X63">
        <f>W63/(2*P63*R63)</f>
        <v>3.1649237888981212E-2</v>
      </c>
      <c r="Y63">
        <f>X63*16.02</f>
        <v>0.50702079098147901</v>
      </c>
      <c r="AA63">
        <f>N63/SUM(S63:T63)</f>
        <v>20.6785542560911</v>
      </c>
      <c r="AC63" s="43"/>
      <c r="AD63" s="16">
        <v>0.40709714188681073</v>
      </c>
      <c r="AE63" s="16">
        <v>0.48026505917896667</v>
      </c>
      <c r="AF63" s="16">
        <v>0.53620589916500738</v>
      </c>
      <c r="AG63" s="16">
        <v>0.63282250818263464</v>
      </c>
    </row>
    <row r="64" spans="1:36" x14ac:dyDescent="0.2">
      <c r="B64">
        <v>-8821.1007869999994</v>
      </c>
      <c r="C64">
        <v>41167.380975</v>
      </c>
      <c r="D64">
        <f t="shared" si="15"/>
        <v>-4.4105503934999994</v>
      </c>
      <c r="E64">
        <f t="shared" si="15"/>
        <v>20.5836904875</v>
      </c>
      <c r="F64">
        <f t="shared" si="16"/>
        <v>46.607456890096728</v>
      </c>
      <c r="G64">
        <f t="shared" si="17"/>
        <v>2.3303728445048365E-2</v>
      </c>
      <c r="H64">
        <f>233/2000</f>
        <v>0.11650000000000001</v>
      </c>
      <c r="L64">
        <v>694.10395600000004</v>
      </c>
      <c r="M64">
        <v>-16473.569823000002</v>
      </c>
      <c r="N64">
        <v>78354.609318999996</v>
      </c>
      <c r="O64">
        <v>-0.69489599999999996</v>
      </c>
      <c r="P64">
        <v>30.988703000000001</v>
      </c>
      <c r="Q64">
        <v>91.414362999999994</v>
      </c>
      <c r="R64">
        <v>27.659728000000001</v>
      </c>
      <c r="S64">
        <v>3348</v>
      </c>
      <c r="T64">
        <v>428</v>
      </c>
      <c r="U64">
        <f>T64/(T64+S64)</f>
        <v>0.11334745762711865</v>
      </c>
      <c r="V64">
        <f>-4.0888-2.5419*U64</f>
        <v>-4.376917902542373</v>
      </c>
      <c r="W64">
        <f>M64-(SUM(S64:T64)*V64)</f>
        <v>53.672177000000374</v>
      </c>
      <c r="X64">
        <f>W64/(2*P64*R64)</f>
        <v>3.130890729822406E-2</v>
      </c>
      <c r="Y64">
        <f>X64*16.02</f>
        <v>0.50156869491754941</v>
      </c>
      <c r="AA64">
        <f>N64/SUM(S64:T64)</f>
        <v>20.75069102727754</v>
      </c>
      <c r="AC64" s="43"/>
      <c r="AD64" s="16">
        <v>0.53091052496982605</v>
      </c>
      <c r="AE64" s="16">
        <v>0.56107498574950898</v>
      </c>
      <c r="AF64" s="16">
        <v>0.63649062215315966</v>
      </c>
      <c r="AG64" s="16">
        <v>0.68395102978132649</v>
      </c>
    </row>
    <row r="65" spans="1:42" x14ac:dyDescent="0.2">
      <c r="B65">
        <v>-8811.1776179999997</v>
      </c>
      <c r="C65">
        <v>41214.295649</v>
      </c>
      <c r="D65">
        <f>B65/2000</f>
        <v>-4.4055888090000002</v>
      </c>
      <c r="E65">
        <f>C65/2000</f>
        <v>20.6071478245</v>
      </c>
      <c r="F65">
        <f>B65-2000*(H65*$F$3+(1-H65)*E$3)</f>
        <v>45.759184738335534</v>
      </c>
      <c r="G65">
        <f>F65/2000</f>
        <v>2.2879592369167766E-2</v>
      </c>
      <c r="H65">
        <f>229/2000</f>
        <v>0.1145</v>
      </c>
      <c r="L65">
        <v>694.11813800000004</v>
      </c>
      <c r="M65">
        <v>-16526.398496999998</v>
      </c>
      <c r="N65">
        <v>78173.970186999999</v>
      </c>
      <c r="O65">
        <v>-0.75697599999999998</v>
      </c>
      <c r="P65">
        <v>30.964604999999999</v>
      </c>
      <c r="Q65">
        <v>91.385185000000007</v>
      </c>
      <c r="R65">
        <v>27.626259999999998</v>
      </c>
      <c r="S65">
        <v>3327</v>
      </c>
      <c r="T65">
        <v>449</v>
      </c>
      <c r="U65">
        <f>T65/(T65+S65)</f>
        <v>0.11890889830508475</v>
      </c>
      <c r="V65">
        <f>-4.0888-2.5419*U65</f>
        <v>-4.3910545286016953</v>
      </c>
      <c r="W65">
        <f>M65-(SUM(S65:T65)*V65)</f>
        <v>54.2234030000036</v>
      </c>
      <c r="X65">
        <f>W65/(2*P65*R65)</f>
        <v>3.1693422134665382E-2</v>
      </c>
      <c r="Y65">
        <f>X65*16.02</f>
        <v>0.50772862259733942</v>
      </c>
      <c r="AA65">
        <f>N65/SUM(S65:T65)</f>
        <v>20.702852274099577</v>
      </c>
      <c r="AC65" s="41"/>
      <c r="AD65" s="16">
        <v>0.42028864761672791</v>
      </c>
      <c r="AE65" s="16">
        <v>0.49852866337781815</v>
      </c>
      <c r="AF65" s="16">
        <v>0.57445493857159113</v>
      </c>
      <c r="AG65" s="16">
        <v>0.69308110900649167</v>
      </c>
    </row>
    <row r="66" spans="1:42" x14ac:dyDescent="0.2">
      <c r="B66">
        <v>-8822.3878000000004</v>
      </c>
      <c r="C66">
        <v>41180.512201999998</v>
      </c>
      <c r="D66">
        <f>B66/2000</f>
        <v>-4.4111938999999998</v>
      </c>
      <c r="E66">
        <f>C66/2000</f>
        <v>20.590256100999998</v>
      </c>
      <c r="F66">
        <f>B66-2000*(H66*$F$3+(1-H66)*E$3)</f>
        <v>48.013304178037288</v>
      </c>
      <c r="G66">
        <f>F66/2000</f>
        <v>2.4006652089018643E-2</v>
      </c>
      <c r="H66">
        <f>234/2000</f>
        <v>0.11700000000000001</v>
      </c>
      <c r="L66">
        <v>693.88961900000004</v>
      </c>
      <c r="M66">
        <v>-16490.392260000001</v>
      </c>
      <c r="N66">
        <v>78292.412811999995</v>
      </c>
      <c r="O66">
        <v>-0.76766999999999996</v>
      </c>
      <c r="P66">
        <v>30.973914000000001</v>
      </c>
      <c r="Q66">
        <v>91.502173999999997</v>
      </c>
      <c r="R66">
        <v>27.624442999999999</v>
      </c>
      <c r="S66">
        <v>3342</v>
      </c>
      <c r="T66">
        <v>434</v>
      </c>
      <c r="U66">
        <f>T66/(T66+S66)</f>
        <v>0.1149364406779661</v>
      </c>
      <c r="V66">
        <f>-4.0888-2.5419*U66</f>
        <v>-4.3809569385593221</v>
      </c>
      <c r="W66">
        <f>M66-(SUM(S66:T66)*V66)</f>
        <v>52.10113999999885</v>
      </c>
      <c r="X66">
        <f>W66/(2*P66*R66)</f>
        <v>3.0445815564674024E-2</v>
      </c>
      <c r="Y66">
        <f>X66*16.02</f>
        <v>0.48774196534607783</v>
      </c>
      <c r="AA66">
        <f>N66/SUM(S66:T66)</f>
        <v>20.734219494703389</v>
      </c>
      <c r="AC66" s="41"/>
      <c r="AD66" s="16">
        <v>0.55660433971734258</v>
      </c>
      <c r="AE66" s="16">
        <v>0.59231518828714502</v>
      </c>
      <c r="AF66" s="16">
        <v>0.64970251430203241</v>
      </c>
      <c r="AG66" s="16">
        <v>0.73373704898045811</v>
      </c>
    </row>
    <row r="67" spans="1:42" x14ac:dyDescent="0.2">
      <c r="G67">
        <f>AVERAGE(G57:G66)</f>
        <v>2.3547251905753359E-2</v>
      </c>
      <c r="L67">
        <v>694.14800300000002</v>
      </c>
      <c r="M67">
        <v>-16474.961819</v>
      </c>
      <c r="N67">
        <v>78357.935503999994</v>
      </c>
      <c r="O67">
        <v>-0.78545500000000001</v>
      </c>
      <c r="P67">
        <v>31.024923000000001</v>
      </c>
      <c r="Q67">
        <v>91.422493000000003</v>
      </c>
      <c r="R67">
        <v>27.626147</v>
      </c>
      <c r="S67">
        <v>3348</v>
      </c>
      <c r="T67">
        <v>428</v>
      </c>
      <c r="U67">
        <f>T67/(T67+S67)</f>
        <v>0.11334745762711865</v>
      </c>
      <c r="V67">
        <f>-4.0888-2.5419*U67</f>
        <v>-4.376917902542373</v>
      </c>
      <c r="W67">
        <f>M67-(SUM(S67:T67)*V67)</f>
        <v>52.280181000001903</v>
      </c>
      <c r="X67">
        <f>W67/(2*P67*R67)</f>
        <v>3.0498329778192577E-2</v>
      </c>
      <c r="Y67">
        <f>X67*16.02</f>
        <v>0.48858324304664508</v>
      </c>
      <c r="AA67">
        <f>N67/SUM(S67:T67)</f>
        <v>20.75157190254237</v>
      </c>
      <c r="AC67" s="41"/>
      <c r="AD67" s="16">
        <v>0.45241671372102588</v>
      </c>
      <c r="AE67" s="16">
        <v>0.51955794156314306</v>
      </c>
      <c r="AF67" s="16">
        <v>0.57243176149399089</v>
      </c>
      <c r="AG67" s="16">
        <v>0.65489296619594961</v>
      </c>
    </row>
    <row r="68" spans="1:42" x14ac:dyDescent="0.2">
      <c r="Y68" s="1">
        <f>AVERAGE(Y63:Y67)</f>
        <v>0.49852866337781815</v>
      </c>
      <c r="Z68">
        <f>STDEV(Y63:Y67)</f>
        <v>9.7629594979178197E-3</v>
      </c>
      <c r="AA68" s="10"/>
      <c r="AC68" s="41"/>
      <c r="AD68" s="16">
        <v>0.45675368213991324</v>
      </c>
      <c r="AE68" s="16">
        <v>0.52162970870728365</v>
      </c>
      <c r="AF68" s="16">
        <v>0.58096733552296231</v>
      </c>
      <c r="AG68" s="16">
        <v>0.59237335532969071</v>
      </c>
    </row>
    <row r="69" spans="1:42" x14ac:dyDescent="0.2">
      <c r="A69">
        <v>300</v>
      </c>
      <c r="B69" t="s">
        <v>5</v>
      </c>
      <c r="C69" t="s">
        <v>7</v>
      </c>
      <c r="D69" t="s">
        <v>6</v>
      </c>
      <c r="E69" t="s">
        <v>8</v>
      </c>
      <c r="F69" t="s">
        <v>12</v>
      </c>
      <c r="G69" t="s">
        <v>14</v>
      </c>
      <c r="H69" t="s">
        <v>13</v>
      </c>
      <c r="J69" t="s">
        <v>173</v>
      </c>
      <c r="K69">
        <v>100000</v>
      </c>
      <c r="L69">
        <v>743.60124299999995</v>
      </c>
      <c r="M69">
        <v>-28449.831418000002</v>
      </c>
      <c r="N69">
        <v>134197.744504</v>
      </c>
      <c r="O69">
        <v>-0.48333100000000001</v>
      </c>
      <c r="P69">
        <v>40.311525000000003</v>
      </c>
      <c r="Q69">
        <v>241.019294</v>
      </c>
      <c r="R69">
        <v>13.812262</v>
      </c>
      <c r="S69">
        <v>5716</v>
      </c>
      <c r="T69">
        <v>772</v>
      </c>
      <c r="U69">
        <f>T69/(T69+S69)</f>
        <v>0.1189889025893958</v>
      </c>
      <c r="V69">
        <f>-4.0888-2.5419*U69</f>
        <v>-4.3912578914919855</v>
      </c>
      <c r="W69">
        <f>M69-(SUM(S69:T69)*V69)</f>
        <v>40.649782000000414</v>
      </c>
      <c r="X69">
        <f>W69/(2*P69*R69)</f>
        <v>3.6503473300200651E-2</v>
      </c>
      <c r="Y69">
        <f>X69*16.02</f>
        <v>0.58478564226921437</v>
      </c>
      <c r="AA69">
        <f>N69/SUM(S69:T69)</f>
        <v>20.683992679408139</v>
      </c>
      <c r="AC69" s="41" t="s">
        <v>147</v>
      </c>
      <c r="AD69">
        <f>AVERAGE(AD59:AD68)</f>
        <v>0.4579682432107785</v>
      </c>
      <c r="AE69">
        <f>AVERAGE(AE59:AE68)</f>
        <v>0.51548660386749912</v>
      </c>
      <c r="AF69">
        <f>AVERAGE(AF59:AF68)</f>
        <v>0.57029890725971977</v>
      </c>
      <c r="AG69">
        <f>AVERAGE(AG59:AG68)</f>
        <v>0.64074300364768511</v>
      </c>
    </row>
    <row r="70" spans="1:42" x14ac:dyDescent="0.2">
      <c r="D70">
        <f t="shared" ref="D70:D77" si="18">B70/2000</f>
        <v>0</v>
      </c>
      <c r="E70">
        <f t="shared" ref="E70:E77" si="19">C70/2000</f>
        <v>0</v>
      </c>
      <c r="F70">
        <f t="shared" ref="F70:F77" si="20">B70-2000*(H70*$F$3+(1-H70)*E$3)</f>
        <v>8838.0867807227551</v>
      </c>
      <c r="G70">
        <f t="shared" ref="G70:G77" si="21">F70/2000</f>
        <v>4.4190433903613773</v>
      </c>
      <c r="H70">
        <f>222/2000</f>
        <v>0.111</v>
      </c>
      <c r="K70">
        <v>100000</v>
      </c>
      <c r="L70">
        <v>743.60553200000004</v>
      </c>
      <c r="M70">
        <v>-28429.525552999999</v>
      </c>
      <c r="N70">
        <v>134235.133546</v>
      </c>
      <c r="O70">
        <v>-0.51954599999999995</v>
      </c>
      <c r="P70">
        <v>40.355249999999998</v>
      </c>
      <c r="Q70">
        <v>241.08198999999999</v>
      </c>
      <c r="R70">
        <v>13.797548000000001</v>
      </c>
      <c r="S70">
        <v>5724</v>
      </c>
      <c r="T70">
        <v>764</v>
      </c>
      <c r="U70">
        <f>T70/(T70+S70)</f>
        <v>0.11775585696670776</v>
      </c>
      <c r="V70">
        <f>-4.0888-2.5419*U70</f>
        <v>-4.3881236128236747</v>
      </c>
      <c r="W70">
        <f>M70-(SUM(S70:T70)*V70)</f>
        <v>40.62044700000115</v>
      </c>
      <c r="X70">
        <f>W70/(2*P70*R70)</f>
        <v>3.6476465286478667E-2</v>
      </c>
      <c r="Y70">
        <f>X70*16.02</f>
        <v>0.58435297388938823</v>
      </c>
      <c r="AA70">
        <f>N70/SUM(S70:T70)</f>
        <v>20.689755478729964</v>
      </c>
      <c r="AC70" s="41"/>
    </row>
    <row r="71" spans="1:42" x14ac:dyDescent="0.2">
      <c r="D71">
        <f t="shared" si="18"/>
        <v>0</v>
      </c>
      <c r="E71">
        <f t="shared" si="19"/>
        <v>0</v>
      </c>
      <c r="F71">
        <f t="shared" si="20"/>
        <v>8848.8582218745159</v>
      </c>
      <c r="G71">
        <f t="shared" si="21"/>
        <v>4.4244291109372575</v>
      </c>
      <c r="H71">
        <f>226/2000</f>
        <v>0.113</v>
      </c>
      <c r="K71">
        <v>100000</v>
      </c>
      <c r="L71">
        <v>743.71061399999996</v>
      </c>
      <c r="M71">
        <v>-28487.021635000001</v>
      </c>
      <c r="N71">
        <v>134049.76258099999</v>
      </c>
      <c r="O71">
        <v>-0.60379700000000003</v>
      </c>
      <c r="P71">
        <v>40.326869000000002</v>
      </c>
      <c r="Q71">
        <v>240.875055</v>
      </c>
      <c r="R71">
        <v>13.800044</v>
      </c>
      <c r="S71">
        <v>5701</v>
      </c>
      <c r="T71">
        <v>787</v>
      </c>
      <c r="U71">
        <f>T71/(T71+S71)</f>
        <v>0.12130086313193589</v>
      </c>
      <c r="V71">
        <f>-4.0888-2.5419*U71</f>
        <v>-4.3971346639950681</v>
      </c>
      <c r="W71">
        <f>M71-(SUM(S71:T71)*V71)</f>
        <v>41.588064999999915</v>
      </c>
      <c r="X71">
        <f>W71/(2*P71*R71)</f>
        <v>3.7364892993709639E-2</v>
      </c>
      <c r="Y71">
        <f>X71*16.02</f>
        <v>0.59858558575922838</v>
      </c>
      <c r="AA71">
        <f>N71/SUM(S71:T71)</f>
        <v>20.661184121609121</v>
      </c>
    </row>
    <row r="72" spans="1:42" x14ac:dyDescent="0.2">
      <c r="D72">
        <f t="shared" si="18"/>
        <v>0</v>
      </c>
      <c r="E72">
        <f t="shared" si="19"/>
        <v>0</v>
      </c>
      <c r="F72">
        <f t="shared" si="20"/>
        <v>8886.5582659056781</v>
      </c>
      <c r="G72">
        <f t="shared" si="21"/>
        <v>4.4432791329528394</v>
      </c>
      <c r="H72">
        <f>240/2000</f>
        <v>0.12</v>
      </c>
      <c r="K72">
        <v>100000</v>
      </c>
      <c r="L72">
        <v>743.62301100000002</v>
      </c>
      <c r="M72">
        <v>-28393.593171</v>
      </c>
      <c r="N72">
        <v>134388.39044399999</v>
      </c>
      <c r="O72">
        <v>-0.57864000000000004</v>
      </c>
      <c r="P72">
        <v>40.355252</v>
      </c>
      <c r="Q72">
        <v>240.949119</v>
      </c>
      <c r="R72">
        <v>13.820919</v>
      </c>
      <c r="S72">
        <v>5738</v>
      </c>
      <c r="T72">
        <v>750</v>
      </c>
      <c r="U72">
        <f>T72/(T72+S72)</f>
        <v>0.11559802712700371</v>
      </c>
      <c r="V72">
        <f>-4.0888-2.5419*U72</f>
        <v>-4.3826386251541312</v>
      </c>
      <c r="W72">
        <f>M72-(SUM(S72:T72)*V72)</f>
        <v>40.966229000001476</v>
      </c>
      <c r="X72">
        <f>W72/(2*P72*R72)</f>
        <v>3.6724763470921011E-2</v>
      </c>
      <c r="Y72">
        <f>X72*16.02</f>
        <v>0.58833071080415456</v>
      </c>
      <c r="AA72">
        <f>N72/SUM(S72:T72)</f>
        <v>20.713377072133166</v>
      </c>
      <c r="AK72" t="s">
        <v>198</v>
      </c>
    </row>
    <row r="73" spans="1:42" x14ac:dyDescent="0.2">
      <c r="D73">
        <f t="shared" si="18"/>
        <v>0</v>
      </c>
      <c r="E73">
        <f t="shared" si="19"/>
        <v>0</v>
      </c>
      <c r="F73">
        <f t="shared" si="20"/>
        <v>8916.1797290730246</v>
      </c>
      <c r="G73">
        <f t="shared" si="21"/>
        <v>4.4580898645365119</v>
      </c>
      <c r="H73">
        <f>251/2000</f>
        <v>0.1255</v>
      </c>
      <c r="K73">
        <v>100000</v>
      </c>
      <c r="L73">
        <v>743.79774599999996</v>
      </c>
      <c r="M73">
        <v>-28499.228030999999</v>
      </c>
      <c r="N73">
        <v>134044.509574</v>
      </c>
      <c r="O73">
        <v>-0.40915499999999999</v>
      </c>
      <c r="P73">
        <v>40.360014999999997</v>
      </c>
      <c r="Q73">
        <v>240.744013</v>
      </c>
      <c r="R73">
        <v>13.795674999999999</v>
      </c>
      <c r="S73">
        <v>5696</v>
      </c>
      <c r="T73">
        <v>792</v>
      </c>
      <c r="U73">
        <f>T73/(T73+S73)</f>
        <v>0.1220715166461159</v>
      </c>
      <c r="V73">
        <f>-4.0888-2.5419*U73</f>
        <v>-4.3990935881627617</v>
      </c>
      <c r="W73">
        <f>M73-(SUM(S73:T73)*V73)</f>
        <v>42.091168999999354</v>
      </c>
      <c r="X73">
        <f>W73/(2*P73*R73)</f>
        <v>3.7797817023329586E-2</v>
      </c>
      <c r="Y73">
        <f>X73*16.02</f>
        <v>0.60552102871373992</v>
      </c>
      <c r="AA73">
        <f>N73/SUM(S73:T73)</f>
        <v>20.660374471948213</v>
      </c>
      <c r="AK73" t="s">
        <v>205</v>
      </c>
    </row>
    <row r="74" spans="1:42" x14ac:dyDescent="0.2">
      <c r="D74">
        <f t="shared" si="18"/>
        <v>0</v>
      </c>
      <c r="E74">
        <f t="shared" si="19"/>
        <v>0</v>
      </c>
      <c r="F74">
        <f t="shared" si="20"/>
        <v>8846.1653615865744</v>
      </c>
      <c r="G74">
        <f t="shared" si="21"/>
        <v>4.4230826807932875</v>
      </c>
      <c r="H74">
        <f>225/2000</f>
        <v>0.1125</v>
      </c>
      <c r="Y74" s="1">
        <f>AVERAGE(Y69:Y73)</f>
        <v>0.59231518828714502</v>
      </c>
      <c r="Z74">
        <f>STDEV(Y69:Y73)</f>
        <v>9.3498541164426241E-3</v>
      </c>
      <c r="AA74" s="10"/>
      <c r="AE74" t="s">
        <v>196</v>
      </c>
      <c r="AI74">
        <f>SUM(S96:T96)</f>
        <v>3904</v>
      </c>
    </row>
    <row r="75" spans="1:42" x14ac:dyDescent="0.2">
      <c r="D75">
        <f t="shared" si="18"/>
        <v>0</v>
      </c>
      <c r="E75">
        <f t="shared" si="19"/>
        <v>0</v>
      </c>
      <c r="F75">
        <f t="shared" si="20"/>
        <v>8851.5510821624557</v>
      </c>
      <c r="G75">
        <f t="shared" si="21"/>
        <v>4.4257755410812276</v>
      </c>
      <c r="H75">
        <f>227/2000</f>
        <v>0.1135</v>
      </c>
      <c r="J75" t="s">
        <v>174</v>
      </c>
      <c r="K75">
        <v>100000</v>
      </c>
      <c r="L75">
        <v>743.70309699999996</v>
      </c>
      <c r="M75">
        <v>-14478.275522</v>
      </c>
      <c r="N75">
        <v>68100.655400999996</v>
      </c>
      <c r="O75">
        <v>-0.85687400000000002</v>
      </c>
      <c r="P75">
        <v>24.922456</v>
      </c>
      <c r="Q75">
        <v>197.80716100000001</v>
      </c>
      <c r="R75">
        <v>13.814009</v>
      </c>
      <c r="S75">
        <v>2892</v>
      </c>
      <c r="T75">
        <v>404</v>
      </c>
      <c r="U75">
        <f>T75/(T75+S75)</f>
        <v>0.12257281553398058</v>
      </c>
      <c r="V75">
        <f>-4.0888-2.5419*U75</f>
        <v>-4.400367839805825</v>
      </c>
      <c r="W75">
        <f>M75-(SUM(S75:T75)*V75)</f>
        <v>25.33687800000007</v>
      </c>
      <c r="X75">
        <f>W75/(2*P75*R75)</f>
        <v>3.6797010103449664E-2</v>
      </c>
      <c r="Y75">
        <f>X75*16.02</f>
        <v>0.58948810185726364</v>
      </c>
      <c r="AA75">
        <f>N75/SUM(S75:T75)</f>
        <v>20.661606614381068</v>
      </c>
    </row>
    <row r="76" spans="1:42" x14ac:dyDescent="0.2">
      <c r="D76">
        <f t="shared" si="18"/>
        <v>0</v>
      </c>
      <c r="E76">
        <f t="shared" si="19"/>
        <v>0</v>
      </c>
      <c r="F76">
        <f t="shared" si="20"/>
        <v>8980.8083759835918</v>
      </c>
      <c r="G76">
        <f t="shared" si="21"/>
        <v>4.4904041879917962</v>
      </c>
      <c r="H76">
        <f>275/2000</f>
        <v>0.13750000000000001</v>
      </c>
      <c r="K76">
        <v>100000</v>
      </c>
      <c r="L76">
        <v>743.59468900000002</v>
      </c>
      <c r="M76">
        <v>-14419.725200000001</v>
      </c>
      <c r="N76">
        <v>68259.095379999999</v>
      </c>
      <c r="O76">
        <v>-1.0462849999999999</v>
      </c>
      <c r="P76">
        <v>24.964745000000001</v>
      </c>
      <c r="Q76">
        <v>198.155754</v>
      </c>
      <c r="R76">
        <v>13.79838</v>
      </c>
      <c r="S76">
        <v>2918</v>
      </c>
      <c r="T76">
        <v>378</v>
      </c>
      <c r="U76">
        <f>T76/(T76+S76)</f>
        <v>0.11468446601941748</v>
      </c>
      <c r="V76">
        <f>-4.0888-2.5419*U76</f>
        <v>-4.3803164441747571</v>
      </c>
      <c r="W76">
        <f>M76-(SUM(S76:T76)*V76)</f>
        <v>17.79779999999846</v>
      </c>
      <c r="X76">
        <f>W76/(2*P76*R76)</f>
        <v>2.5833371600704133E-2</v>
      </c>
      <c r="Y76">
        <f>X76*16.02</f>
        <v>0.41385061304328019</v>
      </c>
      <c r="AA76">
        <f>N76/SUM(S76:T76)</f>
        <v>20.709676996359224</v>
      </c>
      <c r="AF76" t="s">
        <v>194</v>
      </c>
      <c r="AG76" t="s">
        <v>195</v>
      </c>
    </row>
    <row r="77" spans="1:42" x14ac:dyDescent="0.2">
      <c r="D77">
        <f t="shared" si="18"/>
        <v>0</v>
      </c>
      <c r="E77">
        <f t="shared" si="19"/>
        <v>0</v>
      </c>
      <c r="F77">
        <f t="shared" si="20"/>
        <v>8867.7082438900961</v>
      </c>
      <c r="G77">
        <f t="shared" si="21"/>
        <v>4.433854121945048</v>
      </c>
      <c r="H77">
        <f>233/2000</f>
        <v>0.11650000000000001</v>
      </c>
      <c r="K77">
        <v>100000</v>
      </c>
      <c r="L77">
        <v>744.00141900000006</v>
      </c>
      <c r="M77">
        <v>-14396.715587000001</v>
      </c>
      <c r="N77">
        <v>68357.289466999995</v>
      </c>
      <c r="O77">
        <v>-0.96182500000000004</v>
      </c>
      <c r="P77">
        <v>24.967535000000002</v>
      </c>
      <c r="Q77">
        <v>198.11424500000001</v>
      </c>
      <c r="R77">
        <v>13.819578999999999</v>
      </c>
      <c r="S77">
        <v>2926</v>
      </c>
      <c r="T77">
        <v>370</v>
      </c>
      <c r="U77">
        <f>T77/(T77+S77)</f>
        <v>0.11225728155339806</v>
      </c>
      <c r="V77">
        <f>-4.0888-2.5419*U77</f>
        <v>-4.3741467839805823</v>
      </c>
      <c r="W77">
        <f>M77-(SUM(S77:T77)*V77)</f>
        <v>20.472212999999101</v>
      </c>
      <c r="X77">
        <f>W77/(2*P77*R77)</f>
        <v>2.9666363619691646E-2</v>
      </c>
      <c r="Y77">
        <f>X77*16.02</f>
        <v>0.47525514518746015</v>
      </c>
      <c r="AA77">
        <f>N77/SUM(S77:T77)</f>
        <v>20.73946889168689</v>
      </c>
      <c r="AF77" t="s">
        <v>193</v>
      </c>
      <c r="AG77" t="s">
        <v>193</v>
      </c>
      <c r="AI77" t="s">
        <v>201</v>
      </c>
      <c r="AJ77" t="s">
        <v>202</v>
      </c>
      <c r="AK77" t="s">
        <v>200</v>
      </c>
      <c r="AL77" t="s">
        <v>199</v>
      </c>
      <c r="AM77" t="s">
        <v>203</v>
      </c>
      <c r="AN77" t="s">
        <v>197</v>
      </c>
      <c r="AO77" t="s">
        <v>206</v>
      </c>
    </row>
    <row r="78" spans="1:42" x14ac:dyDescent="0.2">
      <c r="D78">
        <f>B78/2000</f>
        <v>0</v>
      </c>
      <c r="E78">
        <f>C78/2000</f>
        <v>0</v>
      </c>
      <c r="F78">
        <f>B78-2000*(H78*$F$3+(1-H78)*E$3)</f>
        <v>8856.9368027383352</v>
      </c>
      <c r="G78">
        <f>F78/2000</f>
        <v>4.4284684013691678</v>
      </c>
      <c r="H78">
        <f>229/2000</f>
        <v>0.1145</v>
      </c>
      <c r="K78">
        <v>100000</v>
      </c>
      <c r="L78">
        <v>743.797504</v>
      </c>
      <c r="M78">
        <v>-14380.251249999999</v>
      </c>
      <c r="N78">
        <v>68386.924945999999</v>
      </c>
      <c r="O78">
        <v>-0.96819</v>
      </c>
      <c r="P78">
        <v>24.974975000000001</v>
      </c>
      <c r="Q78">
        <v>198.02718400000001</v>
      </c>
      <c r="R78">
        <v>13.827527999999999</v>
      </c>
      <c r="S78">
        <v>2931</v>
      </c>
      <c r="T78">
        <v>365</v>
      </c>
      <c r="U78">
        <f>T78/(T78+S78)</f>
        <v>0.11074029126213593</v>
      </c>
      <c r="V78">
        <f>-4.0888-2.5419*U78</f>
        <v>-4.3702907463592231</v>
      </c>
      <c r="W78">
        <f>M78-(SUM(S78:T78)*V78)</f>
        <v>24.227049999999508</v>
      </c>
      <c r="X78">
        <f>W78/(2*P78*R78)</f>
        <v>3.5076877916142335E-2</v>
      </c>
      <c r="Y78">
        <f>X78*16.02</f>
        <v>0.56193158421660017</v>
      </c>
      <c r="AA78">
        <f>N78/SUM(S78:T78)</f>
        <v>20.748460238470873</v>
      </c>
      <c r="AD78">
        <v>600</v>
      </c>
      <c r="AE78">
        <v>-17175.673488200002</v>
      </c>
      <c r="AI78">
        <f>AE78+(8.6173*10^-5)*AD78*AI$74*1.5</f>
        <v>-16872.896035400001</v>
      </c>
    </row>
    <row r="79" spans="1:42" x14ac:dyDescent="0.2">
      <c r="D79">
        <f>B79/2000</f>
        <v>0</v>
      </c>
      <c r="E79">
        <f>C79/2000</f>
        <v>0</v>
      </c>
      <c r="F79">
        <f>B79-2000*(H79*$F$3+(1-H79)*E$3)</f>
        <v>8870.4011041780377</v>
      </c>
      <c r="G79">
        <f>F79/2000</f>
        <v>4.435200552089019</v>
      </c>
      <c r="H79">
        <f>234/2000</f>
        <v>0.11700000000000001</v>
      </c>
      <c r="K79">
        <v>100000</v>
      </c>
      <c r="L79">
        <v>743.93187899999998</v>
      </c>
      <c r="M79">
        <v>-14441.507683</v>
      </c>
      <c r="N79">
        <v>68205.410168999995</v>
      </c>
      <c r="O79">
        <v>-0.84596700000000002</v>
      </c>
      <c r="P79">
        <v>24.947033999999999</v>
      </c>
      <c r="Q79">
        <v>197.910042</v>
      </c>
      <c r="R79">
        <v>13.814432999999999</v>
      </c>
      <c r="S79">
        <v>2907</v>
      </c>
      <c r="T79">
        <v>389</v>
      </c>
      <c r="U79">
        <f>T79/(T79+S79)</f>
        <v>0.11802184466019418</v>
      </c>
      <c r="V79">
        <f>-4.0888-2.5419*U79</f>
        <v>-4.3887997269417474</v>
      </c>
      <c r="W79">
        <f>M79-(SUM(S79:T79)*V79)</f>
        <v>23.976216999999451</v>
      </c>
      <c r="X79">
        <f>W79/(2*P79*R79)</f>
        <v>3.4785534551255333E-2</v>
      </c>
      <c r="Y79">
        <f>X79*16.02</f>
        <v>0.55726426351111047</v>
      </c>
      <c r="AA79">
        <f>N79/SUM(S79:T79)</f>
        <v>20.693389007584951</v>
      </c>
      <c r="AD79">
        <v>700</v>
      </c>
      <c r="AH79">
        <f>(AE80-AE78)/(AD80-AD78)</f>
        <v>0.50596897200000968</v>
      </c>
      <c r="AJ79">
        <f>(AI80-AI78)/(AD80-AD78)/3904</f>
        <v>2.5886220799180613E-4</v>
      </c>
      <c r="AK79">
        <f>AJ79*96500</f>
        <v>24.980203071209292</v>
      </c>
      <c r="AL79">
        <f>AK79*(LN(800)-LN(600))</f>
        <v>7.1863565897918287</v>
      </c>
      <c r="AM79">
        <f>AJ79*(LN(800)-LN(600))</f>
        <v>7.4470016474526723E-5</v>
      </c>
      <c r="AN79">
        <f>AM79*3904</f>
        <v>0.29073094431655233</v>
      </c>
      <c r="AP79">
        <f>(AI80-AI78)-AD79*AN79</f>
        <v>-1.3920490215843984</v>
      </c>
    </row>
    <row r="80" spans="1:42" x14ac:dyDescent="0.2">
      <c r="G80">
        <f>AVERAGE(G70:G79)</f>
        <v>4.4381626984057529</v>
      </c>
      <c r="Y80" s="1">
        <f>AVERAGE(Y75:Y79)</f>
        <v>0.51955794156314306</v>
      </c>
      <c r="Z80">
        <f>STDEV(Y75:Y79)</f>
        <v>7.2877116941532066E-2</v>
      </c>
      <c r="AA80" s="10"/>
      <c r="AD80">
        <v>800</v>
      </c>
      <c r="AE80">
        <v>-17074.4796938</v>
      </c>
      <c r="AF80">
        <f>(AE80-AE78)/(AD80-AD78)</f>
        <v>0.50596897200000968</v>
      </c>
      <c r="AG80">
        <f>(AE80-AE$78)/(AD80-AD$78)</f>
        <v>0.50596897200000968</v>
      </c>
      <c r="AI80">
        <f>AE80+(8.6173*10^-5)*AD80*AI$74*1.5</f>
        <v>-16670.776423399999</v>
      </c>
      <c r="AN80">
        <f>AN79*AD79</f>
        <v>203.51166102158663</v>
      </c>
    </row>
    <row r="81" spans="3:42" x14ac:dyDescent="0.2">
      <c r="J81" t="s">
        <v>175</v>
      </c>
      <c r="K81">
        <v>100000</v>
      </c>
      <c r="L81">
        <v>743.73170300000004</v>
      </c>
      <c r="M81">
        <v>-20765.773456999999</v>
      </c>
      <c r="N81">
        <v>98482.829341999997</v>
      </c>
      <c r="O81">
        <v>-0.67629499999999998</v>
      </c>
      <c r="P81">
        <v>34.602618</v>
      </c>
      <c r="Q81">
        <v>205.67885799999999</v>
      </c>
      <c r="R81">
        <v>13.837661000000001</v>
      </c>
      <c r="S81">
        <v>4214</v>
      </c>
      <c r="T81">
        <v>538</v>
      </c>
      <c r="U81">
        <f>T81/(T81+S81)</f>
        <v>0.11321548821548821</v>
      </c>
      <c r="V81">
        <f>-4.0888-2.5419*U81</f>
        <v>-4.3765824494949497</v>
      </c>
      <c r="W81">
        <f>M81-(SUM(S81:T81)*V81)</f>
        <v>31.746343000002526</v>
      </c>
      <c r="X81">
        <f>W81/(2*P81*R81)</f>
        <v>3.3150651153115419E-2</v>
      </c>
      <c r="Y81">
        <f>X81*16.02</f>
        <v>0.53107343147290897</v>
      </c>
      <c r="AA81">
        <f>N81/SUM(S81:T81)</f>
        <v>20.724501124158248</v>
      </c>
      <c r="AD81">
        <v>900</v>
      </c>
      <c r="AH81">
        <f>(AE82-AE80)/(AD82-AD80)</f>
        <v>0.52302025999999391</v>
      </c>
      <c r="AJ81">
        <f>(AI82-AI80)/(AD82-AD80)/3904</f>
        <v>2.6322985348360537E-4</v>
      </c>
      <c r="AK81">
        <f>AJ81*96500</f>
        <v>25.401680861167918</v>
      </c>
      <c r="AL81">
        <f>AK81*(LN(800)-LN(600))</f>
        <v>7.3076081938995223</v>
      </c>
      <c r="AM81">
        <f>AJ81*(LN(800)-LN(600))</f>
        <v>7.5726509781342207E-5</v>
      </c>
      <c r="AN81">
        <f>AM81*3904</f>
        <v>0.29563629418635995</v>
      </c>
      <c r="AP81">
        <f>(AI82-AI80)-AD81*AN81</f>
        <v>-60.542795167724876</v>
      </c>
    </row>
    <row r="82" spans="3:42" x14ac:dyDescent="0.2">
      <c r="C82">
        <v>800</v>
      </c>
      <c r="D82">
        <v>2.3021981154845435E-2</v>
      </c>
      <c r="K82">
        <v>100000</v>
      </c>
      <c r="L82">
        <v>743.63031899999999</v>
      </c>
      <c r="M82">
        <v>-20838.699363</v>
      </c>
      <c r="N82">
        <v>98281.705145999993</v>
      </c>
      <c r="O82">
        <v>-0.84986600000000001</v>
      </c>
      <c r="P82">
        <v>34.563828000000001</v>
      </c>
      <c r="Q82">
        <v>205.71659600000001</v>
      </c>
      <c r="R82">
        <v>13.822373000000001</v>
      </c>
      <c r="S82">
        <v>4185</v>
      </c>
      <c r="T82">
        <v>567</v>
      </c>
      <c r="U82">
        <f>T82/(T82+S82)</f>
        <v>0.11931818181818182</v>
      </c>
      <c r="V82">
        <f>-4.0888-2.5419*U82</f>
        <v>-4.392094886363636</v>
      </c>
      <c r="W82">
        <f>M82-(SUM(S82:T82)*V82)</f>
        <v>32.535536999999749</v>
      </c>
      <c r="X82">
        <f>W82/(2*P82*R82)</f>
        <v>3.4050503636559981E-2</v>
      </c>
      <c r="Y82">
        <f>X82*16.02</f>
        <v>0.54548906825769083</v>
      </c>
      <c r="AA82">
        <f>N82/SUM(S82:T82)</f>
        <v>20.682177008838384</v>
      </c>
      <c r="AD82">
        <v>1000</v>
      </c>
      <c r="AE82">
        <v>-16969.875641800001</v>
      </c>
      <c r="AF82">
        <f>(AE82-AE80)/(AD82-AD80)</f>
        <v>0.52302025999999391</v>
      </c>
      <c r="AG82">
        <f t="shared" ref="AG82:AG84" si="22">(AE82-AE$78)/(AD82-AD$78)</f>
        <v>0.51449461600000179</v>
      </c>
      <c r="AI82">
        <f>AE82+(8.6173*10^-5)*AD82*AI$74*1.5</f>
        <v>-16465.2465538</v>
      </c>
      <c r="AN82">
        <f>AN81*AD81</f>
        <v>266.07266476772395</v>
      </c>
    </row>
    <row r="83" spans="3:42" x14ac:dyDescent="0.2">
      <c r="C83">
        <v>1000</v>
      </c>
      <c r="D83">
        <v>2.1516123943564069E-2</v>
      </c>
      <c r="K83">
        <v>100000</v>
      </c>
      <c r="L83">
        <v>743.58169199999998</v>
      </c>
      <c r="M83">
        <v>-20867.703667999998</v>
      </c>
      <c r="N83">
        <v>98203.397498000006</v>
      </c>
      <c r="O83">
        <v>-0.59362599999999999</v>
      </c>
      <c r="P83">
        <v>34.570247000000002</v>
      </c>
      <c r="Q83">
        <v>205.56145100000001</v>
      </c>
      <c r="R83">
        <v>13.819213</v>
      </c>
      <c r="S83">
        <v>4174</v>
      </c>
      <c r="T83">
        <v>578</v>
      </c>
      <c r="U83">
        <f>T83/(T83+S83)</f>
        <v>0.12163299663299663</v>
      </c>
      <c r="V83">
        <f>-4.0888-2.5419*U83</f>
        <v>-4.3979789141414143</v>
      </c>
      <c r="W83">
        <f>M83-(SUM(S83:T83)*V83)</f>
        <v>31.492132000003039</v>
      </c>
      <c r="X83">
        <f>W83/(2*P83*R83)</f>
        <v>3.2959929503256748E-2</v>
      </c>
      <c r="Y83">
        <f>X83*16.02</f>
        <v>0.5280180706421731</v>
      </c>
      <c r="AA83">
        <f>N83/SUM(S83:T83)</f>
        <v>20.665698126683502</v>
      </c>
      <c r="AD83">
        <v>1100</v>
      </c>
      <c r="AH83">
        <f>(AE84-AE82)/(AD84-AD82)</f>
        <v>0.55355664100001378</v>
      </c>
      <c r="AJ83">
        <f>(AI84-AI82)/(AD84-AD82)/3904</f>
        <v>2.7105167238729663E-4</v>
      </c>
      <c r="AK83">
        <f>AJ83*96500</f>
        <v>26.156486385374123</v>
      </c>
      <c r="AL83">
        <f>AK83*(LN(800)-LN(600))</f>
        <v>7.524752211401216</v>
      </c>
      <c r="AM83">
        <f>AJ83*(LN(800)-LN(600))</f>
        <v>7.7976706853898615E-5</v>
      </c>
      <c r="AN83">
        <f>AM83*3904</f>
        <v>0.30442106355762022</v>
      </c>
      <c r="AP83">
        <f>(AI84-AI82)-AD83*AN83</f>
        <v>-123.22602411338102</v>
      </c>
    </row>
    <row r="84" spans="3:42" x14ac:dyDescent="0.2">
      <c r="C84">
        <v>1200</v>
      </c>
      <c r="D84">
        <v>1.9125162589409411E-2</v>
      </c>
      <c r="K84">
        <v>100000</v>
      </c>
      <c r="L84">
        <v>743.88469099999998</v>
      </c>
      <c r="M84">
        <v>-20831.303786</v>
      </c>
      <c r="N84">
        <v>98279.341797999994</v>
      </c>
      <c r="O84">
        <v>-0.686303</v>
      </c>
      <c r="P84">
        <v>34.601658999999998</v>
      </c>
      <c r="Q84">
        <v>205.746093</v>
      </c>
      <c r="R84">
        <v>13.804940999999999</v>
      </c>
      <c r="S84">
        <v>4189</v>
      </c>
      <c r="T84">
        <v>563</v>
      </c>
      <c r="U84">
        <f>T84/(T84+S84)</f>
        <v>0.11847643097643097</v>
      </c>
      <c r="V84">
        <f>-4.0888-2.5419*U84</f>
        <v>-4.3899552398989901</v>
      </c>
      <c r="W84">
        <f>M84-(SUM(S84:T84)*V84)</f>
        <v>29.763514000002033</v>
      </c>
      <c r="X84">
        <f>W84/(2*P84*R84)</f>
        <v>3.1154639629926862E-2</v>
      </c>
      <c r="Y84">
        <f>X84*16.02</f>
        <v>0.49909732687142833</v>
      </c>
      <c r="AA84">
        <f>N84/SUM(S84:T84)</f>
        <v>20.681679671296294</v>
      </c>
      <c r="AD84">
        <v>1200</v>
      </c>
      <c r="AE84">
        <v>-16859.164313599998</v>
      </c>
      <c r="AF84">
        <f>(AE84-AE82)/(AD84-AD82)</f>
        <v>0.55355664100001378</v>
      </c>
      <c r="AG84">
        <f t="shared" si="22"/>
        <v>0.52751529100000571</v>
      </c>
      <c r="AI84">
        <f>AE84+(8.6173*10^-5)*AD84*AI$74*1.5</f>
        <v>-16253.609407999998</v>
      </c>
      <c r="AN84">
        <f>AN83*AD83</f>
        <v>334.86316991338225</v>
      </c>
    </row>
    <row r="85" spans="3:42" x14ac:dyDescent="0.2">
      <c r="C85">
        <v>600</v>
      </c>
      <c r="D85">
        <v>2.3547251905753359E-2</v>
      </c>
      <c r="K85">
        <v>100000</v>
      </c>
      <c r="L85">
        <v>743.87125200000003</v>
      </c>
      <c r="M85">
        <v>-20838.606227</v>
      </c>
      <c r="N85">
        <v>98261.973421000002</v>
      </c>
      <c r="O85">
        <v>-0.68351700000000004</v>
      </c>
      <c r="P85">
        <v>34.597971000000001</v>
      </c>
      <c r="Q85">
        <v>205.69044400000001</v>
      </c>
      <c r="R85">
        <v>13.807708</v>
      </c>
      <c r="S85">
        <v>4186</v>
      </c>
      <c r="T85">
        <v>566</v>
      </c>
      <c r="U85">
        <f>T85/(T85+S85)</f>
        <v>0.11910774410774411</v>
      </c>
      <c r="V85">
        <f>-4.0888-2.5419*U85</f>
        <v>-4.3915599747474747</v>
      </c>
      <c r="W85">
        <f>M85-(SUM(S85:T85)*V85)</f>
        <v>30.086772999999084</v>
      </c>
      <c r="X85">
        <f>W85/(2*P85*R85)</f>
        <v>3.1490052827229519E-2</v>
      </c>
      <c r="Y85">
        <f>X85*16.02</f>
        <v>0.50447064629221683</v>
      </c>
      <c r="AA85">
        <f>N85/SUM(S85:T85)</f>
        <v>20.678024709806397</v>
      </c>
    </row>
    <row r="86" spans="3:42" x14ac:dyDescent="0.2">
      <c r="Y86" s="1">
        <f>AVERAGE(Y81:Y85)</f>
        <v>0.52162970870728365</v>
      </c>
      <c r="Z86">
        <f>STDEV(Y81:Y85)</f>
        <v>1.9373988749104318E-2</v>
      </c>
      <c r="AA86" s="10"/>
    </row>
    <row r="87" spans="3:42" x14ac:dyDescent="0.2">
      <c r="J87" t="s">
        <v>110</v>
      </c>
      <c r="L87">
        <v>694.06816800000001</v>
      </c>
      <c r="M87">
        <v>-16796.920690999999</v>
      </c>
      <c r="N87">
        <v>78967.422691999993</v>
      </c>
      <c r="O87">
        <v>-0.72514900000000004</v>
      </c>
      <c r="P87">
        <v>30.975128000000002</v>
      </c>
      <c r="Q87">
        <v>184.48128600000001</v>
      </c>
      <c r="R87">
        <v>13.819231</v>
      </c>
      <c r="S87">
        <v>3356</v>
      </c>
      <c r="T87">
        <v>468</v>
      </c>
      <c r="U87">
        <f>T87/(T87+S87)</f>
        <v>0.12238493723849372</v>
      </c>
      <c r="V87">
        <f>-4.0888-2.5419*U87</f>
        <v>-4.3998902719665276</v>
      </c>
      <c r="W87">
        <f>M87-(SUM(S87:T87)*V87)</f>
        <v>28.259709000001749</v>
      </c>
      <c r="X87">
        <f>W87/(2*P87*R87)</f>
        <v>3.3009633586147981E-2</v>
      </c>
      <c r="Y87">
        <f>X87*16.02</f>
        <v>0.5288143300500906</v>
      </c>
      <c r="AA87">
        <f>N87/SUM(S87:T87)</f>
        <v>20.650476645397486</v>
      </c>
      <c r="AI87">
        <f>AI80-AI78</f>
        <v>202.11961200000223</v>
      </c>
    </row>
    <row r="88" spans="3:42" x14ac:dyDescent="0.2">
      <c r="L88">
        <v>694.00597400000004</v>
      </c>
      <c r="M88">
        <v>-16700.311946000002</v>
      </c>
      <c r="N88">
        <v>79239.206449999998</v>
      </c>
      <c r="O88">
        <v>-0.82209299999999996</v>
      </c>
      <c r="P88">
        <v>31.058494</v>
      </c>
      <c r="Q88">
        <v>184.656507</v>
      </c>
      <c r="R88">
        <v>13.816454</v>
      </c>
      <c r="S88">
        <v>3391</v>
      </c>
      <c r="T88">
        <v>432</v>
      </c>
      <c r="U88">
        <f>T88/(T88+S88)</f>
        <v>0.11300026157467957</v>
      </c>
      <c r="V88">
        <f>-4.0888-2.5419*U88</f>
        <v>-4.3760353648966781</v>
      </c>
      <c r="W88">
        <f>M88-(SUM(S88:T88)*V88)</f>
        <v>29.271253999999317</v>
      </c>
      <c r="X88">
        <f>W88/(2*P88*R88)</f>
        <v>3.4106279271881965E-2</v>
      </c>
      <c r="Y88">
        <f>X88*16.02</f>
        <v>0.54638259393554911</v>
      </c>
      <c r="AA88">
        <f>N88/SUM(S88:T88)</f>
        <v>20.726970036620454</v>
      </c>
    </row>
    <row r="89" spans="3:42" x14ac:dyDescent="0.2">
      <c r="L89">
        <v>693.95340399999998</v>
      </c>
      <c r="M89">
        <v>-16738.213198000001</v>
      </c>
      <c r="N89">
        <v>79165.514299000002</v>
      </c>
      <c r="O89">
        <v>-0.81781700000000002</v>
      </c>
      <c r="P89">
        <v>31.007156999999999</v>
      </c>
      <c r="Q89">
        <v>184.492884</v>
      </c>
      <c r="R89">
        <v>13.838715000000001</v>
      </c>
      <c r="S89">
        <v>3379</v>
      </c>
      <c r="T89">
        <v>445</v>
      </c>
      <c r="U89">
        <f>T89/(T89+S89)</f>
        <v>0.11637029288702928</v>
      </c>
      <c r="V89">
        <f>-4.0888-2.5419*U89</f>
        <v>-4.3846016474895393</v>
      </c>
      <c r="W89">
        <f>M89-(SUM(S89:T89)*V89)</f>
        <v>28.503501999995933</v>
      </c>
      <c r="X89">
        <f>W89/(2*P89*R89)</f>
        <v>3.3213184064662483E-2</v>
      </c>
      <c r="Y89">
        <f>X89*16.02</f>
        <v>0.53207520871589298</v>
      </c>
      <c r="AA89">
        <f>N89/SUM(S89:T89)</f>
        <v>20.702278843880755</v>
      </c>
      <c r="AI89">
        <f>AI82-AI80</f>
        <v>205.52986959999907</v>
      </c>
    </row>
    <row r="90" spans="3:42" x14ac:dyDescent="0.2">
      <c r="L90">
        <v>694.05508999999995</v>
      </c>
      <c r="M90">
        <v>-16705.11894</v>
      </c>
      <c r="N90">
        <v>79281.879211000007</v>
      </c>
      <c r="O90">
        <v>-0.77989799999999998</v>
      </c>
      <c r="P90">
        <v>31.016242999999999</v>
      </c>
      <c r="Q90">
        <v>184.66200499999999</v>
      </c>
      <c r="R90">
        <v>13.842313000000001</v>
      </c>
      <c r="S90">
        <v>3391</v>
      </c>
      <c r="T90">
        <v>433</v>
      </c>
      <c r="U90">
        <f>T90/(T90+S90)</f>
        <v>0.11323221757322176</v>
      </c>
      <c r="V90">
        <f>-4.0888-2.5419*U90</f>
        <v>-4.3766249738493723</v>
      </c>
      <c r="W90">
        <f>M90-(SUM(S90:T90)*V90)</f>
        <v>31.094959999998537</v>
      </c>
      <c r="X90">
        <f>W90/(2*P90*R90)</f>
        <v>3.6212803751508982E-2</v>
      </c>
      <c r="Y90">
        <f>X90*16.02</f>
        <v>0.58012911609917384</v>
      </c>
      <c r="AA90">
        <f>N90/SUM(S90:T90)</f>
        <v>20.73270899869247</v>
      </c>
    </row>
    <row r="91" spans="3:42" x14ac:dyDescent="0.2">
      <c r="L91">
        <v>693.92730300000005</v>
      </c>
      <c r="M91">
        <v>-16665.366740000001</v>
      </c>
      <c r="N91">
        <v>79408.801823000002</v>
      </c>
      <c r="O91">
        <v>-0.85189099999999995</v>
      </c>
      <c r="P91">
        <v>31.053971000000001</v>
      </c>
      <c r="Q91">
        <v>184.711546</v>
      </c>
      <c r="R91">
        <v>13.843908000000001</v>
      </c>
      <c r="S91">
        <v>3407</v>
      </c>
      <c r="T91">
        <v>417</v>
      </c>
      <c r="U91">
        <f>T91/(T91+S91)</f>
        <v>0.10904811715481172</v>
      </c>
      <c r="V91">
        <f>-4.0888-2.5419*U91</f>
        <v>-4.3659894089958158</v>
      </c>
      <c r="W91">
        <f>M91-(SUM(S91:T91)*V91)</f>
        <v>30.176759999998467</v>
      </c>
      <c r="X91">
        <f>W91/(2*P91*R91)</f>
        <v>3.5096738964442521E-2</v>
      </c>
      <c r="Y91">
        <f>X91*16.02</f>
        <v>0.56224975821036915</v>
      </c>
      <c r="AA91">
        <f>N91/SUM(S91:T91)</f>
        <v>20.7659000583159</v>
      </c>
      <c r="AI91">
        <f>AI84-AI82</f>
        <v>211.63714580000124</v>
      </c>
    </row>
    <row r="92" spans="3:42" x14ac:dyDescent="0.2">
      <c r="Y92" s="1">
        <f>AVERAGE(Y87:Y91)</f>
        <v>0.54993020140221505</v>
      </c>
      <c r="Z92">
        <f>STDEV(Y87:Y91)</f>
        <v>2.1453509237122248E-2</v>
      </c>
      <c r="AA92" s="10"/>
    </row>
    <row r="93" spans="3:42" x14ac:dyDescent="0.2">
      <c r="Y93" s="1"/>
      <c r="AA93" s="10"/>
    </row>
    <row r="94" spans="3:42" x14ac:dyDescent="0.2">
      <c r="J94" t="s">
        <v>34</v>
      </c>
      <c r="L94" t="s">
        <v>74</v>
      </c>
      <c r="X94" t="s">
        <v>25</v>
      </c>
      <c r="Y94" t="s">
        <v>24</v>
      </c>
    </row>
    <row r="95" spans="3:42" x14ac:dyDescent="0.2">
      <c r="K95" t="s">
        <v>176</v>
      </c>
      <c r="L95" t="s">
        <v>18</v>
      </c>
      <c r="M95" t="s">
        <v>5</v>
      </c>
      <c r="N95" t="s">
        <v>7</v>
      </c>
      <c r="O95" t="s">
        <v>19</v>
      </c>
      <c r="P95" t="s">
        <v>20</v>
      </c>
      <c r="Q95" t="s">
        <v>21</v>
      </c>
      <c r="R95" t="s">
        <v>22</v>
      </c>
      <c r="S95" t="s">
        <v>4</v>
      </c>
      <c r="T95" t="s">
        <v>10</v>
      </c>
      <c r="U95" t="s">
        <v>13</v>
      </c>
      <c r="V95" t="s">
        <v>26</v>
      </c>
      <c r="W95" t="s">
        <v>12</v>
      </c>
      <c r="X95" t="s">
        <v>23</v>
      </c>
      <c r="Y95" t="s">
        <v>23</v>
      </c>
    </row>
    <row r="96" spans="3:42" x14ac:dyDescent="0.2">
      <c r="J96" t="s">
        <v>55</v>
      </c>
      <c r="L96">
        <v>867.63394700000003</v>
      </c>
      <c r="M96">
        <v>-17031.325446999999</v>
      </c>
      <c r="N96">
        <v>81117.580755999996</v>
      </c>
      <c r="O96">
        <v>-1.0174399999999999</v>
      </c>
      <c r="P96">
        <v>31.348310000000001</v>
      </c>
      <c r="Q96">
        <v>187.009388</v>
      </c>
      <c r="R96">
        <v>13.836938999999999</v>
      </c>
      <c r="S96">
        <v>3433</v>
      </c>
      <c r="T96">
        <v>471</v>
      </c>
      <c r="U96">
        <f>T96/(T96+S96)</f>
        <v>0.12064549180327869</v>
      </c>
      <c r="V96">
        <f>-4.0638-2.533*U96</f>
        <v>-4.3693950307377047</v>
      </c>
      <c r="W96">
        <f>M96-(SUM(S96:T96)*V96)</f>
        <v>26.792753000001539</v>
      </c>
      <c r="X96">
        <f>W96/(2*P96*R96)</f>
        <v>3.0883974525030888E-2</v>
      </c>
      <c r="Y96">
        <f>X96*16.02</f>
        <v>0.49476127189099484</v>
      </c>
      <c r="AA96">
        <f>N96/SUM(S96:T96)</f>
        <v>20.778068841188524</v>
      </c>
    </row>
    <row r="97" spans="10:27" x14ac:dyDescent="0.2">
      <c r="L97">
        <v>867.56757700000003</v>
      </c>
      <c r="M97">
        <v>-16960.003124999999</v>
      </c>
      <c r="N97">
        <v>81342.774676999994</v>
      </c>
      <c r="O97">
        <v>-1.007951</v>
      </c>
      <c r="P97">
        <v>31.396647999999999</v>
      </c>
      <c r="Q97">
        <v>186.92286799999999</v>
      </c>
      <c r="R97">
        <v>13.860385000000001</v>
      </c>
      <c r="S97">
        <v>3460</v>
      </c>
      <c r="T97">
        <v>444</v>
      </c>
      <c r="U97">
        <f>T97/(T97+S97)</f>
        <v>0.11372950819672131</v>
      </c>
      <c r="V97">
        <f>-4.0638-2.533*U97</f>
        <v>-4.3518768442622946</v>
      </c>
      <c r="W97">
        <f>M97-(SUM(S97:T97)*V97)</f>
        <v>29.724074999998265</v>
      </c>
      <c r="X97">
        <f>W97/(2*P97*R97)</f>
        <v>3.4152285706405335E-2</v>
      </c>
      <c r="Y97">
        <f>X97*16.02</f>
        <v>0.54711961701661349</v>
      </c>
      <c r="AA97">
        <f>N97/SUM(S97:T97)</f>
        <v>20.835751710297128</v>
      </c>
    </row>
    <row r="98" spans="10:27" x14ac:dyDescent="0.2">
      <c r="L98">
        <v>867.77482799999996</v>
      </c>
      <c r="M98">
        <v>-16985.332456</v>
      </c>
      <c r="N98">
        <v>81262.886524000001</v>
      </c>
      <c r="O98">
        <v>-0.98534600000000006</v>
      </c>
      <c r="P98">
        <v>31.365500999999998</v>
      </c>
      <c r="Q98">
        <v>187.08792600000001</v>
      </c>
      <c r="R98">
        <v>13.848288999999999</v>
      </c>
      <c r="S98">
        <v>3451</v>
      </c>
      <c r="T98">
        <v>453</v>
      </c>
      <c r="U98">
        <f>T98/(T98+S98)</f>
        <v>0.11603483606557377</v>
      </c>
      <c r="V98">
        <f>-4.0638-2.533*U98</f>
        <v>-4.3577162397540983</v>
      </c>
      <c r="W98">
        <f>M98-(SUM(S98:T98)*V98)</f>
        <v>27.191743999999744</v>
      </c>
      <c r="X98">
        <f>W98/(2*P98*R98)</f>
        <v>3.1301036577900003E-2</v>
      </c>
      <c r="Y98">
        <f>X98*16.02</f>
        <v>0.50144260597795809</v>
      </c>
      <c r="AA98">
        <f>N98/SUM(S98:T98)</f>
        <v>20.81528855635246</v>
      </c>
    </row>
    <row r="99" spans="10:27" x14ac:dyDescent="0.2">
      <c r="L99">
        <v>867.54713900000002</v>
      </c>
      <c r="M99">
        <v>-16960.280826999999</v>
      </c>
      <c r="N99">
        <v>81357.238609000007</v>
      </c>
      <c r="O99">
        <v>-1.0137419999999999</v>
      </c>
      <c r="P99">
        <v>31.385978000000001</v>
      </c>
      <c r="Q99">
        <v>187.06605400000001</v>
      </c>
      <c r="R99">
        <v>13.856946000000001</v>
      </c>
      <c r="S99">
        <v>3462</v>
      </c>
      <c r="T99">
        <v>442</v>
      </c>
      <c r="U99">
        <f>T99/(T99+S99)</f>
        <v>0.11321721311475409</v>
      </c>
      <c r="V99">
        <f>-4.0638-2.533*U99</f>
        <v>-4.3505792008196718</v>
      </c>
      <c r="W99">
        <f>M99-(SUM(S99:T99)*V99)</f>
        <v>24.380372999999963</v>
      </c>
      <c r="X99">
        <f>W99/(2*P99*R99)</f>
        <v>2.8028971339709132E-2</v>
      </c>
      <c r="Y99">
        <f>X99*16.02</f>
        <v>0.44902412086214027</v>
      </c>
      <c r="AA99">
        <f>N99/SUM(S99:T99)</f>
        <v>20.839456610911888</v>
      </c>
    </row>
    <row r="100" spans="10:27" x14ac:dyDescent="0.2">
      <c r="L100">
        <v>867.55460400000004</v>
      </c>
      <c r="M100">
        <v>-16912.436354000001</v>
      </c>
      <c r="N100">
        <v>81493.896103999999</v>
      </c>
      <c r="O100">
        <v>-0.95577999999999996</v>
      </c>
      <c r="P100">
        <v>31.381073000000001</v>
      </c>
      <c r="Q100">
        <v>187.20479599999999</v>
      </c>
      <c r="R100">
        <v>13.872094000000001</v>
      </c>
      <c r="S100">
        <v>3480</v>
      </c>
      <c r="T100">
        <v>424</v>
      </c>
      <c r="U100">
        <f>T100/(T100+S100)</f>
        <v>0.10860655737704918</v>
      </c>
      <c r="V100">
        <f>-4.0638-2.533*U100</f>
        <v>-4.3389004098360653</v>
      </c>
      <c r="W100">
        <f>M100-(SUM(S100:T100)*V100)</f>
        <v>26.630845999996382</v>
      </c>
      <c r="X100">
        <f>W100/(2*P100*R100)</f>
        <v>3.0587582614716741E-2</v>
      </c>
      <c r="Y100">
        <f>X100*16.02</f>
        <v>0.49001307348776219</v>
      </c>
      <c r="AA100">
        <f>N100/SUM(S100:T100)</f>
        <v>20.874461092213114</v>
      </c>
    </row>
    <row r="101" spans="10:27" x14ac:dyDescent="0.2">
      <c r="M101">
        <f>AVERAGE(M96:M100)</f>
        <v>-16969.875641800001</v>
      </c>
      <c r="Y101" s="1">
        <f>AVERAGE(Y96:Y100)</f>
        <v>0.49647213784709382</v>
      </c>
      <c r="Z101">
        <f>STDEV(Y96:Y100)</f>
        <v>3.4949369057928045E-2</v>
      </c>
      <c r="AA101" s="10"/>
    </row>
    <row r="102" spans="10:27" x14ac:dyDescent="0.2">
      <c r="J102" t="s">
        <v>133</v>
      </c>
      <c r="K102">
        <v>100000</v>
      </c>
      <c r="L102">
        <v>929.64678000000004</v>
      </c>
      <c r="M102">
        <v>-13844.313237</v>
      </c>
      <c r="N102">
        <v>65789.424538000007</v>
      </c>
      <c r="O102">
        <v>-1.357324</v>
      </c>
      <c r="P102">
        <v>24.456209999999999</v>
      </c>
      <c r="Q102">
        <v>194.074884</v>
      </c>
      <c r="R102">
        <v>13.861169</v>
      </c>
      <c r="S102">
        <v>2776</v>
      </c>
      <c r="T102">
        <v>392</v>
      </c>
      <c r="U102">
        <f>T102/(T102+S102)</f>
        <v>0.12373737373737374</v>
      </c>
      <c r="V102">
        <f>-4.0638-2.533*U102</f>
        <v>-4.3772267676767669</v>
      </c>
      <c r="W102">
        <f>M102-(SUM(S102:T102)*V102)</f>
        <v>22.741162999996959</v>
      </c>
      <c r="X102">
        <f>W102/(2*P102*R102)</f>
        <v>3.3542363558544182E-2</v>
      </c>
      <c r="Y102">
        <f>X102*16.02</f>
        <v>0.53734866420787775</v>
      </c>
      <c r="AA102">
        <f>N102/SUM(S102:T102)</f>
        <v>20.766863806186869</v>
      </c>
    </row>
    <row r="103" spans="10:27" x14ac:dyDescent="0.2">
      <c r="K103">
        <v>100000</v>
      </c>
      <c r="L103">
        <v>929.96658500000001</v>
      </c>
      <c r="M103">
        <v>-13839.991232</v>
      </c>
      <c r="N103">
        <v>65815.682230000006</v>
      </c>
      <c r="O103">
        <v>-1.139208</v>
      </c>
      <c r="P103">
        <v>24.514455999999999</v>
      </c>
      <c r="Q103">
        <v>194.03216499999999</v>
      </c>
      <c r="R103">
        <v>13.83681</v>
      </c>
      <c r="S103">
        <v>2778</v>
      </c>
      <c r="T103">
        <v>390</v>
      </c>
      <c r="U103">
        <f>T103/(T103+S103)</f>
        <v>0.12310606060606061</v>
      </c>
      <c r="V103">
        <f>-4.0638-2.533*U103</f>
        <v>-4.3756276515151509</v>
      </c>
      <c r="W103">
        <f>M103-(SUM(S103:T103)*V103)</f>
        <v>21.997167999998055</v>
      </c>
      <c r="X103">
        <f>W103/(2*P103*R103)</f>
        <v>3.2424892004337187E-2</v>
      </c>
      <c r="Y103">
        <f>X103*16.02</f>
        <v>0.51944676990948169</v>
      </c>
      <c r="AA103">
        <f>N103/SUM(S103:T103)</f>
        <v>20.77515221906566</v>
      </c>
    </row>
    <row r="104" spans="10:27" x14ac:dyDescent="0.2">
      <c r="K104">
        <v>100000</v>
      </c>
      <c r="L104">
        <v>929.847756</v>
      </c>
      <c r="M104">
        <v>-13794.453287</v>
      </c>
      <c r="N104">
        <v>65947.849059</v>
      </c>
      <c r="O104">
        <v>-1.2726420000000001</v>
      </c>
      <c r="P104">
        <v>24.498481000000002</v>
      </c>
      <c r="Q104">
        <v>194.15996799999999</v>
      </c>
      <c r="R104">
        <v>13.864496000000001</v>
      </c>
      <c r="S104">
        <v>2796</v>
      </c>
      <c r="T104">
        <v>372</v>
      </c>
      <c r="U104">
        <f>T104/(T104+S104)</f>
        <v>0.11742424242424243</v>
      </c>
      <c r="V104">
        <f>-4.0638-2.533*U104</f>
        <v>-4.3612356060606059</v>
      </c>
      <c r="W104">
        <f>M104-(SUM(S104:T104)*V104)</f>
        <v>21.94111299999895</v>
      </c>
      <c r="X104">
        <f>W104/(2*P104*R104)</f>
        <v>3.2298727647401396E-2</v>
      </c>
      <c r="Y104">
        <f>X104*16.02</f>
        <v>0.51742561691137035</v>
      </c>
      <c r="AA104">
        <f>N104/SUM(S104:T104)</f>
        <v>20.816871546401515</v>
      </c>
    </row>
    <row r="105" spans="10:27" x14ac:dyDescent="0.2">
      <c r="K105">
        <v>100000</v>
      </c>
      <c r="L105">
        <v>929.37963500000001</v>
      </c>
      <c r="M105">
        <v>-13795.92764</v>
      </c>
      <c r="N105">
        <v>65915.530583</v>
      </c>
      <c r="O105">
        <v>-1.3199050000000001</v>
      </c>
      <c r="P105">
        <v>24.497240000000001</v>
      </c>
      <c r="Q105">
        <v>194.027445</v>
      </c>
      <c r="R105">
        <v>13.867877999999999</v>
      </c>
      <c r="S105">
        <v>2795</v>
      </c>
      <c r="T105">
        <v>373</v>
      </c>
      <c r="U105">
        <f>T105/(T105+S105)</f>
        <v>0.11773989898989899</v>
      </c>
      <c r="V105">
        <f>-4.0638-2.533*U105</f>
        <v>-4.3620351641414139</v>
      </c>
      <c r="W105">
        <f>M105-(SUM(S105:T105)*V105)</f>
        <v>22.999759999998787</v>
      </c>
      <c r="X105">
        <f>W105/(2*P105*R105)</f>
        <v>3.3850581935898898E-2</v>
      </c>
      <c r="Y105">
        <f>X105*16.02</f>
        <v>0.54228632261310028</v>
      </c>
      <c r="AA105">
        <f>N105/SUM(S105:T105)</f>
        <v>20.806670007260102</v>
      </c>
    </row>
    <row r="106" spans="10:27" x14ac:dyDescent="0.2">
      <c r="K106">
        <v>100000</v>
      </c>
      <c r="L106">
        <v>929.56320700000003</v>
      </c>
      <c r="M106">
        <v>-13825.720412999999</v>
      </c>
      <c r="N106">
        <v>65837.641944999996</v>
      </c>
      <c r="O106">
        <v>-1.446545</v>
      </c>
      <c r="P106">
        <v>24.503332</v>
      </c>
      <c r="Q106">
        <v>194.00312400000001</v>
      </c>
      <c r="R106">
        <v>13.849777</v>
      </c>
      <c r="S106">
        <v>2784</v>
      </c>
      <c r="T106">
        <v>384</v>
      </c>
      <c r="U106">
        <f>T106/(T106+S106)</f>
        <v>0.12121212121212122</v>
      </c>
      <c r="V106">
        <f>-4.0638-2.533*U106</f>
        <v>-4.3708303030303028</v>
      </c>
      <c r="W106">
        <f>M106-(SUM(S106:T106)*V106)</f>
        <v>21.069987000000765</v>
      </c>
      <c r="X106">
        <f>W106/(2*P106*R106)</f>
        <v>3.1043190275350165E-2</v>
      </c>
      <c r="Y106">
        <f>X106*16.02</f>
        <v>0.4973119082111096</v>
      </c>
      <c r="AA106">
        <f>N106/SUM(S106:T106)</f>
        <v>20.782083947285351</v>
      </c>
    </row>
    <row r="107" spans="10:27" x14ac:dyDescent="0.2">
      <c r="Y107" s="1">
        <f>AVERAGE(Y102:Y106)</f>
        <v>0.52276385637058786</v>
      </c>
      <c r="Z107">
        <f>STDEV(Y102:Y106)</f>
        <v>1.7896541817260948E-2</v>
      </c>
      <c r="AA107" s="10"/>
    </row>
    <row r="108" spans="10:27" x14ac:dyDescent="0.2">
      <c r="J108" t="s">
        <v>28</v>
      </c>
      <c r="L108">
        <v>929.66234999999995</v>
      </c>
      <c r="M108">
        <v>-10803.726703</v>
      </c>
      <c r="N108">
        <v>51359.506501000003</v>
      </c>
      <c r="O108">
        <v>-2.0461689999999999</v>
      </c>
      <c r="P108">
        <v>35.296968999999997</v>
      </c>
      <c r="Q108">
        <v>140.04412300000001</v>
      </c>
      <c r="R108">
        <v>10.390134</v>
      </c>
      <c r="S108">
        <v>2163</v>
      </c>
      <c r="T108">
        <v>309</v>
      </c>
      <c r="U108">
        <f>T108/(T108+S108)</f>
        <v>0.125</v>
      </c>
      <c r="V108">
        <f>-4.0638-2.533*U108</f>
        <v>-4.3804249999999998</v>
      </c>
      <c r="W108">
        <f>M108-(SUM(S108:T108)*V108)</f>
        <v>24.683896999998979</v>
      </c>
      <c r="X108">
        <f>W108/(2*P108*R108)</f>
        <v>3.3653107107287188E-2</v>
      </c>
      <c r="Y108">
        <f>X108*16.02</f>
        <v>0.53912277585874069</v>
      </c>
      <c r="AA108">
        <f>N108/SUM(S108:T108)</f>
        <v>20.776499393608415</v>
      </c>
    </row>
    <row r="109" spans="10:27" x14ac:dyDescent="0.2">
      <c r="L109">
        <v>929.94259699999998</v>
      </c>
      <c r="M109">
        <v>-10738.157388</v>
      </c>
      <c r="N109">
        <v>51515.924773999999</v>
      </c>
      <c r="O109">
        <v>-1.880752</v>
      </c>
      <c r="P109">
        <v>35.420814</v>
      </c>
      <c r="Q109">
        <v>140.39068399999999</v>
      </c>
      <c r="R109">
        <v>10.359704000000001</v>
      </c>
      <c r="S109">
        <v>2190</v>
      </c>
      <c r="T109">
        <v>282</v>
      </c>
      <c r="U109">
        <f>T109/(T109+S109)</f>
        <v>0.11407766990291263</v>
      </c>
      <c r="V109">
        <f>-4.0638-2.533*U109</f>
        <v>-4.3527587378640771</v>
      </c>
      <c r="W109">
        <f>M109-(SUM(S109:T109)*V109)</f>
        <v>21.862211999998181</v>
      </c>
      <c r="X109">
        <f>W109/(2*P109*R109)</f>
        <v>2.9789157558497491E-2</v>
      </c>
      <c r="Y109">
        <f>X109*16.02</f>
        <v>0.47722230408712979</v>
      </c>
      <c r="AA109">
        <f>N109/SUM(S109:T109)</f>
        <v>20.839775394012946</v>
      </c>
    </row>
    <row r="110" spans="10:27" x14ac:dyDescent="0.2">
      <c r="L110">
        <v>929.41585099999998</v>
      </c>
      <c r="M110">
        <v>-10747.217387000001</v>
      </c>
      <c r="N110">
        <v>51506.859456999999</v>
      </c>
      <c r="O110">
        <v>-1.73166</v>
      </c>
      <c r="P110">
        <v>35.387619000000001</v>
      </c>
      <c r="Q110">
        <v>140.41263799999999</v>
      </c>
      <c r="R110">
        <v>10.365999</v>
      </c>
      <c r="S110">
        <v>2185</v>
      </c>
      <c r="T110">
        <v>287</v>
      </c>
      <c r="U110">
        <f>T110/(T110+S110)</f>
        <v>0.11610032362459546</v>
      </c>
      <c r="V110">
        <f>-4.0638-2.533*U110</f>
        <v>-4.3578821197410997</v>
      </c>
      <c r="W110">
        <f>M110-(SUM(S110:T110)*V110)</f>
        <v>25.467212999998083</v>
      </c>
      <c r="X110">
        <f>W110/(2*P110*R110)</f>
        <v>3.4712741927634849E-2</v>
      </c>
      <c r="Y110">
        <f>X110*16.02</f>
        <v>0.55609812568071026</v>
      </c>
      <c r="AA110">
        <f>N110/SUM(S110:T110)</f>
        <v>20.836108194579289</v>
      </c>
    </row>
    <row r="111" spans="10:27" x14ac:dyDescent="0.2">
      <c r="L111">
        <v>929.62355100000002</v>
      </c>
      <c r="M111">
        <v>-10701.524686999999</v>
      </c>
      <c r="N111">
        <v>51646.876429999997</v>
      </c>
      <c r="O111">
        <v>-1.793077</v>
      </c>
      <c r="P111">
        <v>35.385440000000003</v>
      </c>
      <c r="Q111">
        <v>140.39263399999999</v>
      </c>
      <c r="R111">
        <v>10.396302</v>
      </c>
      <c r="S111">
        <v>2203</v>
      </c>
      <c r="T111">
        <v>269</v>
      </c>
      <c r="U111">
        <f>T111/(T111+S111)</f>
        <v>0.10881877022653721</v>
      </c>
      <c r="V111">
        <f>-4.0638-2.533*U111</f>
        <v>-4.3394379449838185</v>
      </c>
      <c r="W111">
        <f>M111-(SUM(S111:T111)*V111)</f>
        <v>25.565913000000364</v>
      </c>
      <c r="X111">
        <f>W111/(2*P111*R111)</f>
        <v>3.4747840879468014E-2</v>
      </c>
      <c r="Y111">
        <f>X111*16.02</f>
        <v>0.55666041088907758</v>
      </c>
      <c r="AA111">
        <f>N111/SUM(S111:T111)</f>
        <v>20.892749364886729</v>
      </c>
    </row>
    <row r="112" spans="10:27" x14ac:dyDescent="0.2">
      <c r="L112">
        <v>929.98846300000002</v>
      </c>
      <c r="M112">
        <v>-10739.410384999999</v>
      </c>
      <c r="N112">
        <v>51545.810071</v>
      </c>
      <c r="O112">
        <v>-1.97207</v>
      </c>
      <c r="P112">
        <v>35.379938000000003</v>
      </c>
      <c r="Q112">
        <v>140.52492599999999</v>
      </c>
      <c r="R112">
        <v>10.367805000000001</v>
      </c>
      <c r="S112">
        <v>2189</v>
      </c>
      <c r="T112">
        <v>283</v>
      </c>
      <c r="U112">
        <f>T112/(T112+S112)</f>
        <v>0.11448220064724919</v>
      </c>
      <c r="V112">
        <f>-4.0638-2.533*U112</f>
        <v>-4.3537834142394818</v>
      </c>
      <c r="W112">
        <f>M112-(SUM(S112:T112)*V112)</f>
        <v>23.142214999999851</v>
      </c>
      <c r="X112">
        <f>W112/(2*P112*R112)</f>
        <v>3.1545036957754242E-2</v>
      </c>
      <c r="Y112">
        <f>X112*16.02</f>
        <v>0.50535149206322294</v>
      </c>
      <c r="AA112">
        <f>N112/SUM(S112:T112)</f>
        <v>20.851864915453074</v>
      </c>
    </row>
    <row r="113" spans="10:27" x14ac:dyDescent="0.2">
      <c r="Y113" s="1">
        <f>AVERAGE(Y108:Y112)</f>
        <v>0.52689102171577618</v>
      </c>
      <c r="Z113">
        <f>STDEV(Y108:Y112)</f>
        <v>3.4712462141539682E-2</v>
      </c>
    </row>
    <row r="114" spans="10:27" x14ac:dyDescent="0.2">
      <c r="J114" t="s">
        <v>134</v>
      </c>
      <c r="K114">
        <v>100000</v>
      </c>
      <c r="L114">
        <v>929.71810200000004</v>
      </c>
      <c r="M114">
        <v>-14092.288042</v>
      </c>
      <c r="N114">
        <v>67233.194839999996</v>
      </c>
      <c r="O114">
        <v>-1.119202</v>
      </c>
      <c r="P114">
        <v>28.555810999999999</v>
      </c>
      <c r="Q114">
        <v>170.002444</v>
      </c>
      <c r="R114">
        <v>13.849569000000001</v>
      </c>
      <c r="S114">
        <v>2842</v>
      </c>
      <c r="T114">
        <v>390</v>
      </c>
      <c r="U114">
        <f>T114/(T114+S114)</f>
        <v>0.12066831683168316</v>
      </c>
      <c r="V114">
        <f>-4.0638-2.533*U114</f>
        <v>-4.3694528465346529</v>
      </c>
      <c r="W114">
        <f>M114-(SUM(S114:T114)*V114)</f>
        <v>29.783557999997356</v>
      </c>
      <c r="X114">
        <f>W114/(2*P114*R114)</f>
        <v>3.7654408108967662E-2</v>
      </c>
      <c r="Y114">
        <f>X114*16.02</f>
        <v>0.60322361790566192</v>
      </c>
      <c r="AA114">
        <f>N114/SUM(S114:T114)</f>
        <v>20.802349888613861</v>
      </c>
    </row>
    <row r="115" spans="10:27" x14ac:dyDescent="0.2">
      <c r="K115">
        <v>100000</v>
      </c>
      <c r="L115">
        <v>929.63989000000004</v>
      </c>
      <c r="M115">
        <v>-14079.706399000001</v>
      </c>
      <c r="N115">
        <v>67263.980626999997</v>
      </c>
      <c r="O115">
        <v>-1.2209159999999999</v>
      </c>
      <c r="P115">
        <v>28.576744000000001</v>
      </c>
      <c r="Q115">
        <v>169.87544800000001</v>
      </c>
      <c r="R115">
        <v>13.856112</v>
      </c>
      <c r="S115">
        <v>2847</v>
      </c>
      <c r="T115">
        <v>385</v>
      </c>
      <c r="U115">
        <f>T115/(T115+S115)</f>
        <v>0.11912128712871287</v>
      </c>
      <c r="V115">
        <f>-4.0638-2.533*U115</f>
        <v>-4.3655342202970289</v>
      </c>
      <c r="W115">
        <f>M115-(SUM(S115:T115)*V115)</f>
        <v>29.700200999996014</v>
      </c>
      <c r="X115">
        <f>W115/(2*P115*R115)</f>
        <v>3.7503799084571195E-2</v>
      </c>
      <c r="Y115">
        <f>X115*16.02</f>
        <v>0.60081086133483053</v>
      </c>
      <c r="AA115">
        <f>N115/SUM(S115:T115)</f>
        <v>20.811875193997523</v>
      </c>
    </row>
    <row r="116" spans="10:27" x14ac:dyDescent="0.2">
      <c r="K116">
        <v>100000</v>
      </c>
      <c r="L116">
        <v>929.67887199999996</v>
      </c>
      <c r="M116">
        <v>-14043.350979999999</v>
      </c>
      <c r="N116">
        <v>67376.838969000004</v>
      </c>
      <c r="O116">
        <v>-1.4326380000000001</v>
      </c>
      <c r="P116">
        <v>28.580475</v>
      </c>
      <c r="Q116">
        <v>170.16778099999999</v>
      </c>
      <c r="R116">
        <v>13.853712</v>
      </c>
      <c r="S116">
        <v>2861</v>
      </c>
      <c r="T116">
        <v>371</v>
      </c>
      <c r="U116">
        <f>T116/(T116+S116)</f>
        <v>0.11478960396039604</v>
      </c>
      <c r="V116">
        <f>-4.0638-2.533*U116</f>
        <v>-4.3545620668316829</v>
      </c>
      <c r="W116">
        <f>M116-(SUM(S116:T116)*V116)</f>
        <v>30.593619999999646</v>
      </c>
      <c r="X116">
        <f>W116/(2*P116*R116)</f>
        <v>3.8633608546223046E-2</v>
      </c>
      <c r="Y116">
        <f>X116*16.02</f>
        <v>0.6189104089104932</v>
      </c>
      <c r="AA116">
        <f>N116/SUM(S116:T116)</f>
        <v>20.846794235457921</v>
      </c>
    </row>
    <row r="117" spans="10:27" x14ac:dyDescent="0.2">
      <c r="K117">
        <v>100000</v>
      </c>
      <c r="L117">
        <v>929.88852699999995</v>
      </c>
      <c r="M117">
        <v>-14078.241771999999</v>
      </c>
      <c r="N117">
        <v>67261.052830000001</v>
      </c>
      <c r="O117">
        <v>-1.3069759999999999</v>
      </c>
      <c r="P117">
        <v>28.567104</v>
      </c>
      <c r="Q117">
        <v>170.32738699999999</v>
      </c>
      <c r="R117">
        <v>13.823411</v>
      </c>
      <c r="S117">
        <v>2847</v>
      </c>
      <c r="T117">
        <v>385</v>
      </c>
      <c r="U117">
        <f>T117/(T117+S117)</f>
        <v>0.11912128712871287</v>
      </c>
      <c r="V117">
        <f>-4.0638-2.533*U117</f>
        <v>-4.3655342202970289</v>
      </c>
      <c r="W117">
        <f>M117-(SUM(S117:T117)*V117)</f>
        <v>31.164827999997215</v>
      </c>
      <c r="X117">
        <f>W117/(2*P117*R117)</f>
        <v>3.9459656657313144E-2</v>
      </c>
      <c r="Y117">
        <f>X117*16.02</f>
        <v>0.6321436996501566</v>
      </c>
      <c r="AA117">
        <f>N117/SUM(S117:T117)</f>
        <v>20.810969316212873</v>
      </c>
    </row>
    <row r="118" spans="10:27" x14ac:dyDescent="0.2">
      <c r="K118">
        <v>100000</v>
      </c>
      <c r="L118">
        <v>929.35652800000003</v>
      </c>
      <c r="M118">
        <v>-14085.968698000001</v>
      </c>
      <c r="N118">
        <v>67230.842504</v>
      </c>
      <c r="O118">
        <v>-1.1258509999999999</v>
      </c>
      <c r="P118">
        <v>28.588961000000001</v>
      </c>
      <c r="Q118">
        <v>170.18793700000001</v>
      </c>
      <c r="R118">
        <v>13.817944000000001</v>
      </c>
      <c r="S118">
        <v>2845</v>
      </c>
      <c r="T118">
        <v>387</v>
      </c>
      <c r="U118">
        <f>T118/(T118+S118)</f>
        <v>0.11974009900990099</v>
      </c>
      <c r="V118">
        <f>-4.0638-2.533*U118</f>
        <v>-4.3671016707920787</v>
      </c>
      <c r="W118">
        <f>M118-(SUM(S118:T118)*V118)</f>
        <v>28.503901999998561</v>
      </c>
      <c r="X118">
        <f>W118/(2*P118*R118)</f>
        <v>3.607717474867863E-2</v>
      </c>
      <c r="Y118">
        <f>X118*16.02</f>
        <v>0.57795633947383163</v>
      </c>
      <c r="AA118">
        <f>N118/SUM(S118:T118)</f>
        <v>20.801622061881186</v>
      </c>
    </row>
    <row r="119" spans="10:27" x14ac:dyDescent="0.2">
      <c r="Y119" s="1">
        <f>AVERAGE(Y114:Y118)</f>
        <v>0.60660898545499475</v>
      </c>
      <c r="Z119">
        <f>STDEV(Y114:Y118)</f>
        <v>2.0429144172840773E-2</v>
      </c>
      <c r="AA119" s="10"/>
    </row>
    <row r="120" spans="10:27" x14ac:dyDescent="0.2">
      <c r="J120" t="s">
        <v>27</v>
      </c>
      <c r="L120">
        <v>929.67411400000003</v>
      </c>
      <c r="M120">
        <v>-12546.643386</v>
      </c>
      <c r="N120">
        <v>59954.842969999998</v>
      </c>
      <c r="O120">
        <v>-1.535644</v>
      </c>
      <c r="P120">
        <v>32.876764000000001</v>
      </c>
      <c r="Q120">
        <v>131.960981</v>
      </c>
      <c r="R120">
        <v>13.819487000000001</v>
      </c>
      <c r="S120">
        <v>2535</v>
      </c>
      <c r="T120">
        <v>345</v>
      </c>
      <c r="U120">
        <f>T120/(T120+S120)</f>
        <v>0.11979166666666667</v>
      </c>
      <c r="V120">
        <f>-4.0638-2.533*U120</f>
        <v>-4.3672322916666664</v>
      </c>
      <c r="W120">
        <f>M120-(SUM(S120:T120)*V120)</f>
        <v>30.985613999999259</v>
      </c>
      <c r="X120">
        <f>W120/(2*P120*R120)</f>
        <v>3.4099587460783884E-2</v>
      </c>
      <c r="Y120">
        <f>X120*16.02</f>
        <v>0.54627539112175783</v>
      </c>
      <c r="AA120">
        <f>N120/SUM(S120:T120)</f>
        <v>20.817653809027778</v>
      </c>
    </row>
    <row r="121" spans="10:27" x14ac:dyDescent="0.2">
      <c r="L121">
        <v>929.96040200000004</v>
      </c>
      <c r="M121">
        <v>-12476.342968999999</v>
      </c>
      <c r="N121">
        <v>60175.099404000001</v>
      </c>
      <c r="O121">
        <v>-1.412863</v>
      </c>
      <c r="P121">
        <v>32.915095999999998</v>
      </c>
      <c r="Q121">
        <v>132.13508300000001</v>
      </c>
      <c r="R121">
        <v>13.83587</v>
      </c>
      <c r="S121">
        <v>2564</v>
      </c>
      <c r="T121">
        <v>316</v>
      </c>
      <c r="U121">
        <f>T121/(T121+S121)</f>
        <v>0.10972222222222222</v>
      </c>
      <c r="V121">
        <f>-4.0638-2.533*U121</f>
        <v>-4.3417263888888886</v>
      </c>
      <c r="W121">
        <f>M121-(SUM(S121:T121)*V121)</f>
        <v>27.829030999999304</v>
      </c>
      <c r="X121">
        <f>W121/(2*P121*R121)</f>
        <v>3.0553888542220835E-2</v>
      </c>
      <c r="Y121">
        <f>X121*16.02</f>
        <v>0.48947329444637777</v>
      </c>
      <c r="AA121">
        <f>N121/SUM(S121:T121)</f>
        <v>20.8941317375</v>
      </c>
    </row>
    <row r="122" spans="10:27" x14ac:dyDescent="0.2">
      <c r="L122">
        <v>929.65568499999995</v>
      </c>
      <c r="M122">
        <v>-12535.543</v>
      </c>
      <c r="N122">
        <v>59980.527068000003</v>
      </c>
      <c r="O122">
        <v>-1.477463</v>
      </c>
      <c r="P122">
        <v>32.884191000000001</v>
      </c>
      <c r="Q122">
        <v>131.87599499999999</v>
      </c>
      <c r="R122">
        <v>13.831181000000001</v>
      </c>
      <c r="S122">
        <v>2540</v>
      </c>
      <c r="T122">
        <v>340</v>
      </c>
      <c r="U122">
        <f>T122/(T122+S122)</f>
        <v>0.11805555555555555</v>
      </c>
      <c r="V122">
        <f>-4.0638-2.533*U122</f>
        <v>-4.3628347222222219</v>
      </c>
      <c r="W122">
        <f>M122-(SUM(S122:T122)*V122)</f>
        <v>29.421000000000276</v>
      </c>
      <c r="X122">
        <f>W122/(2*P122*R122)</f>
        <v>3.234305264166798E-2</v>
      </c>
      <c r="Y122">
        <f>X122*16.02</f>
        <v>0.51813570331952097</v>
      </c>
      <c r="AA122">
        <f>N122/SUM(S122:T122)</f>
        <v>20.826571898611114</v>
      </c>
    </row>
    <row r="123" spans="10:27" x14ac:dyDescent="0.2">
      <c r="L123">
        <v>929.79430400000001</v>
      </c>
      <c r="M123">
        <v>-12503.017185000001</v>
      </c>
      <c r="N123">
        <v>60069.649725000003</v>
      </c>
      <c r="O123">
        <v>-1.5806819999999999</v>
      </c>
      <c r="P123">
        <v>32.919604999999997</v>
      </c>
      <c r="Q123">
        <v>131.921437</v>
      </c>
      <c r="R123">
        <v>13.832081000000001</v>
      </c>
      <c r="S123">
        <v>2552</v>
      </c>
      <c r="T123">
        <v>328</v>
      </c>
      <c r="U123">
        <f>T123/(T123+S123)</f>
        <v>0.11388888888888889</v>
      </c>
      <c r="V123">
        <f>-4.0638-2.533*U123</f>
        <v>-4.3522805555555548</v>
      </c>
      <c r="W123">
        <f>M123-(SUM(S123:T123)*V123)</f>
        <v>31.550814999996874</v>
      </c>
      <c r="X123">
        <f>W123/(2*P123*R123)</f>
        <v>3.4644831026599397E-2</v>
      </c>
      <c r="Y123">
        <f>X123*16.02</f>
        <v>0.55501019304612231</v>
      </c>
      <c r="AA123">
        <f>N123/SUM(S123:T123)</f>
        <v>20.857517265625003</v>
      </c>
    </row>
    <row r="124" spans="10:27" x14ac:dyDescent="0.2">
      <c r="L124">
        <v>929.39553599999999</v>
      </c>
      <c r="M124">
        <v>-12496.998857</v>
      </c>
      <c r="N124">
        <v>60109.099212000001</v>
      </c>
      <c r="O124">
        <v>-1.5190859999999999</v>
      </c>
      <c r="P124">
        <v>32.909838000000001</v>
      </c>
      <c r="Q124">
        <v>132.09411</v>
      </c>
      <c r="R124">
        <v>13.827182000000001</v>
      </c>
      <c r="S124">
        <v>2554</v>
      </c>
      <c r="T124">
        <v>326</v>
      </c>
      <c r="U124">
        <f>T124/(T124+S124)</f>
        <v>0.11319444444444444</v>
      </c>
      <c r="V124">
        <f>-4.0638-2.533*U124</f>
        <v>-4.3505215277777776</v>
      </c>
      <c r="W124">
        <f>M124-(SUM(S124:T124)*V124)</f>
        <v>32.50314299999809</v>
      </c>
      <c r="X124">
        <f>W124/(2*P124*R124)</f>
        <v>3.5713789880852539E-2</v>
      </c>
      <c r="Y124">
        <f>X124*16.02</f>
        <v>0.5721349138912577</v>
      </c>
      <c r="AA124">
        <f>N124/SUM(S124:T124)</f>
        <v>20.871215004166668</v>
      </c>
    </row>
    <row r="125" spans="10:27" x14ac:dyDescent="0.2">
      <c r="Y125" s="1">
        <f>AVERAGE(Y120:Y124)</f>
        <v>0.53620589916500738</v>
      </c>
      <c r="Z125">
        <f>STDEV(Y120:Y124)</f>
        <v>3.2620386867400222E-2</v>
      </c>
    </row>
    <row r="126" spans="10:27" x14ac:dyDescent="0.2">
      <c r="J126" t="s">
        <v>172</v>
      </c>
      <c r="K126">
        <v>100000</v>
      </c>
      <c r="L126">
        <v>929.83325300000001</v>
      </c>
      <c r="M126">
        <v>-15980.484109000001</v>
      </c>
      <c r="N126">
        <v>76723.932283000002</v>
      </c>
      <c r="O126">
        <v>-1.0752740000000001</v>
      </c>
      <c r="P126">
        <v>26.391202</v>
      </c>
      <c r="Q126">
        <v>209.90199999999999</v>
      </c>
      <c r="R126">
        <v>13.85022</v>
      </c>
      <c r="S126">
        <v>3263</v>
      </c>
      <c r="T126">
        <v>417</v>
      </c>
      <c r="U126">
        <f>T126/(T126+S126)</f>
        <v>0.11331521739130435</v>
      </c>
      <c r="V126">
        <f>-4.0638-2.533*U126</f>
        <v>-4.3508274456521736</v>
      </c>
      <c r="W126">
        <f>M126-(SUM(S126:T126)*V126)</f>
        <v>30.560890999997355</v>
      </c>
      <c r="X126">
        <f>W126/(2*P126*R126)</f>
        <v>4.1804224709842353E-2</v>
      </c>
      <c r="Y126">
        <f>X126*16.02</f>
        <v>0.66970367985167445</v>
      </c>
      <c r="AA126">
        <f>N126/SUM(S126:T126)</f>
        <v>20.848894642119564</v>
      </c>
    </row>
    <row r="127" spans="10:27" x14ac:dyDescent="0.2">
      <c r="K127">
        <v>100000</v>
      </c>
      <c r="L127">
        <v>929.91694299999995</v>
      </c>
      <c r="M127">
        <v>-16060.048575999999</v>
      </c>
      <c r="N127">
        <v>76495.111929000006</v>
      </c>
      <c r="O127">
        <v>-1.1746529999999999</v>
      </c>
      <c r="P127">
        <v>26.369084999999998</v>
      </c>
      <c r="Q127">
        <v>209.67961399999999</v>
      </c>
      <c r="R127">
        <v>13.835151</v>
      </c>
      <c r="S127">
        <v>3234</v>
      </c>
      <c r="T127">
        <v>446</v>
      </c>
      <c r="U127">
        <f>T127/(T127+S127)</f>
        <v>0.12119565217391304</v>
      </c>
      <c r="V127">
        <f>-4.0638-2.533*U127</f>
        <v>-4.3707885869565217</v>
      </c>
      <c r="W127">
        <f>M127-(SUM(S127:T127)*V127)</f>
        <v>24.453424000001178</v>
      </c>
      <c r="X127">
        <f>W127/(2*P127*R127)</f>
        <v>3.351434367745737E-2</v>
      </c>
      <c r="Y127">
        <f>X127*16.02</f>
        <v>0.53689978571286701</v>
      </c>
      <c r="AA127">
        <f>N127/SUM(S127:T127)</f>
        <v>20.786715198097827</v>
      </c>
    </row>
    <row r="128" spans="10:27" x14ac:dyDescent="0.2">
      <c r="K128">
        <v>100000</v>
      </c>
      <c r="L128">
        <v>929.65867600000001</v>
      </c>
      <c r="M128">
        <v>-16032.507153</v>
      </c>
      <c r="N128">
        <v>76573.694721000007</v>
      </c>
      <c r="O128">
        <v>-1.142001</v>
      </c>
      <c r="P128">
        <v>26.390664999999998</v>
      </c>
      <c r="Q128">
        <v>209.75151500000001</v>
      </c>
      <c r="R128">
        <v>13.833297</v>
      </c>
      <c r="S128">
        <v>3244</v>
      </c>
      <c r="T128">
        <v>436</v>
      </c>
      <c r="U128">
        <f>T128/(T128+S128)</f>
        <v>0.11847826086956521</v>
      </c>
      <c r="V128">
        <f>-4.0638-2.533*U128</f>
        <v>-4.3639054347826081</v>
      </c>
      <c r="W128">
        <f>M128-(SUM(S128:T128)*V128)</f>
        <v>26.664846999996371</v>
      </c>
      <c r="X128">
        <f>W128/(2*P128*R128)</f>
        <v>3.6520193106473468E-2</v>
      </c>
      <c r="Y128">
        <f>X128*16.02</f>
        <v>0.58505349356570491</v>
      </c>
      <c r="AA128">
        <f>N128/SUM(S128:T128)</f>
        <v>20.808069217663046</v>
      </c>
    </row>
    <row r="129" spans="10:27" x14ac:dyDescent="0.2">
      <c r="K129">
        <v>100000</v>
      </c>
      <c r="L129">
        <v>929.28820700000006</v>
      </c>
      <c r="M129">
        <v>-15968.77223</v>
      </c>
      <c r="N129">
        <v>76763.880025999999</v>
      </c>
      <c r="O129">
        <v>-1.134125</v>
      </c>
      <c r="P129">
        <v>26.429100999999999</v>
      </c>
      <c r="Q129">
        <v>209.835857</v>
      </c>
      <c r="R129">
        <v>13.841922</v>
      </c>
      <c r="S129">
        <v>3266</v>
      </c>
      <c r="T129">
        <v>414</v>
      </c>
      <c r="U129">
        <f>T129/(T129+S129)</f>
        <v>0.1125</v>
      </c>
      <c r="V129">
        <f>-4.0638-2.533*U129</f>
        <v>-4.3487624999999994</v>
      </c>
      <c r="W129">
        <f>M129-(SUM(S129:T129)*V129)</f>
        <v>34.673769999997603</v>
      </c>
      <c r="X129">
        <f>W129/(2*P129*R129)</f>
        <v>4.7390607957512348E-2</v>
      </c>
      <c r="Y129">
        <f>X129*16.02</f>
        <v>0.75919753947934776</v>
      </c>
      <c r="AA129">
        <f>N129/SUM(S129:T129)</f>
        <v>20.859750007065216</v>
      </c>
    </row>
    <row r="130" spans="10:27" x14ac:dyDescent="0.2">
      <c r="K130">
        <v>100000</v>
      </c>
      <c r="L130">
        <v>929.52041899999995</v>
      </c>
      <c r="M130">
        <v>-16043.011425000001</v>
      </c>
      <c r="N130">
        <v>76548.910308000006</v>
      </c>
      <c r="O130">
        <v>-1.1236189999999999</v>
      </c>
      <c r="P130">
        <v>26.378634999999999</v>
      </c>
      <c r="Q130">
        <v>209.39741599999999</v>
      </c>
      <c r="R130">
        <v>13.858525</v>
      </c>
      <c r="S130">
        <v>3239</v>
      </c>
      <c r="T130">
        <v>441</v>
      </c>
      <c r="U130">
        <f>T130/(T130+S130)</f>
        <v>0.11983695652173913</v>
      </c>
      <c r="V130">
        <f>-4.0638-2.533*U130</f>
        <v>-4.3673470108695644</v>
      </c>
      <c r="W130">
        <f>M130-(SUM(S130:T130)*V130)</f>
        <v>28.825574999997116</v>
      </c>
      <c r="X130">
        <f>W130/(2*P130*R130)</f>
        <v>3.9425631220736813E-2</v>
      </c>
      <c r="Y130">
        <f>X130*16.02</f>
        <v>0.63159861215620372</v>
      </c>
      <c r="AA130">
        <f>N130/SUM(S130:T130)</f>
        <v>20.80133432282609</v>
      </c>
    </row>
    <row r="131" spans="10:27" x14ac:dyDescent="0.2">
      <c r="Y131" s="1">
        <f>AVERAGE(Y126:Y130)</f>
        <v>0.63649062215315966</v>
      </c>
      <c r="Z131">
        <f>STDEV(Y126:Y130)</f>
        <v>8.4776381474132259E-2</v>
      </c>
      <c r="AA131" s="10"/>
    </row>
    <row r="132" spans="10:27" x14ac:dyDescent="0.2">
      <c r="J132" t="s">
        <v>17</v>
      </c>
      <c r="L132">
        <v>867.58020099999999</v>
      </c>
      <c r="M132">
        <v>-16447.191133</v>
      </c>
      <c r="N132">
        <v>78543.309366000001</v>
      </c>
      <c r="O132">
        <v>-1.040788</v>
      </c>
      <c r="P132">
        <v>31.004149000000002</v>
      </c>
      <c r="Q132">
        <v>91.706575000000001</v>
      </c>
      <c r="R132">
        <v>27.624241999999999</v>
      </c>
      <c r="S132">
        <v>3317</v>
      </c>
      <c r="T132">
        <v>459</v>
      </c>
      <c r="U132">
        <f>T132/(T132+S132)</f>
        <v>0.1215572033898305</v>
      </c>
      <c r="V132">
        <f>-4.0638-2.533*U132</f>
        <v>-4.3717043961864404</v>
      </c>
      <c r="W132">
        <f>M132-(SUM(S132:T132)*V132)</f>
        <v>60.364666999998008</v>
      </c>
      <c r="X132">
        <f>W132/(2*P132*R132)</f>
        <v>3.5240545973849499E-2</v>
      </c>
      <c r="Y132">
        <f>X132*16.02</f>
        <v>0.56455354650106893</v>
      </c>
      <c r="AA132">
        <f>N132/SUM(S132:T132)</f>
        <v>20.80066455667373</v>
      </c>
    </row>
    <row r="133" spans="10:27" x14ac:dyDescent="0.2">
      <c r="L133">
        <v>867.62011600000005</v>
      </c>
      <c r="M133">
        <v>-16368.378968999999</v>
      </c>
      <c r="N133">
        <v>78806.424134000001</v>
      </c>
      <c r="O133">
        <v>-0.96430300000000002</v>
      </c>
      <c r="P133">
        <v>31.048383000000001</v>
      </c>
      <c r="Q133">
        <v>91.650349000000006</v>
      </c>
      <c r="R133">
        <v>27.694277</v>
      </c>
      <c r="S133">
        <v>3348</v>
      </c>
      <c r="T133">
        <v>428</v>
      </c>
      <c r="U133">
        <f>T133/(T133+S133)</f>
        <v>0.11334745762711865</v>
      </c>
      <c r="V133">
        <f>-4.0638-2.533*U133</f>
        <v>-4.350909110169491</v>
      </c>
      <c r="W133">
        <f>M133-(SUM(S133:T133)*V133)</f>
        <v>60.653830999997808</v>
      </c>
      <c r="X133">
        <f>W133/(2*P133*R133)</f>
        <v>3.5269493462827303E-2</v>
      </c>
      <c r="Y133">
        <f>X133*16.02</f>
        <v>0.56501728527449335</v>
      </c>
      <c r="AA133">
        <f>N133/SUM(S133:T133)</f>
        <v>20.87034537447034</v>
      </c>
    </row>
    <row r="134" spans="10:27" x14ac:dyDescent="0.2">
      <c r="L134">
        <v>867.43613400000004</v>
      </c>
      <c r="M134">
        <v>-16416.145958000001</v>
      </c>
      <c r="N134">
        <v>78640.133887999997</v>
      </c>
      <c r="O134">
        <v>-1.023822</v>
      </c>
      <c r="P134">
        <v>31.008126000000001</v>
      </c>
      <c r="Q134">
        <v>91.684954000000005</v>
      </c>
      <c r="R134">
        <v>27.661300000000001</v>
      </c>
      <c r="S134">
        <v>3327</v>
      </c>
      <c r="T134">
        <v>449</v>
      </c>
      <c r="U134">
        <f>T134/(T134+S134)</f>
        <v>0.11890889830508475</v>
      </c>
      <c r="V134">
        <f>-4.0638-2.533*U134</f>
        <v>-4.3649962394067794</v>
      </c>
      <c r="W134">
        <f>M134-(SUM(S134:T134)*V134)</f>
        <v>66.079841999999189</v>
      </c>
      <c r="X134">
        <f>W134/(2*P134*R134)</f>
        <v>3.8520409318940012E-2</v>
      </c>
      <c r="Y134">
        <f>X134*16.02</f>
        <v>0.61709695728941893</v>
      </c>
      <c r="AA134">
        <f>N134/SUM(S134:T134)</f>
        <v>20.826306644067795</v>
      </c>
    </row>
    <row r="135" spans="10:27" x14ac:dyDescent="0.2">
      <c r="L135">
        <v>867.55701699999997</v>
      </c>
      <c r="M135">
        <v>-16388.344621</v>
      </c>
      <c r="N135">
        <v>78720.460745999997</v>
      </c>
      <c r="O135">
        <v>-1.0261020000000001</v>
      </c>
      <c r="P135">
        <v>31.056498000000001</v>
      </c>
      <c r="Q135">
        <v>91.676755999999997</v>
      </c>
      <c r="R135">
        <v>27.648876999999999</v>
      </c>
      <c r="S135">
        <v>3342</v>
      </c>
      <c r="T135">
        <v>434</v>
      </c>
      <c r="U135">
        <f>T135/(T135+S135)</f>
        <v>0.1149364406779661</v>
      </c>
      <c r="V135">
        <f>-4.0638-2.533*U135</f>
        <v>-4.3549340042372879</v>
      </c>
      <c r="W135">
        <f>M135-(SUM(S135:T135)*V135)</f>
        <v>55.886178999997355</v>
      </c>
      <c r="X135">
        <f>W135/(2*P135*R135)</f>
        <v>3.254201516631209E-2</v>
      </c>
      <c r="Y135">
        <f>X135*16.02</f>
        <v>0.52132308296431962</v>
      </c>
      <c r="AA135">
        <f>N135/SUM(S135:T135)</f>
        <v>20.847579646716103</v>
      </c>
    </row>
    <row r="136" spans="10:27" x14ac:dyDescent="0.2">
      <c r="L136">
        <v>867.41130199999998</v>
      </c>
      <c r="M136">
        <v>-16364.217694000001</v>
      </c>
      <c r="N136">
        <v>78813.666173000005</v>
      </c>
      <c r="O136">
        <v>-1.095343</v>
      </c>
      <c r="P136">
        <v>31.039580000000001</v>
      </c>
      <c r="Q136">
        <v>91.735116000000005</v>
      </c>
      <c r="R136">
        <v>27.679099000000001</v>
      </c>
      <c r="S136">
        <v>3348</v>
      </c>
      <c r="T136">
        <v>428</v>
      </c>
      <c r="U136">
        <f>T136/(T136+S136)</f>
        <v>0.11334745762711865</v>
      </c>
      <c r="V136">
        <f>-4.0638-2.533*U136</f>
        <v>-4.350909110169491</v>
      </c>
      <c r="W136">
        <f>M136-(SUM(S136:T136)*V136)</f>
        <v>64.815105999996376</v>
      </c>
      <c r="X136">
        <f>W136/(2*P136*R136)</f>
        <v>3.7720588066707555E-2</v>
      </c>
      <c r="Y136">
        <f>X136*16.02</f>
        <v>0.60428382082865506</v>
      </c>
      <c r="AA136">
        <f>N136/SUM(S136:T136)</f>
        <v>20.872263287341102</v>
      </c>
    </row>
    <row r="137" spans="10:27" x14ac:dyDescent="0.2">
      <c r="Y137" s="1">
        <f>AVERAGE(Y132:Y136)</f>
        <v>0.57445493857159113</v>
      </c>
      <c r="Z137">
        <f>STDEV(Y132:Y136)</f>
        <v>3.78094066404107E-2</v>
      </c>
    </row>
    <row r="138" spans="10:27" x14ac:dyDescent="0.2">
      <c r="J138" t="s">
        <v>173</v>
      </c>
      <c r="K138">
        <v>100000</v>
      </c>
      <c r="L138">
        <v>929.401882</v>
      </c>
      <c r="M138">
        <v>-28264.975811</v>
      </c>
      <c r="N138">
        <v>135007.120372</v>
      </c>
      <c r="O138">
        <v>-0.64817100000000005</v>
      </c>
      <c r="P138">
        <v>40.407038</v>
      </c>
      <c r="Q138">
        <v>241.47616099999999</v>
      </c>
      <c r="R138">
        <v>13.836504</v>
      </c>
      <c r="S138">
        <v>5722</v>
      </c>
      <c r="T138">
        <v>766</v>
      </c>
      <c r="U138">
        <f>T138/(T138+S138)</f>
        <v>0.11806411837237978</v>
      </c>
      <c r="V138">
        <f>-4.0638-2.533*U138</f>
        <v>-4.3628564118372379</v>
      </c>
      <c r="W138">
        <f>M138-(SUM(S138:T138)*V138)</f>
        <v>41.236589000000095</v>
      </c>
      <c r="X138">
        <f>W138/(2*P138*R138)</f>
        <v>3.6878168940980963E-2</v>
      </c>
      <c r="Y138">
        <f>X138*16.02</f>
        <v>0.59078826643451499</v>
      </c>
      <c r="AA138">
        <f>N138/SUM(S138:T138)</f>
        <v>20.808742350801481</v>
      </c>
    </row>
    <row r="139" spans="10:27" x14ac:dyDescent="0.2">
      <c r="K139">
        <v>100000</v>
      </c>
      <c r="L139">
        <v>929.53172400000005</v>
      </c>
      <c r="M139">
        <v>-28216.492805000002</v>
      </c>
      <c r="N139">
        <v>135142.87362999999</v>
      </c>
      <c r="O139">
        <v>-0.73366900000000002</v>
      </c>
      <c r="P139">
        <v>40.417586999999997</v>
      </c>
      <c r="Q139">
        <v>241.52794700000001</v>
      </c>
      <c r="R139">
        <v>13.843826999999999</v>
      </c>
      <c r="S139">
        <v>5738</v>
      </c>
      <c r="T139">
        <v>750</v>
      </c>
      <c r="U139">
        <f>T139/(T139+S139)</f>
        <v>0.11559802712700371</v>
      </c>
      <c r="V139">
        <f>-4.0638-2.533*U139</f>
        <v>-4.3566098027126996</v>
      </c>
      <c r="W139">
        <f>M139-(SUM(S139:T139)*V139)</f>
        <v>49.191594999992958</v>
      </c>
      <c r="X139">
        <f>W139/(2*P139*R139)</f>
        <v>4.3957639548835525E-2</v>
      </c>
      <c r="Y139">
        <f>X139*16.02</f>
        <v>0.70420138557234513</v>
      </c>
      <c r="AA139">
        <f>N139/SUM(S139:T139)</f>
        <v>20.829666095869296</v>
      </c>
    </row>
    <row r="140" spans="10:27" x14ac:dyDescent="0.2">
      <c r="K140">
        <v>100000</v>
      </c>
      <c r="L140">
        <v>929.508284</v>
      </c>
      <c r="M140">
        <v>-28321.700434999999</v>
      </c>
      <c r="N140">
        <v>134825.69544899999</v>
      </c>
      <c r="O140">
        <v>-0.78384200000000004</v>
      </c>
      <c r="P140">
        <v>40.387689000000002</v>
      </c>
      <c r="Q140">
        <v>241.40091699999999</v>
      </c>
      <c r="R140">
        <v>13.828830999999999</v>
      </c>
      <c r="S140">
        <v>5698</v>
      </c>
      <c r="T140">
        <v>790</v>
      </c>
      <c r="U140">
        <f>T140/(T140+S140)</f>
        <v>0.1217632552404439</v>
      </c>
      <c r="V140">
        <f>-4.0638-2.533*U140</f>
        <v>-4.3722263255240437</v>
      </c>
      <c r="W140">
        <f>M140-(SUM(S140:T140)*V140)</f>
        <v>45.303964999995515</v>
      </c>
      <c r="X140">
        <f>W140/(2*P140*R140)</f>
        <v>4.0557553043345726E-2</v>
      </c>
      <c r="Y140">
        <f>X140*16.02</f>
        <v>0.64973199975439855</v>
      </c>
      <c r="AA140">
        <f>N140/SUM(S140:T140)</f>
        <v>20.780779199907521</v>
      </c>
    </row>
    <row r="141" spans="10:27" x14ac:dyDescent="0.2">
      <c r="K141">
        <v>100000</v>
      </c>
      <c r="L141">
        <v>929.79467599999998</v>
      </c>
      <c r="M141">
        <v>-28199.078280000002</v>
      </c>
      <c r="N141">
        <v>135196.91644900001</v>
      </c>
      <c r="O141">
        <v>-0.82459199999999999</v>
      </c>
      <c r="P141">
        <v>40.416840999999998</v>
      </c>
      <c r="Q141">
        <v>241.507374</v>
      </c>
      <c r="R141">
        <v>13.850801000000001</v>
      </c>
      <c r="S141">
        <v>5745</v>
      </c>
      <c r="T141">
        <v>743</v>
      </c>
      <c r="U141">
        <f>T141/(T141+S141)</f>
        <v>0.11451911220715166</v>
      </c>
      <c r="V141">
        <f>-4.0638-2.533*U141</f>
        <v>-4.3538769112207145</v>
      </c>
      <c r="W141">
        <f>M141-(SUM(S141:T141)*V141)</f>
        <v>48.875119999993331</v>
      </c>
      <c r="X141">
        <f>W141/(2*P141*R141)</f>
        <v>4.3653652358929484E-2</v>
      </c>
      <c r="Y141">
        <f>X141*16.02</f>
        <v>0.69933151079005029</v>
      </c>
      <c r="AA141">
        <f>N141/SUM(S141:T141)</f>
        <v>20.837995753545009</v>
      </c>
    </row>
    <row r="142" spans="10:27" x14ac:dyDescent="0.2">
      <c r="K142">
        <v>100000</v>
      </c>
      <c r="L142">
        <v>929.69210699999996</v>
      </c>
      <c r="M142">
        <v>-28279.219648999999</v>
      </c>
      <c r="N142">
        <v>134953.359478</v>
      </c>
      <c r="O142">
        <v>-0.59830700000000003</v>
      </c>
      <c r="P142">
        <v>40.382086999999999</v>
      </c>
      <c r="Q142">
        <v>241.380503</v>
      </c>
      <c r="R142">
        <v>13.845029</v>
      </c>
      <c r="S142">
        <v>5716</v>
      </c>
      <c r="T142">
        <v>772</v>
      </c>
      <c r="U142">
        <f>T142/(T142+S142)</f>
        <v>0.1189889025893958</v>
      </c>
      <c r="V142">
        <f>-4.0638-2.533*U142</f>
        <v>-4.3651988902589389</v>
      </c>
      <c r="W142">
        <f>M142-(SUM(S142:T142)*V142)</f>
        <v>42.190750999998272</v>
      </c>
      <c r="X142">
        <f>W142/(2*P142*R142)</f>
        <v>3.773154862414814E-2</v>
      </c>
      <c r="Y142">
        <f>X142*16.02</f>
        <v>0.60445940895885319</v>
      </c>
      <c r="AA142">
        <f>N142/SUM(S142:T142)</f>
        <v>20.800456146424168</v>
      </c>
    </row>
    <row r="143" spans="10:27" x14ac:dyDescent="0.2">
      <c r="Y143" s="1">
        <f>AVERAGE(Y138:Y142)</f>
        <v>0.64970251430203241</v>
      </c>
      <c r="Z143">
        <f>STDEV(Y138:Y142)</f>
        <v>5.2323494518301719E-2</v>
      </c>
      <c r="AA143" s="10"/>
    </row>
    <row r="144" spans="10:27" x14ac:dyDescent="0.2">
      <c r="J144" t="s">
        <v>174</v>
      </c>
      <c r="K144">
        <v>100000</v>
      </c>
      <c r="L144">
        <v>929.59022200000004</v>
      </c>
      <c r="M144">
        <v>-14350.317389</v>
      </c>
      <c r="N144">
        <v>68565.108431999994</v>
      </c>
      <c r="O144">
        <v>-1.2017139999999999</v>
      </c>
      <c r="P144">
        <v>24.987514000000001</v>
      </c>
      <c r="Q144">
        <v>198.62378200000001</v>
      </c>
      <c r="R144">
        <v>13.814988</v>
      </c>
      <c r="S144">
        <v>2909</v>
      </c>
      <c r="T144">
        <v>387</v>
      </c>
      <c r="U144">
        <f>T144/(T144+S144)</f>
        <v>0.11741504854368932</v>
      </c>
      <c r="V144">
        <f>-4.0638-2.533*U144</f>
        <v>-4.361212317961165</v>
      </c>
      <c r="W144">
        <f>M144-(SUM(S144:T144)*V144)</f>
        <v>24.238411000000269</v>
      </c>
      <c r="X144">
        <f>W144/(2*P144*R144)</f>
        <v>3.5107555187233012E-2</v>
      </c>
      <c r="Y144">
        <f>X144*16.02</f>
        <v>0.56242303409947281</v>
      </c>
      <c r="AA144">
        <f>N144/SUM(S144:T144)</f>
        <v>20.80252076213592</v>
      </c>
    </row>
    <row r="145" spans="10:27" x14ac:dyDescent="0.2">
      <c r="K145">
        <v>100000</v>
      </c>
      <c r="L145">
        <v>929.36660600000005</v>
      </c>
      <c r="M145">
        <v>-14355.535269</v>
      </c>
      <c r="N145">
        <v>68580.346543000007</v>
      </c>
      <c r="O145">
        <v>-1.3700570000000001</v>
      </c>
      <c r="P145">
        <v>25.001776</v>
      </c>
      <c r="Q145">
        <v>198.41315800000001</v>
      </c>
      <c r="R145">
        <v>13.824835999999999</v>
      </c>
      <c r="S145">
        <v>2908</v>
      </c>
      <c r="T145">
        <v>388</v>
      </c>
      <c r="U145">
        <f>T145/(T145+S145)</f>
        <v>0.11771844660194175</v>
      </c>
      <c r="V145">
        <f>-4.0638-2.533*U145</f>
        <v>-4.3619808252427177</v>
      </c>
      <c r="W145">
        <f>M145-(SUM(S145:T145)*V145)</f>
        <v>21.553530999997747</v>
      </c>
      <c r="X145">
        <f>W145/(2*P145*R145)</f>
        <v>3.1178669961685751E-2</v>
      </c>
      <c r="Y145">
        <f>X145*16.02</f>
        <v>0.49948229278620571</v>
      </c>
      <c r="AA145">
        <f>N145/SUM(S145:T145)</f>
        <v>20.807143975424758</v>
      </c>
    </row>
    <row r="146" spans="10:27" x14ac:dyDescent="0.2">
      <c r="K146">
        <v>100000</v>
      </c>
      <c r="L146">
        <v>929.57763</v>
      </c>
      <c r="M146">
        <v>-14357.823665</v>
      </c>
      <c r="N146">
        <v>68555.110922000007</v>
      </c>
      <c r="O146">
        <v>-1.344727</v>
      </c>
      <c r="P146">
        <v>24.981667000000002</v>
      </c>
      <c r="Q146">
        <v>198.332774</v>
      </c>
      <c r="R146">
        <v>13.836471</v>
      </c>
      <c r="S146">
        <v>2907</v>
      </c>
      <c r="T146">
        <v>389</v>
      </c>
      <c r="U146">
        <f>T146/(T146+S146)</f>
        <v>0.11802184466019418</v>
      </c>
      <c r="V146">
        <f>-4.0638-2.533*U146</f>
        <v>-4.3627493325242712</v>
      </c>
      <c r="W146">
        <f>M146-(SUM(S146:T146)*V146)</f>
        <v>21.798134999997274</v>
      </c>
      <c r="X146">
        <f>W146/(2*P146*R146)</f>
        <v>3.153135180073615E-2</v>
      </c>
      <c r="Y146">
        <f>X146*16.02</f>
        <v>0.50513225584779309</v>
      </c>
      <c r="AA146">
        <f>N146/SUM(S146:T146)</f>
        <v>20.799487537014564</v>
      </c>
    </row>
    <row r="147" spans="10:27" x14ac:dyDescent="0.2">
      <c r="K147">
        <v>100000</v>
      </c>
      <c r="L147">
        <v>929.640354</v>
      </c>
      <c r="M147">
        <v>-14342.199848</v>
      </c>
      <c r="N147">
        <v>68624.882830999995</v>
      </c>
      <c r="O147">
        <v>-1.235096</v>
      </c>
      <c r="P147">
        <v>25.002853000000002</v>
      </c>
      <c r="Q147">
        <v>198.42499799999999</v>
      </c>
      <c r="R147">
        <v>13.832392</v>
      </c>
      <c r="S147">
        <v>2911</v>
      </c>
      <c r="T147">
        <v>385</v>
      </c>
      <c r="U147">
        <f>T147/(T147+S147)</f>
        <v>0.11680825242718447</v>
      </c>
      <c r="V147">
        <f>-4.0638-2.533*U147</f>
        <v>-4.359675303398058</v>
      </c>
      <c r="W147">
        <f>M147-(SUM(S147:T147)*V147)</f>
        <v>27.289951999999175</v>
      </c>
      <c r="X147">
        <f>W147/(2*P147*R147)</f>
        <v>3.9453534899883749E-2</v>
      </c>
      <c r="Y147">
        <f>X147*16.02</f>
        <v>0.6320456290961376</v>
      </c>
      <c r="AA147">
        <f>N147/SUM(S147:T147)</f>
        <v>20.820656198725725</v>
      </c>
    </row>
    <row r="148" spans="10:27" x14ac:dyDescent="0.2">
      <c r="K148">
        <v>100000</v>
      </c>
      <c r="L148">
        <v>929.61201500000004</v>
      </c>
      <c r="M148">
        <v>-14383.954099</v>
      </c>
      <c r="N148">
        <v>68494.688101000007</v>
      </c>
      <c r="O148">
        <v>-1.2614890000000001</v>
      </c>
      <c r="P148">
        <v>24.975158</v>
      </c>
      <c r="Q148">
        <v>198.277411</v>
      </c>
      <c r="R148">
        <v>13.831751000000001</v>
      </c>
      <c r="S148">
        <v>2894</v>
      </c>
      <c r="T148">
        <v>402</v>
      </c>
      <c r="U148">
        <f>T148/(T148+S148)</f>
        <v>0.12196601941747573</v>
      </c>
      <c r="V148">
        <f>-4.0638-2.533*U148</f>
        <v>-4.3727399271844654</v>
      </c>
      <c r="W148">
        <f>M148-(SUM(S148:T148)*V148)</f>
        <v>28.596700999996756</v>
      </c>
      <c r="X148">
        <f>W148/(2*P148*R148)</f>
        <v>4.1390486619247532E-2</v>
      </c>
      <c r="Y148">
        <f>X148*16.02</f>
        <v>0.66307559564034546</v>
      </c>
      <c r="AA148">
        <f>N148/SUM(S148:T148)</f>
        <v>20.781155370449031</v>
      </c>
    </row>
    <row r="149" spans="10:27" x14ac:dyDescent="0.2">
      <c r="Y149" s="1">
        <f>AVERAGE(Y144:Y148)</f>
        <v>0.57243176149399089</v>
      </c>
      <c r="Z149">
        <f>STDEV(Y144:Y148)</f>
        <v>7.369046910602943E-2</v>
      </c>
      <c r="AA149" s="10"/>
    </row>
    <row r="150" spans="10:27" x14ac:dyDescent="0.2">
      <c r="J150" t="s">
        <v>175</v>
      </c>
      <c r="K150">
        <v>100000</v>
      </c>
      <c r="L150">
        <v>929.56180400000005</v>
      </c>
      <c r="M150">
        <v>-20699.628632</v>
      </c>
      <c r="N150">
        <v>98876.012256000002</v>
      </c>
      <c r="O150">
        <v>-0.74102400000000002</v>
      </c>
      <c r="P150">
        <v>34.673292000000004</v>
      </c>
      <c r="Q150">
        <v>206.254167</v>
      </c>
      <c r="R150">
        <v>13.825938000000001</v>
      </c>
      <c r="S150">
        <v>4190</v>
      </c>
      <c r="T150">
        <v>562</v>
      </c>
      <c r="U150">
        <f>T150/(T150+S150)</f>
        <v>0.11826599326599327</v>
      </c>
      <c r="V150">
        <f>-4.0638-2.533*U150</f>
        <v>-4.3633677609427606</v>
      </c>
      <c r="W150">
        <f>M150-(SUM(S150:T150)*V150)</f>
        <v>35.094967999997607</v>
      </c>
      <c r="X150">
        <f>W150/(2*P150*R150)</f>
        <v>3.6603715658831748E-2</v>
      </c>
      <c r="Y150">
        <f>X150*16.02</f>
        <v>0.58639152485448454</v>
      </c>
      <c r="AA150">
        <f>N150/SUM(S150:T150)</f>
        <v>20.807241636363635</v>
      </c>
    </row>
    <row r="151" spans="10:27" x14ac:dyDescent="0.2">
      <c r="K151">
        <v>100000</v>
      </c>
      <c r="L151">
        <v>929.69390299999998</v>
      </c>
      <c r="M151">
        <v>-20636.107397</v>
      </c>
      <c r="N151">
        <v>99083.092025999998</v>
      </c>
      <c r="O151">
        <v>-0.78569999999999995</v>
      </c>
      <c r="P151">
        <v>34.684655999999997</v>
      </c>
      <c r="Q151">
        <v>206.16698400000001</v>
      </c>
      <c r="R151">
        <v>13.856202</v>
      </c>
      <c r="S151">
        <v>4216</v>
      </c>
      <c r="T151">
        <v>536</v>
      </c>
      <c r="U151">
        <f>T151/(T151+S151)</f>
        <v>0.11279461279461279</v>
      </c>
      <c r="V151">
        <f>-4.0638-2.533*U151</f>
        <v>-4.3495087542087543</v>
      </c>
      <c r="W151">
        <f>M151-(SUM(S151:T151)*V151)</f>
        <v>32.758203000001231</v>
      </c>
      <c r="X151">
        <f>W151/(2*P151*R151)</f>
        <v>3.4080697668012493E-2</v>
      </c>
      <c r="Y151">
        <f>X151*16.02</f>
        <v>0.54597277664156008</v>
      </c>
      <c r="AA151">
        <f>N151/SUM(S151:T151)</f>
        <v>20.850819029040405</v>
      </c>
    </row>
    <row r="152" spans="10:27" x14ac:dyDescent="0.2">
      <c r="K152">
        <v>100000</v>
      </c>
      <c r="L152">
        <v>929.82820800000002</v>
      </c>
      <c r="M152">
        <v>-20685.577322000001</v>
      </c>
      <c r="N152">
        <v>98905.459040999995</v>
      </c>
      <c r="O152">
        <v>-0.79077799999999998</v>
      </c>
      <c r="P152">
        <v>34.670381999999996</v>
      </c>
      <c r="Q152">
        <v>206.20360700000001</v>
      </c>
      <c r="R152">
        <v>13.834597</v>
      </c>
      <c r="S152">
        <v>4196</v>
      </c>
      <c r="T152">
        <v>556</v>
      </c>
      <c r="U152">
        <f>T152/(T152+S152)</f>
        <v>0.117003367003367</v>
      </c>
      <c r="V152">
        <f>-4.0638-2.533*U152</f>
        <v>-4.3601695286195286</v>
      </c>
      <c r="W152">
        <f>M152-(SUM(S152:T152)*V152)</f>
        <v>33.948277999999846</v>
      </c>
      <c r="X152">
        <f>W152/(2*P152*R152)</f>
        <v>3.5388537486519933E-2</v>
      </c>
      <c r="Y152">
        <f>X152*16.02</f>
        <v>0.56692437053404932</v>
      </c>
      <c r="AA152">
        <f>N152/SUM(S152:T152)</f>
        <v>20.813438350378785</v>
      </c>
    </row>
    <row r="153" spans="10:27" x14ac:dyDescent="0.2">
      <c r="K153">
        <v>100000</v>
      </c>
      <c r="L153">
        <v>929.82476599999995</v>
      </c>
      <c r="M153">
        <v>-20749.789829000001</v>
      </c>
      <c r="N153">
        <v>98731.543319000004</v>
      </c>
      <c r="O153">
        <v>-0.92896000000000001</v>
      </c>
      <c r="P153">
        <v>34.643087000000001</v>
      </c>
      <c r="Q153">
        <v>206.21525</v>
      </c>
      <c r="R153">
        <v>13.820361</v>
      </c>
      <c r="S153">
        <v>4170</v>
      </c>
      <c r="T153">
        <v>582</v>
      </c>
      <c r="U153">
        <f>T153/(T153+S153)</f>
        <v>0.12247474747474747</v>
      </c>
      <c r="V153">
        <f>-4.0638-2.533*U153</f>
        <v>-4.3740285353535349</v>
      </c>
      <c r="W153">
        <f>M153-(SUM(S153:T153)*V153)</f>
        <v>35.593770999996195</v>
      </c>
      <c r="X153">
        <f>W153/(2*P153*R153)</f>
        <v>3.7171324347513919E-2</v>
      </c>
      <c r="Y153">
        <f>X153*16.02</f>
        <v>0.59548461604717295</v>
      </c>
      <c r="AA153">
        <f>N153/SUM(S153:T153)</f>
        <v>20.776839924031986</v>
      </c>
    </row>
    <row r="154" spans="10:27" x14ac:dyDescent="0.2">
      <c r="K154">
        <v>100000</v>
      </c>
      <c r="L154">
        <v>929.604646</v>
      </c>
      <c r="M154">
        <v>-20774.241130999999</v>
      </c>
      <c r="N154">
        <v>98629.891355999993</v>
      </c>
      <c r="O154">
        <v>-1.0145759999999999</v>
      </c>
      <c r="P154">
        <v>34.633324999999999</v>
      </c>
      <c r="Q154">
        <v>205.96193500000001</v>
      </c>
      <c r="R154">
        <v>13.827018000000001</v>
      </c>
      <c r="S154">
        <v>4160</v>
      </c>
      <c r="T154">
        <v>592</v>
      </c>
      <c r="U154">
        <f>T154/(T154+S154)</f>
        <v>0.12457912457912458</v>
      </c>
      <c r="V154">
        <f>-4.0638-2.533*U154</f>
        <v>-4.3793589225589225</v>
      </c>
      <c r="W154">
        <f>M154-(SUM(S154:T154)*V154)</f>
        <v>36.472469000000274</v>
      </c>
      <c r="X154">
        <f>W154/(2*P154*R154)</f>
        <v>3.8081360145914157E-2</v>
      </c>
      <c r="Y154">
        <f>X154*16.02</f>
        <v>0.6100633895375448</v>
      </c>
      <c r="AA154">
        <f>N154/SUM(S154:T154)</f>
        <v>20.755448517676765</v>
      </c>
    </row>
    <row r="155" spans="10:27" x14ac:dyDescent="0.2">
      <c r="Y155" s="1">
        <f>AVERAGE(Y150:Y154)</f>
        <v>0.58096733552296231</v>
      </c>
      <c r="Z155">
        <f>STDEV(Y150:Y154)</f>
        <v>2.5042851474652857E-2</v>
      </c>
      <c r="AA155" s="10"/>
    </row>
    <row r="156" spans="10:27" x14ac:dyDescent="0.2">
      <c r="J156" t="s">
        <v>110</v>
      </c>
      <c r="L156">
        <v>867.53861500000005</v>
      </c>
      <c r="M156">
        <v>-16695.443174</v>
      </c>
      <c r="N156">
        <v>79412.893633</v>
      </c>
      <c r="O156">
        <v>-0.90915299999999999</v>
      </c>
      <c r="P156">
        <v>31.061035</v>
      </c>
      <c r="Q156">
        <v>184.87928500000001</v>
      </c>
      <c r="R156">
        <v>13.828934</v>
      </c>
      <c r="S156">
        <v>3356</v>
      </c>
      <c r="T156">
        <v>468</v>
      </c>
      <c r="U156">
        <f>T156/(T156+S156)</f>
        <v>0.12238493723849372</v>
      </c>
      <c r="V156">
        <f t="shared" ref="V156:V160" si="23">-4.0638-2.533*U156</f>
        <v>-4.373801046025104</v>
      </c>
      <c r="W156">
        <f>M156-(SUM(S156:T156)*V156)</f>
        <v>29.97202599999946</v>
      </c>
      <c r="X156">
        <f>W156/(2*P156*R156)</f>
        <v>3.4888434155991611E-2</v>
      </c>
      <c r="Y156">
        <f>X156*16.02</f>
        <v>0.55891271517898555</v>
      </c>
      <c r="AA156">
        <f>N156/SUM(S156:T156)</f>
        <v>20.766970092311716</v>
      </c>
    </row>
    <row r="157" spans="10:27" x14ac:dyDescent="0.2">
      <c r="L157">
        <v>867.71660099999997</v>
      </c>
      <c r="M157">
        <v>-16600.010468</v>
      </c>
      <c r="N157">
        <v>79687.610608000003</v>
      </c>
      <c r="O157">
        <v>-1.0359959999999999</v>
      </c>
      <c r="P157">
        <v>31.101239</v>
      </c>
      <c r="Q157">
        <v>185.021074</v>
      </c>
      <c r="R157">
        <v>13.848217</v>
      </c>
      <c r="S157">
        <v>3391</v>
      </c>
      <c r="T157">
        <v>432</v>
      </c>
      <c r="U157">
        <f>T157/(T157+S157)</f>
        <v>0.11300026157467957</v>
      </c>
      <c r="V157">
        <f t="shared" si="23"/>
        <v>-4.3500296625686632</v>
      </c>
      <c r="W157">
        <f>M157-(SUM(S157:T157)*V157)</f>
        <v>30.152931999997236</v>
      </c>
      <c r="X157">
        <f>W157/(2*P157*R157)</f>
        <v>3.5004832327566758E-2</v>
      </c>
      <c r="Y157">
        <f>X157*16.02</f>
        <v>0.56077741388761948</v>
      </c>
      <c r="AA157">
        <f>N157/SUM(S157:T157)</f>
        <v>20.844261210567616</v>
      </c>
    </row>
    <row r="158" spans="10:27" x14ac:dyDescent="0.2">
      <c r="L158">
        <v>867.42600300000004</v>
      </c>
      <c r="M158">
        <v>-16632.347733999999</v>
      </c>
      <c r="N158">
        <v>79627.998791000005</v>
      </c>
      <c r="O158">
        <v>-0.97634699999999996</v>
      </c>
      <c r="P158">
        <v>31.060452000000002</v>
      </c>
      <c r="Q158">
        <v>184.85686899999999</v>
      </c>
      <c r="R158">
        <v>13.868339000000001</v>
      </c>
      <c r="S158">
        <v>3379</v>
      </c>
      <c r="T158">
        <v>445</v>
      </c>
      <c r="U158">
        <f>T158/(T158+S158)</f>
        <v>0.11637029288702928</v>
      </c>
      <c r="V158">
        <f t="shared" si="23"/>
        <v>-4.358565951882845</v>
      </c>
      <c r="W158">
        <f>M158-(SUM(S158:T158)*V158)</f>
        <v>34.808465999998589</v>
      </c>
      <c r="X158">
        <f>W158/(2*P158*R158)</f>
        <v>4.0403842389486209E-2</v>
      </c>
      <c r="Y158">
        <f>X158*16.02</f>
        <v>0.64726955507956907</v>
      </c>
      <c r="AA158">
        <f>N158/SUM(S158:T158)</f>
        <v>20.823221441161088</v>
      </c>
    </row>
    <row r="159" spans="10:27" x14ac:dyDescent="0.2">
      <c r="L159">
        <v>867.68571799999995</v>
      </c>
      <c r="M159">
        <v>-16604.671246000002</v>
      </c>
      <c r="N159">
        <v>79709.572665999993</v>
      </c>
      <c r="O159">
        <v>-1.006594</v>
      </c>
      <c r="P159">
        <v>31.079098999999999</v>
      </c>
      <c r="Q159">
        <v>184.971317</v>
      </c>
      <c r="R159">
        <v>13.865629</v>
      </c>
      <c r="S159">
        <v>3391</v>
      </c>
      <c r="T159">
        <v>433</v>
      </c>
      <c r="U159">
        <f>T159/(T159+S159)</f>
        <v>0.11323221757322176</v>
      </c>
      <c r="V159">
        <f t="shared" si="23"/>
        <v>-4.3506172071129701</v>
      </c>
      <c r="W159">
        <f>M159-(SUM(S159:T159)*V159)</f>
        <v>32.088953999995283</v>
      </c>
      <c r="X159">
        <f>W159/(2*P159*R159)</f>
        <v>3.7232103176896264E-2</v>
      </c>
      <c r="Y159">
        <f>X159*16.02</f>
        <v>0.59645829289387808</v>
      </c>
      <c r="AA159">
        <f>N159/SUM(S159:T159)</f>
        <v>20.844553521443512</v>
      </c>
    </row>
    <row r="160" spans="10:27" x14ac:dyDescent="0.2">
      <c r="L160">
        <v>867.52598799999998</v>
      </c>
      <c r="M160">
        <v>-16562.082656999999</v>
      </c>
      <c r="N160">
        <v>79835.779932999998</v>
      </c>
      <c r="O160">
        <v>-1.0084340000000001</v>
      </c>
      <c r="P160">
        <v>31.099833</v>
      </c>
      <c r="Q160">
        <v>185.055734</v>
      </c>
      <c r="R160">
        <v>13.871983999999999</v>
      </c>
      <c r="S160">
        <v>3407</v>
      </c>
      <c r="T160">
        <v>417</v>
      </c>
      <c r="U160">
        <f>T160/(T160+S160)</f>
        <v>0.10904811715481172</v>
      </c>
      <c r="V160">
        <f t="shared" si="23"/>
        <v>-4.3400188807531377</v>
      </c>
      <c r="W160">
        <f>M160-(SUM(S160:T160)*V160)</f>
        <v>34.149542999999539</v>
      </c>
      <c r="X160">
        <f>W160/(2*P160*R160)</f>
        <v>3.9578402821165856E-2</v>
      </c>
      <c r="Y160">
        <f>X160*16.02</f>
        <v>0.63404601319507703</v>
      </c>
      <c r="AA160">
        <f>N160/SUM(S160:T160)</f>
        <v>20.877557513859831</v>
      </c>
    </row>
    <row r="161" spans="10:27" x14ac:dyDescent="0.2">
      <c r="Y161" s="1">
        <f>AVERAGE(Y156:Y160)</f>
        <v>0.59949279804702582</v>
      </c>
      <c r="Z161">
        <f>STDEV(Y156:Y160)</f>
        <v>4.0716628996412797E-2</v>
      </c>
      <c r="AA161" s="10"/>
    </row>
    <row r="162" spans="10:27" x14ac:dyDescent="0.2">
      <c r="Y162" s="1"/>
      <c r="AA162" s="10"/>
    </row>
    <row r="163" spans="10:27" x14ac:dyDescent="0.2">
      <c r="J163" t="s">
        <v>69</v>
      </c>
      <c r="L163" t="s">
        <v>74</v>
      </c>
      <c r="X163" t="s">
        <v>25</v>
      </c>
      <c r="Y163" t="s">
        <v>24</v>
      </c>
    </row>
    <row r="164" spans="10:27" x14ac:dyDescent="0.2">
      <c r="L164" t="s">
        <v>18</v>
      </c>
      <c r="M164" t="s">
        <v>5</v>
      </c>
      <c r="N164" t="s">
        <v>7</v>
      </c>
      <c r="O164" t="s">
        <v>19</v>
      </c>
      <c r="P164" t="s">
        <v>20</v>
      </c>
      <c r="Q164" t="s">
        <v>21</v>
      </c>
      <c r="R164" t="s">
        <v>22</v>
      </c>
      <c r="S164" t="s">
        <v>4</v>
      </c>
      <c r="T164" t="s">
        <v>10</v>
      </c>
      <c r="U164" t="s">
        <v>13</v>
      </c>
      <c r="V164" t="s">
        <v>26</v>
      </c>
      <c r="W164" t="s">
        <v>12</v>
      </c>
      <c r="X164" t="s">
        <v>23</v>
      </c>
      <c r="Y164" t="s">
        <v>23</v>
      </c>
    </row>
    <row r="165" spans="10:27" x14ac:dyDescent="0.2">
      <c r="J165" t="s">
        <v>55</v>
      </c>
      <c r="L165">
        <v>1041.0062170000001</v>
      </c>
      <c r="M165">
        <v>-16923.057768999999</v>
      </c>
      <c r="N165">
        <v>81642.822222000003</v>
      </c>
      <c r="O165">
        <v>-1.2068540000000001</v>
      </c>
      <c r="P165">
        <v>31.417261</v>
      </c>
      <c r="Q165">
        <v>187.422653</v>
      </c>
      <c r="R165">
        <v>13.865339000000001</v>
      </c>
      <c r="S165">
        <v>3433</v>
      </c>
      <c r="T165">
        <v>471</v>
      </c>
      <c r="U165">
        <f>T165/(T165+S165)</f>
        <v>0.12064549180327869</v>
      </c>
      <c r="V165">
        <f>-4.0355-2.538*U165</f>
        <v>-4.3416982581967209</v>
      </c>
      <c r="W165">
        <f>M165-(SUM(S165:T165)*V165)</f>
        <v>26.932230999998865</v>
      </c>
      <c r="X165">
        <f>W165/(2*P165*R165)</f>
        <v>3.0913168623036984E-2</v>
      </c>
      <c r="Y165">
        <f>X165*16.02</f>
        <v>0.49522896134105249</v>
      </c>
      <c r="AA165">
        <f>N165/SUM(S165:T165)</f>
        <v>20.912608151127049</v>
      </c>
    </row>
    <row r="166" spans="10:27" x14ac:dyDescent="0.2">
      <c r="L166">
        <v>1040.931791</v>
      </c>
      <c r="M166">
        <v>-16851.059032000001</v>
      </c>
      <c r="N166">
        <v>81847.043273000003</v>
      </c>
      <c r="O166">
        <v>-1.284289</v>
      </c>
      <c r="P166">
        <v>31.463062999999998</v>
      </c>
      <c r="Q166">
        <v>187.36555300000001</v>
      </c>
      <c r="R166">
        <v>13.884022</v>
      </c>
      <c r="S166">
        <v>3460</v>
      </c>
      <c r="T166">
        <v>444</v>
      </c>
      <c r="U166">
        <f>T166/(T166+S166)</f>
        <v>0.11372950819672131</v>
      </c>
      <c r="V166">
        <f>-4.0355-2.538*U166</f>
        <v>-4.3241454918032787</v>
      </c>
      <c r="W166">
        <f>M166-(SUM(S166:T166)*V166)</f>
        <v>30.404967999998917</v>
      </c>
      <c r="X166">
        <f>W166/(2*P166*R166)</f>
        <v>3.4801523945507645E-2</v>
      </c>
      <c r="Y166">
        <f>X166*16.02</f>
        <v>0.55752041360703242</v>
      </c>
      <c r="AA166">
        <f>N166/SUM(S166:T166)</f>
        <v>20.964918871157789</v>
      </c>
    </row>
    <row r="167" spans="10:27" x14ac:dyDescent="0.2">
      <c r="L167">
        <v>1041.2400789999999</v>
      </c>
      <c r="M167">
        <v>-16876.359709</v>
      </c>
      <c r="N167">
        <v>81790.027170999994</v>
      </c>
      <c r="O167">
        <v>-1.167497</v>
      </c>
      <c r="P167">
        <v>31.391425000000002</v>
      </c>
      <c r="Q167">
        <v>187.827448</v>
      </c>
      <c r="R167">
        <v>13.871803999999999</v>
      </c>
      <c r="S167">
        <v>3451</v>
      </c>
      <c r="T167">
        <v>453</v>
      </c>
      <c r="U167">
        <f>T167/(T167+S167)</f>
        <v>0.11603483606557377</v>
      </c>
      <c r="V167">
        <f>-4.0355-2.538*U167</f>
        <v>-4.3299964139344258</v>
      </c>
      <c r="W167">
        <f>M167-(SUM(S167:T167)*V167)</f>
        <v>27.946290999996563</v>
      </c>
      <c r="X167">
        <f>W167/(2*P167*R167)</f>
        <v>3.208855840965967E-2</v>
      </c>
      <c r="Y167">
        <f>X167*16.02</f>
        <v>0.51405870572274792</v>
      </c>
      <c r="AA167">
        <f>N167/SUM(S167:T167)</f>
        <v>20.950314336834015</v>
      </c>
    </row>
    <row r="168" spans="10:27" x14ac:dyDescent="0.2">
      <c r="L168">
        <v>1040.8146690000001</v>
      </c>
      <c r="M168">
        <v>-16845.682957000001</v>
      </c>
      <c r="N168">
        <v>81872.550443999993</v>
      </c>
      <c r="O168">
        <v>-1.2869820000000001</v>
      </c>
      <c r="P168">
        <v>31.450023999999999</v>
      </c>
      <c r="Q168">
        <v>187.53257600000001</v>
      </c>
      <c r="R168">
        <v>13.881728000000001</v>
      </c>
      <c r="S168">
        <v>3462</v>
      </c>
      <c r="T168">
        <v>442</v>
      </c>
      <c r="U168">
        <f>T168/(T168+S168)</f>
        <v>0.11321721311475409</v>
      </c>
      <c r="V168">
        <f>-4.0355-2.538*U168</f>
        <v>-4.3228452868852454</v>
      </c>
      <c r="W168">
        <f>M168-(SUM(S168:T168)*V168)</f>
        <v>30.705042999998113</v>
      </c>
      <c r="X168">
        <f>W168/(2*P168*R168)</f>
        <v>3.5165370908195825E-2</v>
      </c>
      <c r="Y168">
        <f>X168*16.02</f>
        <v>0.56334924194929714</v>
      </c>
      <c r="AA168">
        <f>N168/SUM(S168:T168)</f>
        <v>20.971452470286884</v>
      </c>
    </row>
    <row r="169" spans="10:27" x14ac:dyDescent="0.2">
      <c r="L169">
        <v>1041.2209190000001</v>
      </c>
      <c r="M169">
        <v>-16799.662101000002</v>
      </c>
      <c r="N169">
        <v>82016.619911000002</v>
      </c>
      <c r="O169">
        <v>-1.309023</v>
      </c>
      <c r="P169">
        <v>31.441555999999999</v>
      </c>
      <c r="Q169">
        <v>187.71507299999999</v>
      </c>
      <c r="R169">
        <v>13.896381</v>
      </c>
      <c r="S169">
        <v>3480</v>
      </c>
      <c r="T169">
        <v>424</v>
      </c>
      <c r="U169">
        <f>T169/(T169+S169)</f>
        <v>0.10860655737704918</v>
      </c>
      <c r="V169">
        <f>-4.0355-2.538*U169</f>
        <v>-4.3111434426229502</v>
      </c>
      <c r="W169">
        <f>M169-(SUM(S169:T169)*V169)</f>
        <v>31.041898999996192</v>
      </c>
      <c r="X169">
        <f>W169/(2*P169*R169)</f>
        <v>3.5523237756840367E-2</v>
      </c>
      <c r="Y169">
        <f>X169*16.02</f>
        <v>0.56908226886458269</v>
      </c>
      <c r="AA169">
        <f>N169/SUM(S169:T169)</f>
        <v>21.008355509989755</v>
      </c>
    </row>
    <row r="170" spans="10:27" x14ac:dyDescent="0.2">
      <c r="M170">
        <f>AVERAGE(M165:M169)</f>
        <v>-16859.164313599998</v>
      </c>
      <c r="Y170" s="1">
        <f>AVERAGE(Y165:Y169)</f>
        <v>0.53984791829694267</v>
      </c>
      <c r="Z170">
        <f>STDEV(Y165:Y169)</f>
        <v>3.3072690252072476E-2</v>
      </c>
      <c r="AA170" s="10"/>
    </row>
    <row r="171" spans="10:27" x14ac:dyDescent="0.2">
      <c r="J171" t="s">
        <v>133</v>
      </c>
      <c r="K171">
        <v>100000</v>
      </c>
      <c r="L171">
        <v>1115.894812</v>
      </c>
      <c r="M171">
        <v>-13777.324495999999</v>
      </c>
      <c r="N171">
        <v>66159.091199000002</v>
      </c>
      <c r="O171">
        <v>-1.675502</v>
      </c>
      <c r="P171">
        <v>24.522783</v>
      </c>
      <c r="Q171">
        <v>194.82335699999999</v>
      </c>
      <c r="R171">
        <v>13.847868</v>
      </c>
      <c r="S171">
        <v>2767</v>
      </c>
      <c r="T171">
        <v>401</v>
      </c>
      <c r="U171">
        <f>T171/(T171+S171)</f>
        <v>0.12657828282828282</v>
      </c>
      <c r="V171">
        <f>-4.0355-2.538*U171</f>
        <v>-4.3567556818181821</v>
      </c>
      <c r="W171">
        <f>M171-(SUM(S171:T171)*V171)</f>
        <v>24.877504000001863</v>
      </c>
      <c r="X171">
        <f>W171/(2*P171*R171)</f>
        <v>3.6628922117621476E-2</v>
      </c>
      <c r="Y171">
        <f>X171*16.02</f>
        <v>0.58679533232429604</v>
      </c>
      <c r="AA171">
        <f>N171/SUM(S171:T171)</f>
        <v>20.883551514835858</v>
      </c>
    </row>
    <row r="172" spans="10:27" x14ac:dyDescent="0.2">
      <c r="K172">
        <v>100000</v>
      </c>
      <c r="L172">
        <v>1115.3924280000001</v>
      </c>
      <c r="M172">
        <v>-13692.130813</v>
      </c>
      <c r="N172">
        <v>66405.611638000002</v>
      </c>
      <c r="O172">
        <v>-1.7893319999999999</v>
      </c>
      <c r="P172">
        <v>24.608788000000001</v>
      </c>
      <c r="Q172">
        <v>194.53446199999999</v>
      </c>
      <c r="R172">
        <v>13.871423999999999</v>
      </c>
      <c r="S172">
        <v>2801</v>
      </c>
      <c r="T172">
        <v>367</v>
      </c>
      <c r="U172">
        <f>T172/(T172+S172)</f>
        <v>0.1158459595959596</v>
      </c>
      <c r="V172">
        <f>-4.0355-2.538*U172</f>
        <v>-4.3295170454545451</v>
      </c>
      <c r="W172">
        <f>M172-(SUM(S172:T172)*V172)</f>
        <v>23.779186999998274</v>
      </c>
      <c r="X172">
        <f>W172/(2*P172*R172)</f>
        <v>3.4830181281108909E-2</v>
      </c>
      <c r="Y172">
        <f>X172*16.02</f>
        <v>0.55797950412336472</v>
      </c>
      <c r="AA172">
        <f>N172/SUM(S172:T172)</f>
        <v>20.961367309974747</v>
      </c>
    </row>
    <row r="173" spans="10:27" x14ac:dyDescent="0.2">
      <c r="K173">
        <v>100000</v>
      </c>
      <c r="L173">
        <v>1115.558368</v>
      </c>
      <c r="M173">
        <v>-13666.961123999999</v>
      </c>
      <c r="N173">
        <v>66481.554642999996</v>
      </c>
      <c r="O173">
        <v>-1.771998</v>
      </c>
      <c r="P173">
        <v>24.557120000000001</v>
      </c>
      <c r="Q173">
        <v>194.851844</v>
      </c>
      <c r="R173">
        <v>13.893940000000001</v>
      </c>
      <c r="S173">
        <v>2812</v>
      </c>
      <c r="T173">
        <v>356</v>
      </c>
      <c r="U173">
        <f>T173/(T173+S173)</f>
        <v>0.11237373737373738</v>
      </c>
      <c r="V173">
        <f>-4.0355-2.538*U173</f>
        <v>-4.3207045454545456</v>
      </c>
      <c r="W173">
        <f>M173-(SUM(S173:T173)*V173)</f>
        <v>21.030876000000717</v>
      </c>
      <c r="X173">
        <f>W173/(2*P173*R173)</f>
        <v>3.0819423848487085E-2</v>
      </c>
      <c r="Y173">
        <f>X173*16.02</f>
        <v>0.49372717005276306</v>
      </c>
      <c r="AA173">
        <f>N173/SUM(S173:T173)</f>
        <v>20.985339218118686</v>
      </c>
    </row>
    <row r="174" spans="10:27" x14ac:dyDescent="0.2">
      <c r="K174">
        <v>100000</v>
      </c>
      <c r="L174">
        <v>1115.829324</v>
      </c>
      <c r="M174">
        <v>-13690.220716</v>
      </c>
      <c r="N174">
        <v>66398.774751999998</v>
      </c>
      <c r="O174">
        <v>-1.7808919999999999</v>
      </c>
      <c r="P174">
        <v>24.541737000000001</v>
      </c>
      <c r="Q174">
        <v>194.67109099999999</v>
      </c>
      <c r="R174">
        <v>13.898142</v>
      </c>
      <c r="S174">
        <v>2800</v>
      </c>
      <c r="T174">
        <v>368</v>
      </c>
      <c r="U174">
        <f>T174/(T174+S174)</f>
        <v>0.11616161616161616</v>
      </c>
      <c r="V174">
        <f>-4.0355-2.538*U174</f>
        <v>-4.330318181818182</v>
      </c>
      <c r="W174">
        <f>M174-(SUM(S174:T174)*V174)</f>
        <v>28.227284000000509</v>
      </c>
      <c r="X174">
        <f>W174/(2*P174*R174)</f>
        <v>4.1378720249128829E-2</v>
      </c>
      <c r="Y174">
        <f>X174*16.02</f>
        <v>0.66288709839104387</v>
      </c>
      <c r="AA174">
        <f>N174/SUM(S174:T174)</f>
        <v>20.959209202020201</v>
      </c>
    </row>
    <row r="175" spans="10:27" x14ac:dyDescent="0.2">
      <c r="K175">
        <v>100000</v>
      </c>
      <c r="L175">
        <v>1115.737392</v>
      </c>
      <c r="M175">
        <v>-13659.734011</v>
      </c>
      <c r="N175">
        <v>66498.891839000004</v>
      </c>
      <c r="O175">
        <v>-1.327893</v>
      </c>
      <c r="P175">
        <v>24.585747999999999</v>
      </c>
      <c r="Q175">
        <v>194.65916899999999</v>
      </c>
      <c r="R175">
        <v>13.895032</v>
      </c>
      <c r="S175">
        <v>2813</v>
      </c>
      <c r="T175">
        <v>355</v>
      </c>
      <c r="U175">
        <f>T175/(T175+S175)</f>
        <v>0.11205808080808081</v>
      </c>
      <c r="V175">
        <f>-4.0355-2.538*U175</f>
        <v>-4.3199034090909088</v>
      </c>
      <c r="W175">
        <f>M175-(SUM(S175:T175)*V175)</f>
        <v>25.719988999999259</v>
      </c>
      <c r="X175">
        <f>W175/(2*P175*R175)</f>
        <v>3.7644176907517035E-2</v>
      </c>
      <c r="Y175">
        <f>X175*16.02</f>
        <v>0.60305971405842285</v>
      </c>
      <c r="AA175">
        <f>N175/SUM(S175:T175)</f>
        <v>20.990811817866163</v>
      </c>
    </row>
    <row r="176" spans="10:27" x14ac:dyDescent="0.2">
      <c r="Y176" s="1">
        <f>AVERAGE(Y171:Y175)</f>
        <v>0.58088976378997814</v>
      </c>
      <c r="Z176">
        <f>STDEV(Y171:Y175)</f>
        <v>6.1992223426185537E-2</v>
      </c>
      <c r="AA176" s="10"/>
    </row>
    <row r="177" spans="5:27" x14ac:dyDescent="0.2">
      <c r="J177" t="s">
        <v>28</v>
      </c>
      <c r="L177">
        <v>1115.2399399999999</v>
      </c>
      <c r="M177">
        <v>-10727.616636999999</v>
      </c>
      <c r="N177">
        <v>51711.02016</v>
      </c>
      <c r="O177">
        <v>-1.9837400000000001</v>
      </c>
      <c r="P177">
        <v>35.423763999999998</v>
      </c>
      <c r="Q177">
        <v>140.647569</v>
      </c>
      <c r="R177">
        <v>10.379111</v>
      </c>
      <c r="S177">
        <v>2163</v>
      </c>
      <c r="T177">
        <v>309</v>
      </c>
      <c r="U177">
        <f>T177/(T177+S177)</f>
        <v>0.125</v>
      </c>
      <c r="V177">
        <f>-4.0355-2.538*U177</f>
        <v>-4.3527499999999995</v>
      </c>
      <c r="W177">
        <f>M177-(SUM(S177:T177)*V177)</f>
        <v>32.381362999998601</v>
      </c>
      <c r="X177">
        <f>W177/(2*P177*R177)</f>
        <v>4.4036243762423641E-2</v>
      </c>
      <c r="Y177">
        <f>X177*16.02</f>
        <v>0.70546062507402674</v>
      </c>
      <c r="AA177">
        <f>N177/SUM(S177:T177)</f>
        <v>20.918697475728155</v>
      </c>
    </row>
    <row r="178" spans="5:27" x14ac:dyDescent="0.2">
      <c r="L178">
        <v>1115.6537249999999</v>
      </c>
      <c r="M178">
        <v>-10665.851664</v>
      </c>
      <c r="N178">
        <v>51860.974559000002</v>
      </c>
      <c r="O178">
        <v>-2.3806039999999999</v>
      </c>
      <c r="P178">
        <v>35.474995999999997</v>
      </c>
      <c r="Q178">
        <v>140.467465</v>
      </c>
      <c r="R178">
        <v>10.407513</v>
      </c>
      <c r="S178">
        <v>2190</v>
      </c>
      <c r="T178">
        <v>282</v>
      </c>
      <c r="U178">
        <f>T178/(T178+S178)</f>
        <v>0.11407766990291263</v>
      </c>
      <c r="V178">
        <f>-4.0355-2.538*U178</f>
        <v>-4.3250291262135923</v>
      </c>
      <c r="W178">
        <f>M178-(SUM(S178:T178)*V178)</f>
        <v>25.620335999999952</v>
      </c>
      <c r="X178">
        <f>W178/(2*P178*R178)</f>
        <v>3.4696487258423704E-2</v>
      </c>
      <c r="Y178">
        <f>X178*16.02</f>
        <v>0.55583772587994773</v>
      </c>
      <c r="AA178">
        <f>N178/SUM(S178:T178)</f>
        <v>20.979358640372169</v>
      </c>
    </row>
    <row r="179" spans="5:27" x14ac:dyDescent="0.2">
      <c r="L179">
        <v>1115.4066459999999</v>
      </c>
      <c r="M179">
        <v>-10675.298038999999</v>
      </c>
      <c r="N179">
        <v>51869.790740999997</v>
      </c>
      <c r="O179">
        <v>-1.93956</v>
      </c>
      <c r="P179">
        <v>35.463904999999997</v>
      </c>
      <c r="Q179">
        <v>140.660945</v>
      </c>
      <c r="R179">
        <v>10.398208</v>
      </c>
      <c r="S179">
        <v>2185</v>
      </c>
      <c r="T179">
        <v>287</v>
      </c>
      <c r="U179">
        <f>T179/(T179+S179)</f>
        <v>0.11610032362459546</v>
      </c>
      <c r="V179">
        <f>-4.0355-2.538*U179</f>
        <v>-4.3301626213592233</v>
      </c>
      <c r="W179">
        <f>M179-(SUM(S179:T179)*V179)</f>
        <v>28.863961000000927</v>
      </c>
      <c r="X179">
        <f>W179/(2*P179*R179)</f>
        <v>3.9136400338202863E-2</v>
      </c>
      <c r="Y179">
        <f>X179*16.02</f>
        <v>0.62696513341800986</v>
      </c>
      <c r="AA179">
        <f>N179/SUM(S179:T179)</f>
        <v>20.982925057038834</v>
      </c>
    </row>
    <row r="180" spans="5:27" x14ac:dyDescent="0.2">
      <c r="E180" s="4"/>
      <c r="L180">
        <v>1115.5595499999999</v>
      </c>
      <c r="M180">
        <v>-10625.731227</v>
      </c>
      <c r="N180">
        <v>51991.558130999998</v>
      </c>
      <c r="O180">
        <v>-2.0897640000000002</v>
      </c>
      <c r="P180">
        <v>35.435414999999999</v>
      </c>
      <c r="Q180">
        <v>140.73019400000001</v>
      </c>
      <c r="R180">
        <v>10.425865999999999</v>
      </c>
      <c r="S180">
        <v>2203</v>
      </c>
      <c r="T180">
        <v>269</v>
      </c>
      <c r="U180">
        <f>T180/(T180+S180)</f>
        <v>0.10881877022653721</v>
      </c>
      <c r="V180">
        <f>-4.0355-2.538*U180</f>
        <v>-4.3116820388349515</v>
      </c>
      <c r="W180">
        <f>M180-(SUM(S180:T180)*V180)</f>
        <v>32.746773000000758</v>
      </c>
      <c r="X180">
        <f>W180/(2*P180*R180)</f>
        <v>4.4318887639624098E-2</v>
      </c>
      <c r="Y180">
        <f>X180*16.02</f>
        <v>0.709988579986778</v>
      </c>
      <c r="AA180">
        <f>N180/SUM(S180:T180)</f>
        <v>21.032183709951454</v>
      </c>
    </row>
    <row r="181" spans="5:27" x14ac:dyDescent="0.2">
      <c r="L181">
        <v>1115.724246</v>
      </c>
      <c r="M181">
        <v>-10668.113793</v>
      </c>
      <c r="N181">
        <v>51879.009952</v>
      </c>
      <c r="O181">
        <v>-2.3521350000000001</v>
      </c>
      <c r="P181">
        <v>35.452584000000002</v>
      </c>
      <c r="Q181">
        <v>140.78265500000001</v>
      </c>
      <c r="R181">
        <v>10.394392</v>
      </c>
      <c r="S181">
        <v>2189</v>
      </c>
      <c r="T181">
        <v>283</v>
      </c>
      <c r="U181">
        <f>T181/(T181+S181)</f>
        <v>0.11448220064724919</v>
      </c>
      <c r="V181">
        <f>-4.0355-2.538*U181</f>
        <v>-4.3260558252427179</v>
      </c>
      <c r="W181">
        <f>M181-(SUM(S181:T181)*V181)</f>
        <v>25.896206999997958</v>
      </c>
      <c r="X181">
        <f>W181/(2*P181*R181)</f>
        <v>3.5136554836276243E-2</v>
      </c>
      <c r="Y181">
        <f>X181*16.02</f>
        <v>0.56288760847714536</v>
      </c>
      <c r="AA181">
        <f>N181/SUM(S181:T181)</f>
        <v>20.986654511326861</v>
      </c>
    </row>
    <row r="182" spans="5:27" x14ac:dyDescent="0.2">
      <c r="Y182" s="1">
        <f>AVERAGE(Y177:Y181)</f>
        <v>0.63222793456718152</v>
      </c>
      <c r="Z182">
        <f>STDEV(Y177:Y181)</f>
        <v>7.4298362728311335E-2</v>
      </c>
    </row>
    <row r="183" spans="5:27" x14ac:dyDescent="0.2">
      <c r="J183" t="s">
        <v>134</v>
      </c>
      <c r="K183">
        <v>100000</v>
      </c>
      <c r="L183">
        <v>1115.5863710000001</v>
      </c>
      <c r="M183">
        <v>-14033.179275</v>
      </c>
      <c r="N183">
        <v>67554.718261000002</v>
      </c>
      <c r="O183">
        <v>-1.933522</v>
      </c>
      <c r="P183">
        <v>28.602922</v>
      </c>
      <c r="Q183">
        <v>170.34657100000001</v>
      </c>
      <c r="R183">
        <v>13.864841999999999</v>
      </c>
      <c r="S183">
        <v>2829</v>
      </c>
      <c r="T183">
        <v>403</v>
      </c>
      <c r="U183">
        <f>T183/(T183+S183)</f>
        <v>0.12469059405940594</v>
      </c>
      <c r="V183">
        <f>-4.0355-2.538*U183</f>
        <v>-4.3519647277227724</v>
      </c>
      <c r="W183">
        <f>M183-(SUM(S183:T183)*V183)</f>
        <v>32.370725000000675</v>
      </c>
      <c r="X183">
        <f>W183/(2*P183*R183)</f>
        <v>4.0812867008577114E-2</v>
      </c>
      <c r="Y183">
        <f>X183*16.02</f>
        <v>0.65382212947740537</v>
      </c>
      <c r="AA183">
        <f>N183/SUM(S183:T183)</f>
        <v>20.901831145111387</v>
      </c>
    </row>
    <row r="184" spans="5:27" x14ac:dyDescent="0.2">
      <c r="K184">
        <v>100000</v>
      </c>
      <c r="L184">
        <v>1115.2472310000001</v>
      </c>
      <c r="M184">
        <v>-13928.82158</v>
      </c>
      <c r="N184">
        <v>67865.729902999999</v>
      </c>
      <c r="O184">
        <v>-2.159087</v>
      </c>
      <c r="P184">
        <v>28.649432999999998</v>
      </c>
      <c r="Q184">
        <v>170.548821</v>
      </c>
      <c r="R184">
        <v>13.889557999999999</v>
      </c>
      <c r="S184">
        <v>2870</v>
      </c>
      <c r="T184">
        <v>362</v>
      </c>
      <c r="U184">
        <f>T184/(T184+S184)</f>
        <v>0.11200495049504951</v>
      </c>
      <c r="V184">
        <f>-4.0355-2.538*U184</f>
        <v>-4.3197685643564352</v>
      </c>
      <c r="W184">
        <f>M184-(SUM(S184:T184)*V184)</f>
        <v>32.670419999998558</v>
      </c>
      <c r="X184">
        <f>W184/(2*P184*R184)</f>
        <v>4.1050671447633857E-2</v>
      </c>
      <c r="Y184">
        <f>X184*16.02</f>
        <v>0.65763175659109441</v>
      </c>
      <c r="AA184">
        <f>N184/SUM(S184:T184)</f>
        <v>20.9980599947401</v>
      </c>
    </row>
    <row r="185" spans="5:27" x14ac:dyDescent="0.2">
      <c r="K185">
        <v>100000</v>
      </c>
      <c r="L185">
        <v>1115.328876</v>
      </c>
      <c r="M185">
        <v>-13953.255186</v>
      </c>
      <c r="N185">
        <v>67796.194971999998</v>
      </c>
      <c r="O185">
        <v>-1.6119289999999999</v>
      </c>
      <c r="P185">
        <v>28.658639999999998</v>
      </c>
      <c r="Q185">
        <v>170.544659</v>
      </c>
      <c r="R185">
        <v>13.871236</v>
      </c>
      <c r="S185">
        <v>2860</v>
      </c>
      <c r="T185">
        <v>372</v>
      </c>
      <c r="U185">
        <f>T185/(T185+S185)</f>
        <v>0.1150990099009901</v>
      </c>
      <c r="V185">
        <f>-4.0355-2.538*U185</f>
        <v>-4.3276212871287125</v>
      </c>
      <c r="W185">
        <f>M185-(SUM(S185:T185)*V185)</f>
        <v>33.616813999999067</v>
      </c>
      <c r="X185">
        <f>W185/(2*P185*R185)</f>
        <v>4.2282028810540342E-2</v>
      </c>
      <c r="Y185">
        <f>X185*16.02</f>
        <v>0.67735810154485632</v>
      </c>
      <c r="AA185">
        <f>N185/SUM(S185:T185)</f>
        <v>20.9765454740099</v>
      </c>
    </row>
    <row r="186" spans="5:27" x14ac:dyDescent="0.2">
      <c r="K186">
        <v>100000</v>
      </c>
      <c r="L186">
        <v>1115.2232770000001</v>
      </c>
      <c r="M186">
        <v>-13997.489219999999</v>
      </c>
      <c r="N186">
        <v>67662.989663</v>
      </c>
      <c r="O186">
        <v>-1.8215570000000001</v>
      </c>
      <c r="P186">
        <v>28.650853999999999</v>
      </c>
      <c r="Q186">
        <v>170.41206099999999</v>
      </c>
      <c r="R186">
        <v>13.858518</v>
      </c>
      <c r="S186">
        <v>2843</v>
      </c>
      <c r="T186">
        <v>389</v>
      </c>
      <c r="U186">
        <f>T186/(T186+S186)</f>
        <v>0.1203589108910891</v>
      </c>
      <c r="V186">
        <f>-4.0355-2.538*U186</f>
        <v>-4.3409709158415843</v>
      </c>
      <c r="W186">
        <f>M186-(SUM(S186:T186)*V186)</f>
        <v>32.528780000000552</v>
      </c>
      <c r="X186">
        <f>W186/(2*P186*R186)</f>
        <v>4.0962213589334474E-2</v>
      </c>
      <c r="Y186">
        <f>X186*16.02</f>
        <v>0.65621466170113829</v>
      </c>
      <c r="AA186">
        <f>N186/SUM(S186:T186)</f>
        <v>20.935330960086635</v>
      </c>
    </row>
    <row r="187" spans="5:27" x14ac:dyDescent="0.2">
      <c r="K187">
        <v>100000</v>
      </c>
      <c r="L187">
        <v>1115.1502129999999</v>
      </c>
      <c r="M187">
        <v>-13928.03289</v>
      </c>
      <c r="N187">
        <v>67860.651276000004</v>
      </c>
      <c r="O187">
        <v>-1.5990610000000001</v>
      </c>
      <c r="P187">
        <v>28.653400000000001</v>
      </c>
      <c r="Q187">
        <v>170.40908200000001</v>
      </c>
      <c r="R187">
        <v>13.897997</v>
      </c>
      <c r="S187">
        <v>2870</v>
      </c>
      <c r="T187">
        <v>362</v>
      </c>
      <c r="U187">
        <f>T187/(T187+S187)</f>
        <v>0.11200495049504951</v>
      </c>
      <c r="V187">
        <f>-4.0355-2.538*U187</f>
        <v>-4.3197685643564352</v>
      </c>
      <c r="W187">
        <f>M187-(SUM(S187:T187)*V187)</f>
        <v>33.459109999997963</v>
      </c>
      <c r="X187">
        <f>W187/(2*P187*R187)</f>
        <v>4.2010322248220891E-2</v>
      </c>
      <c r="Y187">
        <f>X187*16.02</f>
        <v>0.67300536241649866</v>
      </c>
      <c r="AA187">
        <f>N187/SUM(S187:T187)</f>
        <v>20.996488637376238</v>
      </c>
    </row>
    <row r="188" spans="5:27" x14ac:dyDescent="0.2">
      <c r="Y188" s="1">
        <f>AVERAGE(Y183:Y187)</f>
        <v>0.6636064023461985</v>
      </c>
      <c r="Z188">
        <f>STDEV(Y183:Y187)</f>
        <v>1.0764709685905175E-2</v>
      </c>
      <c r="AA188" s="10"/>
    </row>
    <row r="189" spans="5:27" x14ac:dyDescent="0.2">
      <c r="J189" t="s">
        <v>27</v>
      </c>
      <c r="L189">
        <v>1115.957533</v>
      </c>
      <c r="M189">
        <v>-12466.674967000001</v>
      </c>
      <c r="N189">
        <v>60343.459357</v>
      </c>
      <c r="O189">
        <v>-2.0184129999999998</v>
      </c>
      <c r="P189">
        <v>32.913316999999999</v>
      </c>
      <c r="Q189">
        <v>132.247061</v>
      </c>
      <c r="R189">
        <v>13.86361</v>
      </c>
      <c r="S189">
        <v>2535</v>
      </c>
      <c r="T189">
        <v>345</v>
      </c>
      <c r="U189">
        <f>T189/(T189+S189)</f>
        <v>0.11979166666666667</v>
      </c>
      <c r="V189">
        <f>-4.0355-2.538*U189</f>
        <v>-4.3395312500000003</v>
      </c>
      <c r="W189">
        <f>M189-(SUM(S189:T189)*V189)</f>
        <v>31.17503299999953</v>
      </c>
      <c r="X189">
        <f>W189/(2*P189*R189)</f>
        <v>3.4160871435796471E-2</v>
      </c>
      <c r="Y189">
        <f>X189*16.02</f>
        <v>0.54725716040145944</v>
      </c>
      <c r="AA189">
        <f>N189/SUM(S189:T189)</f>
        <v>20.952590054513887</v>
      </c>
    </row>
    <row r="190" spans="5:27" x14ac:dyDescent="0.2">
      <c r="L190">
        <v>1115.972559</v>
      </c>
      <c r="M190">
        <v>-12388.962890000001</v>
      </c>
      <c r="N190">
        <v>60564.055051000003</v>
      </c>
      <c r="O190">
        <v>-2.1899380000000002</v>
      </c>
      <c r="P190">
        <v>32.997438000000002</v>
      </c>
      <c r="Q190">
        <v>132.41639599999999</v>
      </c>
      <c r="R190">
        <v>13.861044</v>
      </c>
      <c r="S190">
        <v>2564</v>
      </c>
      <c r="T190">
        <v>316</v>
      </c>
      <c r="U190">
        <f>T190/(T190+S190)</f>
        <v>0.10972222222222222</v>
      </c>
      <c r="V190">
        <f>-4.0355-2.538*U190</f>
        <v>-4.3139750000000001</v>
      </c>
      <c r="W190">
        <f>M190-(SUM(S190:T190)*V190)</f>
        <v>35.285109999998895</v>
      </c>
      <c r="X190">
        <f>W190/(2*P190*R190)</f>
        <v>3.8573168672340029E-2</v>
      </c>
      <c r="Y190">
        <f>X190*16.02</f>
        <v>0.61794216213088726</v>
      </c>
      <c r="AA190">
        <f>N190/SUM(S190:T190)</f>
        <v>21.029185781597224</v>
      </c>
    </row>
    <row r="191" spans="5:27" x14ac:dyDescent="0.2">
      <c r="L191">
        <v>1115.7637749999999</v>
      </c>
      <c r="M191">
        <v>-12446.160261999999</v>
      </c>
      <c r="N191">
        <v>60403.057870999997</v>
      </c>
      <c r="O191">
        <v>-1.7818909999999999</v>
      </c>
      <c r="P191">
        <v>32.923983999999997</v>
      </c>
      <c r="Q191">
        <v>132.31878</v>
      </c>
      <c r="R191">
        <v>13.865259999999999</v>
      </c>
      <c r="S191">
        <v>2540</v>
      </c>
      <c r="T191">
        <v>340</v>
      </c>
      <c r="U191">
        <f>T191/(T191+S191)</f>
        <v>0.11805555555555555</v>
      </c>
      <c r="V191">
        <f>-4.0355-2.538*U191</f>
        <v>-4.3351249999999997</v>
      </c>
      <c r="W191">
        <f>M191-(SUM(S191:T191)*V191)</f>
        <v>38.999738000000434</v>
      </c>
      <c r="X191">
        <f>W191/(2*P191*R191)</f>
        <v>4.2716070438010526E-2</v>
      </c>
      <c r="Y191">
        <f>X191*16.02</f>
        <v>0.68431144841692859</v>
      </c>
      <c r="AA191">
        <f>N191/SUM(S191:T191)</f>
        <v>20.973283982986111</v>
      </c>
    </row>
    <row r="192" spans="5:27" x14ac:dyDescent="0.2">
      <c r="L192">
        <v>1115.368479</v>
      </c>
      <c r="M192">
        <v>-12418.077461000001</v>
      </c>
      <c r="N192">
        <v>60487.972831999999</v>
      </c>
      <c r="O192">
        <v>-1.8255170000000001</v>
      </c>
      <c r="P192">
        <v>32.959404999999997</v>
      </c>
      <c r="Q192">
        <v>132.325693</v>
      </c>
      <c r="R192">
        <v>13.869102</v>
      </c>
      <c r="S192">
        <v>2552</v>
      </c>
      <c r="T192">
        <v>328</v>
      </c>
      <c r="U192">
        <f>T192/(T192+S192)</f>
        <v>0.11388888888888889</v>
      </c>
      <c r="V192">
        <f>-4.0355-2.538*U192</f>
        <v>-4.3245499999999995</v>
      </c>
      <c r="W192">
        <f>M192-(SUM(S192:T192)*V192)</f>
        <v>36.626538999997138</v>
      </c>
      <c r="X192">
        <f>W192/(2*P192*R192)</f>
        <v>4.0062512411393712E-2</v>
      </c>
      <c r="Y192">
        <f>X192*16.02</f>
        <v>0.64180144883052725</v>
      </c>
      <c r="AA192">
        <f>N192/SUM(S192:T192)</f>
        <v>21.002768344444444</v>
      </c>
    </row>
    <row r="193" spans="10:27" x14ac:dyDescent="0.2">
      <c r="L193">
        <v>1115.871157</v>
      </c>
      <c r="M193">
        <v>-12411.225041</v>
      </c>
      <c r="N193">
        <v>60511.97309</v>
      </c>
      <c r="O193">
        <v>-1.947783</v>
      </c>
      <c r="P193">
        <v>32.980995</v>
      </c>
      <c r="Q193">
        <v>132.35281800000001</v>
      </c>
      <c r="R193">
        <v>13.862682</v>
      </c>
      <c r="S193">
        <v>2554</v>
      </c>
      <c r="T193">
        <v>326</v>
      </c>
      <c r="U193">
        <f>T193/(T193+S193)</f>
        <v>0.11319444444444444</v>
      </c>
      <c r="V193">
        <f>-4.0355-2.538*U193</f>
        <v>-4.3227874999999996</v>
      </c>
      <c r="W193">
        <f>M193-(SUM(S193:T193)*V193)</f>
        <v>38.4029589999991</v>
      </c>
      <c r="X193">
        <f>W193/(2*P193*R193)</f>
        <v>4.1997523166877077E-2</v>
      </c>
      <c r="Y193">
        <f>X193*16.02</f>
        <v>0.67280032113337074</v>
      </c>
      <c r="AA193">
        <f>N193/SUM(S193:T193)</f>
        <v>21.011101767361112</v>
      </c>
    </row>
    <row r="194" spans="10:27" x14ac:dyDescent="0.2">
      <c r="Y194" s="1">
        <f>AVERAGE(Y189:Y193)</f>
        <v>0.63282250818263464</v>
      </c>
      <c r="Z194">
        <f>STDEV(Y189:Y193)</f>
        <v>5.448121536242178E-2</v>
      </c>
    </row>
    <row r="195" spans="10:27" x14ac:dyDescent="0.2">
      <c r="J195" t="s">
        <v>172</v>
      </c>
      <c r="K195">
        <v>100000</v>
      </c>
      <c r="L195">
        <v>1115.7254439999999</v>
      </c>
      <c r="M195">
        <v>-15929.720015999999</v>
      </c>
      <c r="N195">
        <v>77071.101433000003</v>
      </c>
      <c r="O195">
        <v>-1.381918</v>
      </c>
      <c r="P195">
        <v>26.406758</v>
      </c>
      <c r="Q195">
        <v>210.30622</v>
      </c>
      <c r="R195">
        <v>13.878000999999999</v>
      </c>
      <c r="S195">
        <v>3242</v>
      </c>
      <c r="T195">
        <v>438</v>
      </c>
      <c r="U195">
        <f>T195/(T195+S195)</f>
        <v>0.11902173913043479</v>
      </c>
      <c r="V195">
        <f>-4.0355-2.538*U195</f>
        <v>-4.3375771739130435</v>
      </c>
      <c r="W195">
        <f>M195-(SUM(S195:T195)*V195)</f>
        <v>32.563984000000346</v>
      </c>
      <c r="X195">
        <f>W195/(2*P195*R195)</f>
        <v>4.4428897575188225E-2</v>
      </c>
      <c r="Y195">
        <f>X195*16.02</f>
        <v>0.71175093915451537</v>
      </c>
      <c r="AA195">
        <f>N195/SUM(S195:T195)</f>
        <v>20.94323408505435</v>
      </c>
    </row>
    <row r="196" spans="10:27" x14ac:dyDescent="0.2">
      <c r="K196">
        <v>100000</v>
      </c>
      <c r="L196">
        <v>1115.457345</v>
      </c>
      <c r="M196">
        <v>-15973.600763</v>
      </c>
      <c r="N196">
        <v>76944.207962999993</v>
      </c>
      <c r="O196">
        <v>-1.304619</v>
      </c>
      <c r="P196">
        <v>26.430081999999999</v>
      </c>
      <c r="Q196">
        <v>210.12809300000001</v>
      </c>
      <c r="R196">
        <v>13.854646000000001</v>
      </c>
      <c r="S196">
        <v>3225</v>
      </c>
      <c r="T196">
        <v>455</v>
      </c>
      <c r="U196">
        <f>T196/(T196+S196)</f>
        <v>0.12364130434782608</v>
      </c>
      <c r="V196">
        <f>-4.0355-2.538*U196</f>
        <v>-4.3493016304347822</v>
      </c>
      <c r="W196">
        <f>M196-(SUM(S196:T196)*V196)</f>
        <v>31.829236999998102</v>
      </c>
      <c r="X196">
        <f>W196/(2*P196*R196)</f>
        <v>4.3461257520777133E-2</v>
      </c>
      <c r="Y196">
        <f>X196*16.02</f>
        <v>0.69624934548284967</v>
      </c>
      <c r="AA196">
        <f>N196/SUM(S196:T196)</f>
        <v>20.908752163858694</v>
      </c>
    </row>
    <row r="197" spans="10:27" x14ac:dyDescent="0.2">
      <c r="K197">
        <v>100000</v>
      </c>
      <c r="L197">
        <v>1115.459537</v>
      </c>
      <c r="M197">
        <v>-16007.967384</v>
      </c>
      <c r="N197">
        <v>76851.208729000005</v>
      </c>
      <c r="O197">
        <v>-1.520942</v>
      </c>
      <c r="P197">
        <v>26.421592</v>
      </c>
      <c r="Q197">
        <v>210.042407</v>
      </c>
      <c r="R197">
        <v>13.847991</v>
      </c>
      <c r="S197">
        <v>3211</v>
      </c>
      <c r="T197">
        <v>469</v>
      </c>
      <c r="U197">
        <f>T197/(T197+S197)</f>
        <v>0.12744565217391304</v>
      </c>
      <c r="V197">
        <f>-4.0355-2.538*U197</f>
        <v>-4.3589570652173908</v>
      </c>
      <c r="W197">
        <f>M197-(SUM(S197:T197)*V197)</f>
        <v>32.994615999998132</v>
      </c>
      <c r="X197">
        <f>W197/(2*P197*R197)</f>
        <v>4.5088659945560342E-2</v>
      </c>
      <c r="Y197">
        <f>X197*16.02</f>
        <v>0.72232033232787662</v>
      </c>
      <c r="AA197">
        <f>N197/SUM(S197:T197)</f>
        <v>20.883480632880435</v>
      </c>
    </row>
    <row r="198" spans="10:27" x14ac:dyDescent="0.2">
      <c r="K198">
        <v>100000</v>
      </c>
      <c r="L198">
        <v>1115.73648</v>
      </c>
      <c r="M198">
        <v>-15945.009268</v>
      </c>
      <c r="N198">
        <v>77015.953273000006</v>
      </c>
      <c r="O198">
        <v>-1.5648690000000001</v>
      </c>
      <c r="P198">
        <v>26.441337999999998</v>
      </c>
      <c r="Q198">
        <v>209.97825399999999</v>
      </c>
      <c r="R198">
        <v>13.871570999999999</v>
      </c>
      <c r="S198">
        <v>3237</v>
      </c>
      <c r="T198">
        <v>443</v>
      </c>
      <c r="U198">
        <f>T198/(T198+S198)</f>
        <v>0.12038043478260869</v>
      </c>
      <c r="V198">
        <f>-4.0355-2.538*U198</f>
        <v>-4.3410255434782608</v>
      </c>
      <c r="W198">
        <f>M198-(SUM(S198:T198)*V198)</f>
        <v>29.964732000000367</v>
      </c>
      <c r="X198">
        <f>W198/(2*P198*R198)</f>
        <v>4.0848049639510185E-2</v>
      </c>
      <c r="Y198">
        <f>X198*16.02</f>
        <v>0.65438575522495313</v>
      </c>
      <c r="AA198">
        <f>N198/SUM(S198:T198)</f>
        <v>20.928248172010871</v>
      </c>
    </row>
    <row r="199" spans="10:27" x14ac:dyDescent="0.2">
      <c r="K199">
        <v>100000</v>
      </c>
      <c r="L199">
        <v>1115.704792</v>
      </c>
      <c r="M199">
        <v>-15948.416084</v>
      </c>
      <c r="N199">
        <v>77013.837041999999</v>
      </c>
      <c r="O199">
        <v>-1.371424</v>
      </c>
      <c r="P199">
        <v>26.437176000000001</v>
      </c>
      <c r="Q199">
        <v>209.85231099999999</v>
      </c>
      <c r="R199">
        <v>13.881691999999999</v>
      </c>
      <c r="S199">
        <v>3236</v>
      </c>
      <c r="T199">
        <v>444</v>
      </c>
      <c r="U199">
        <f>T199/(T199+S199)</f>
        <v>0.12065217391304348</v>
      </c>
      <c r="V199">
        <f>-4.0355-2.538*U199</f>
        <v>-4.3417152173913038</v>
      </c>
      <c r="W199">
        <f>M199-(SUM(S199:T199)*V199)</f>
        <v>29.095915999998397</v>
      </c>
      <c r="X199">
        <f>W199/(2*P199*R199)</f>
        <v>3.9640997298154637E-2</v>
      </c>
      <c r="Y199">
        <f>X199*16.02</f>
        <v>0.63504877671643722</v>
      </c>
      <c r="AA199">
        <f>N199/SUM(S199:T199)</f>
        <v>20.92767310923913</v>
      </c>
    </row>
    <row r="200" spans="10:27" x14ac:dyDescent="0.2">
      <c r="Y200" s="1">
        <f>AVERAGE(Y195:Y199)</f>
        <v>0.68395102978132649</v>
      </c>
      <c r="Z200">
        <f>STDEV(Y195:Y199)</f>
        <v>3.7622542187419887E-2</v>
      </c>
      <c r="AA200" s="10"/>
    </row>
    <row r="201" spans="10:27" x14ac:dyDescent="0.2">
      <c r="J201" t="s">
        <v>17</v>
      </c>
      <c r="L201">
        <v>1040.795554</v>
      </c>
      <c r="M201">
        <v>-16323.532267000001</v>
      </c>
      <c r="N201">
        <v>79141.273182000004</v>
      </c>
      <c r="O201">
        <v>-1.2047639999999999</v>
      </c>
      <c r="P201">
        <v>31.074625000000001</v>
      </c>
      <c r="Q201">
        <v>91.936340000000001</v>
      </c>
      <c r="R201">
        <v>27.702062000000002</v>
      </c>
      <c r="S201">
        <v>3317</v>
      </c>
      <c r="T201">
        <v>459</v>
      </c>
      <c r="U201">
        <f>T201/(T201+S201)</f>
        <v>0.1215572033898305</v>
      </c>
      <c r="V201">
        <f>-4.0355-2.538*U201</f>
        <v>-4.3440121822033895</v>
      </c>
      <c r="W201">
        <f>M201-(SUM(S201:T201)*V201)</f>
        <v>79.457732999997461</v>
      </c>
      <c r="X201">
        <f>W201/(2*P201*R201)</f>
        <v>4.6151750815295801E-2</v>
      </c>
      <c r="Y201">
        <f>X201*16.02</f>
        <v>0.73935104806103868</v>
      </c>
      <c r="AA201">
        <f>N201/SUM(S201:T201)</f>
        <v>20.959023618114408</v>
      </c>
    </row>
    <row r="202" spans="10:27" x14ac:dyDescent="0.2">
      <c r="L202">
        <v>1041.001481</v>
      </c>
      <c r="M202">
        <v>-16248.238055</v>
      </c>
      <c r="N202">
        <v>79373.695661000005</v>
      </c>
      <c r="O202">
        <v>-1.180917</v>
      </c>
      <c r="P202">
        <v>31.105422000000001</v>
      </c>
      <c r="Q202">
        <v>92.058510999999996</v>
      </c>
      <c r="R202">
        <v>27.719076999999999</v>
      </c>
      <c r="S202">
        <v>3348</v>
      </c>
      <c r="T202">
        <v>428</v>
      </c>
      <c r="U202">
        <f>T202/(T202+S202)</f>
        <v>0.11334745762711865</v>
      </c>
      <c r="V202">
        <f>-4.0355-2.538*U202</f>
        <v>-4.3231758474576267</v>
      </c>
      <c r="W202">
        <f>M202-(SUM(S202:T202)*V202)</f>
        <v>76.073944999998275</v>
      </c>
      <c r="X202">
        <f>W202/(2*P202*R202)</f>
        <v>4.4115487217873735E-2</v>
      </c>
      <c r="Y202">
        <f>X202*16.02</f>
        <v>0.70673010523033719</v>
      </c>
      <c r="AA202">
        <f>N202/SUM(S202:T202)</f>
        <v>21.020576181408899</v>
      </c>
    </row>
    <row r="203" spans="10:27" x14ac:dyDescent="0.2">
      <c r="L203">
        <v>1041.0818200000001</v>
      </c>
      <c r="M203">
        <v>-16304.102461</v>
      </c>
      <c r="N203">
        <v>79187.482105999996</v>
      </c>
      <c r="O203">
        <v>-1.1946859999999999</v>
      </c>
      <c r="P203">
        <v>31.094501000000001</v>
      </c>
      <c r="Q203">
        <v>91.976164999999995</v>
      </c>
      <c r="R203">
        <v>27.688561</v>
      </c>
      <c r="S203">
        <v>3327</v>
      </c>
      <c r="T203">
        <v>449</v>
      </c>
      <c r="U203">
        <f>T203/(T203+S203)</f>
        <v>0.11890889830508475</v>
      </c>
      <c r="V203">
        <f>-4.0355-2.538*U203</f>
        <v>-4.3372907838983048</v>
      </c>
      <c r="W203">
        <f>M203-(SUM(S203:T203)*V203)</f>
        <v>73.50753899999836</v>
      </c>
      <c r="X203">
        <f>W203/(2*P203*R203)</f>
        <v>4.2689189563471487E-2</v>
      </c>
      <c r="Y203">
        <f>X203*16.02</f>
        <v>0.68388081680681323</v>
      </c>
      <c r="AA203">
        <f>N203/SUM(S203:T203)</f>
        <v>20.971261150953389</v>
      </c>
    </row>
    <row r="204" spans="10:27" x14ac:dyDescent="0.2">
      <c r="L204">
        <v>1041.256525</v>
      </c>
      <c r="M204">
        <v>-16265.203763</v>
      </c>
      <c r="N204">
        <v>79307.028059000004</v>
      </c>
      <c r="O204">
        <v>-1.1698820000000001</v>
      </c>
      <c r="P204">
        <v>31.077221000000002</v>
      </c>
      <c r="Q204">
        <v>92.061684999999997</v>
      </c>
      <c r="R204">
        <v>27.719992999999999</v>
      </c>
      <c r="S204">
        <v>3342</v>
      </c>
      <c r="T204">
        <v>434</v>
      </c>
      <c r="U204">
        <f>T204/(T204+S204)</f>
        <v>0.1149364406779661</v>
      </c>
      <c r="V204">
        <f>-4.0355-2.538*U204</f>
        <v>-4.3272086864406774</v>
      </c>
      <c r="W204">
        <f>M204-(SUM(S204:T204)*V204)</f>
        <v>74.336236999997709</v>
      </c>
      <c r="X204">
        <f>W204/(2*P204*R204)</f>
        <v>4.3145477979676064E-2</v>
      </c>
      <c r="Y204">
        <f>X204*16.02</f>
        <v>0.69119055723441047</v>
      </c>
      <c r="AA204">
        <f>N204/SUM(S204:T204)</f>
        <v>21.002920566472458</v>
      </c>
    </row>
    <row r="205" spans="10:27" x14ac:dyDescent="0.2">
      <c r="L205">
        <v>1041.0337480000001</v>
      </c>
      <c r="M205">
        <v>-16254.95818</v>
      </c>
      <c r="N205">
        <v>79350.367656999995</v>
      </c>
      <c r="O205">
        <v>-1.3098030000000001</v>
      </c>
      <c r="P205">
        <v>31.133209000000001</v>
      </c>
      <c r="Q205">
        <v>92.024760999999998</v>
      </c>
      <c r="R205">
        <v>27.696351</v>
      </c>
      <c r="S205">
        <v>3348</v>
      </c>
      <c r="T205">
        <v>428</v>
      </c>
      <c r="U205">
        <f>T205/(T205+S205)</f>
        <v>0.11334745762711865</v>
      </c>
      <c r="V205">
        <f>-4.0355-2.538*U205</f>
        <v>-4.3231758474576267</v>
      </c>
      <c r="W205">
        <f>M205-(SUM(S205:T205)*V205)</f>
        <v>69.35381999999845</v>
      </c>
      <c r="X205">
        <f>W205/(2*P205*R205)</f>
        <v>4.0215544176021162E-2</v>
      </c>
      <c r="Y205">
        <f>X205*16.02</f>
        <v>0.64425301769985899</v>
      </c>
      <c r="AA205">
        <f>N205/SUM(S205:T205)</f>
        <v>21.01439821424788</v>
      </c>
    </row>
    <row r="206" spans="10:27" x14ac:dyDescent="0.2">
      <c r="Y206" s="1">
        <f>AVERAGE(Y201:Y205)</f>
        <v>0.69308110900649167</v>
      </c>
      <c r="Z206">
        <f>STDEV(Y201:Y205)</f>
        <v>3.4639588700074393E-2</v>
      </c>
    </row>
    <row r="207" spans="10:27" x14ac:dyDescent="0.2">
      <c r="J207" t="s">
        <v>173</v>
      </c>
      <c r="K207">
        <v>100000</v>
      </c>
      <c r="L207">
        <v>1115.474068</v>
      </c>
      <c r="M207">
        <v>-28135.02763</v>
      </c>
      <c r="N207">
        <v>135725.208851</v>
      </c>
      <c r="O207">
        <v>-0.92499600000000004</v>
      </c>
      <c r="P207">
        <v>40.471153000000001</v>
      </c>
      <c r="Q207">
        <v>241.95192299999999</v>
      </c>
      <c r="R207">
        <v>13.860758000000001</v>
      </c>
      <c r="S207">
        <v>5698</v>
      </c>
      <c r="T207">
        <v>790</v>
      </c>
      <c r="U207">
        <f>T207/(T207+S207)</f>
        <v>0.1217632552404439</v>
      </c>
      <c r="V207">
        <f>-4.0355-2.538*U207</f>
        <v>-4.3445351418002467</v>
      </c>
      <c r="W207">
        <f>M207-(SUM(S207:T207)*V207)</f>
        <v>52.316370000000461</v>
      </c>
      <c r="X207">
        <f>W207/(2*P207*R207)</f>
        <v>4.6631034305316746E-2</v>
      </c>
      <c r="Y207">
        <f>X207*16.02</f>
        <v>0.74702916957117427</v>
      </c>
      <c r="AA207">
        <f>N207/SUM(S207:T207)</f>
        <v>20.919421832768187</v>
      </c>
    </row>
    <row r="208" spans="10:27" x14ac:dyDescent="0.2">
      <c r="K208">
        <v>100000</v>
      </c>
      <c r="L208">
        <v>1115.796388</v>
      </c>
      <c r="M208">
        <v>-28128.446480999999</v>
      </c>
      <c r="N208">
        <v>135718.32682300001</v>
      </c>
      <c r="O208">
        <v>-1.146393</v>
      </c>
      <c r="P208">
        <v>40.492396999999997</v>
      </c>
      <c r="Q208">
        <v>241.66344000000001</v>
      </c>
      <c r="R208">
        <v>13.869317000000001</v>
      </c>
      <c r="S208">
        <v>5702</v>
      </c>
      <c r="T208">
        <v>786</v>
      </c>
      <c r="U208">
        <f>T208/(T208+S208)</f>
        <v>0.12114673242909987</v>
      </c>
      <c r="V208">
        <f>-4.0355-2.538*U208</f>
        <v>-4.3429704069050556</v>
      </c>
      <c r="W208">
        <f>M208-(SUM(S208:T208)*V208)</f>
        <v>48.745519000003696</v>
      </c>
      <c r="X208">
        <f>W208/(2*P208*R208)</f>
        <v>4.3398642223953905E-2</v>
      </c>
      <c r="Y208">
        <f>X208*16.02</f>
        <v>0.69524624842774152</v>
      </c>
      <c r="AA208">
        <f>N208/SUM(S208:T208)</f>
        <v>20.918361100955611</v>
      </c>
    </row>
    <row r="209" spans="10:27" x14ac:dyDescent="0.2">
      <c r="K209">
        <v>100000</v>
      </c>
      <c r="L209">
        <v>1115.6769710000001</v>
      </c>
      <c r="M209">
        <v>-28213.575360999999</v>
      </c>
      <c r="N209">
        <v>135498.50127899999</v>
      </c>
      <c r="O209">
        <v>-0.88282700000000003</v>
      </c>
      <c r="P209">
        <v>40.494925000000002</v>
      </c>
      <c r="Q209">
        <v>241.94270599999999</v>
      </c>
      <c r="R209">
        <v>13.830017</v>
      </c>
      <c r="S209">
        <v>5668</v>
      </c>
      <c r="T209">
        <v>820</v>
      </c>
      <c r="U209">
        <f>T209/(T209+S209)</f>
        <v>0.12638717632552404</v>
      </c>
      <c r="V209">
        <f>-4.0355-2.538*U209</f>
        <v>-4.35627065351418</v>
      </c>
      <c r="W209">
        <f>M209-(SUM(S209:T209)*V209)</f>
        <v>49.908639000001131</v>
      </c>
      <c r="X209">
        <f>W209/(2*P209*R209)</f>
        <v>4.4557664418601158E-2</v>
      </c>
      <c r="Y209">
        <f>X209*16.02</f>
        <v>0.71381378398599049</v>
      </c>
      <c r="AA209">
        <f>N209/SUM(S209:T209)</f>
        <v>20.884479235357581</v>
      </c>
    </row>
    <row r="210" spans="10:27" x14ac:dyDescent="0.2">
      <c r="K210">
        <v>100000</v>
      </c>
      <c r="L210">
        <v>1115.5987379999999</v>
      </c>
      <c r="M210">
        <v>-28198.162693999999</v>
      </c>
      <c r="N210">
        <v>135553.924375</v>
      </c>
      <c r="O210">
        <v>-0.74796600000000002</v>
      </c>
      <c r="P210">
        <v>40.428286999999997</v>
      </c>
      <c r="Q210">
        <v>241.79513600000001</v>
      </c>
      <c r="R210">
        <v>13.866925</v>
      </c>
      <c r="S210">
        <v>5672</v>
      </c>
      <c r="T210">
        <v>816</v>
      </c>
      <c r="U210">
        <f>T210/(T210+S210)</f>
        <v>0.12577065351418001</v>
      </c>
      <c r="V210">
        <f>-4.0355-2.538*U210</f>
        <v>-4.3547059186189889</v>
      </c>
      <c r="W210">
        <f>M210-(SUM(S210:T210)*V210)</f>
        <v>55.169305999999779</v>
      </c>
      <c r="X210">
        <f>W210/(2*P210*R210)</f>
        <v>4.9204182245053608E-2</v>
      </c>
      <c r="Y210">
        <f>X210*16.02</f>
        <v>0.78825099956575884</v>
      </c>
      <c r="AA210">
        <f>N210/SUM(S210:T210)</f>
        <v>20.893021636097412</v>
      </c>
    </row>
    <row r="211" spans="10:27" x14ac:dyDescent="0.2">
      <c r="K211">
        <v>100000</v>
      </c>
      <c r="L211">
        <v>1115.71985</v>
      </c>
      <c r="M211">
        <v>-28131.464071999999</v>
      </c>
      <c r="N211">
        <v>135757.05720099999</v>
      </c>
      <c r="O211">
        <v>-0.72554799999999997</v>
      </c>
      <c r="P211">
        <v>40.486018000000001</v>
      </c>
      <c r="Q211">
        <v>241.645881</v>
      </c>
      <c r="R211">
        <v>13.876478000000001</v>
      </c>
      <c r="S211">
        <v>5700</v>
      </c>
      <c r="T211">
        <v>788</v>
      </c>
      <c r="U211">
        <f>T211/(T211+S211)</f>
        <v>0.12145499383477189</v>
      </c>
      <c r="V211">
        <f>-4.0355-2.538*U211</f>
        <v>-4.3437527743526507</v>
      </c>
      <c r="W211">
        <f>M211-(SUM(S211:T211)*V211)</f>
        <v>50.803927999997541</v>
      </c>
      <c r="X211">
        <f>W211/(2*P211*R211)</f>
        <v>4.521504640147473E-2</v>
      </c>
      <c r="Y211">
        <f>X211*16.02</f>
        <v>0.7243450433516252</v>
      </c>
      <c r="AA211">
        <f>N211/SUM(S211:T211)</f>
        <v>20.924330641337853</v>
      </c>
    </row>
    <row r="212" spans="10:27" x14ac:dyDescent="0.2">
      <c r="Y212" s="1">
        <f>AVERAGE(Y207:Y211)</f>
        <v>0.73373704898045811</v>
      </c>
      <c r="Z212">
        <f>STDEV(Y207:Y211)</f>
        <v>3.5760100891830432E-2</v>
      </c>
      <c r="AA212" s="10"/>
    </row>
    <row r="213" spans="10:27" x14ac:dyDescent="0.2">
      <c r="J213" t="s">
        <v>174</v>
      </c>
      <c r="K213">
        <v>100000</v>
      </c>
      <c r="L213">
        <v>1115.8466699999999</v>
      </c>
      <c r="M213">
        <v>-14191.678753</v>
      </c>
      <c r="N213">
        <v>69254.784952000002</v>
      </c>
      <c r="O213">
        <v>-1.544605</v>
      </c>
      <c r="P213">
        <v>25.054013000000001</v>
      </c>
      <c r="Q213">
        <v>199.033998</v>
      </c>
      <c r="R213">
        <v>13.88824</v>
      </c>
      <c r="S213">
        <v>2935</v>
      </c>
      <c r="T213">
        <v>361</v>
      </c>
      <c r="U213">
        <f>T213/(T213+S213)</f>
        <v>0.10952669902912622</v>
      </c>
      <c r="V213">
        <f>-4.0355-2.538*U213</f>
        <v>-4.3134787621359223</v>
      </c>
      <c r="W213">
        <f>M213-(SUM(S213:T213)*V213)</f>
        <v>25.547247000000425</v>
      </c>
      <c r="X213">
        <f>W213/(2*P213*R213)</f>
        <v>3.6710440855653267E-2</v>
      </c>
      <c r="Y213">
        <f>X213*16.02</f>
        <v>0.58810126250756534</v>
      </c>
      <c r="AA213">
        <f>N213/SUM(S213:T213)</f>
        <v>21.011767279126214</v>
      </c>
    </row>
    <row r="214" spans="10:27" x14ac:dyDescent="0.2">
      <c r="K214">
        <v>100000</v>
      </c>
      <c r="L214">
        <v>1115.2014360000001</v>
      </c>
      <c r="M214">
        <v>-14373.777636000001</v>
      </c>
      <c r="N214">
        <v>68714.168013999995</v>
      </c>
      <c r="O214">
        <v>-1.532589</v>
      </c>
      <c r="P214">
        <v>24.990307000000001</v>
      </c>
      <c r="Q214">
        <v>198.70763099999999</v>
      </c>
      <c r="R214">
        <v>13.837653</v>
      </c>
      <c r="S214">
        <v>2862</v>
      </c>
      <c r="T214">
        <v>434</v>
      </c>
      <c r="U214">
        <f>T214/(T214+S214)</f>
        <v>0.1316747572815534</v>
      </c>
      <c r="V214">
        <f>-4.0355-2.538*U214</f>
        <v>-4.3696905339805827</v>
      </c>
      <c r="W214">
        <f>M214-(SUM(S214:T214)*V214)</f>
        <v>28.722363999999288</v>
      </c>
      <c r="X214">
        <f>W214/(2*P214*R214)</f>
        <v>4.152944802761728E-2</v>
      </c>
      <c r="Y214">
        <f>X214*16.02</f>
        <v>0.66530175740242881</v>
      </c>
      <c r="AA214">
        <f>N214/SUM(S214:T214)</f>
        <v>20.847745149878641</v>
      </c>
    </row>
    <row r="215" spans="10:27" x14ac:dyDescent="0.2">
      <c r="K215">
        <v>100000</v>
      </c>
      <c r="L215">
        <v>1114.8119999999999</v>
      </c>
      <c r="M215">
        <v>-14246.024991</v>
      </c>
      <c r="N215">
        <v>69074.944252999994</v>
      </c>
      <c r="O215">
        <v>-1.8084089999999999</v>
      </c>
      <c r="P215">
        <v>25.038905</v>
      </c>
      <c r="Q215">
        <v>198.76053999999999</v>
      </c>
      <c r="R215">
        <v>13.879629</v>
      </c>
      <c r="S215">
        <v>2912</v>
      </c>
      <c r="T215">
        <v>384</v>
      </c>
      <c r="U215">
        <f>T215/(T215+S215)</f>
        <v>0.11650485436893204</v>
      </c>
      <c r="V215">
        <f>-4.0355-2.538*U215</f>
        <v>-4.3311893203883489</v>
      </c>
      <c r="W215">
        <f>M215-(SUM(S215:T215)*V215)</f>
        <v>29.575008999998317</v>
      </c>
      <c r="X215">
        <f>W215/(2*P215*R215)</f>
        <v>4.255020920693605E-2</v>
      </c>
      <c r="Y215">
        <f>X215*16.02</f>
        <v>0.68165435149511555</v>
      </c>
      <c r="AA215">
        <f>N215/SUM(S215:T215)</f>
        <v>20.957203960254851</v>
      </c>
    </row>
    <row r="216" spans="10:27" x14ac:dyDescent="0.2">
      <c r="K216">
        <v>100000</v>
      </c>
      <c r="L216">
        <v>1115.6529760000001</v>
      </c>
      <c r="M216">
        <v>-14262.356761999999</v>
      </c>
      <c r="N216">
        <v>69041.80773</v>
      </c>
      <c r="O216">
        <v>-1.567798</v>
      </c>
      <c r="P216">
        <v>25.023558999999999</v>
      </c>
      <c r="Q216">
        <v>198.79067800000001</v>
      </c>
      <c r="R216">
        <v>13.879365999999999</v>
      </c>
      <c r="S216">
        <v>2906</v>
      </c>
      <c r="T216">
        <v>390</v>
      </c>
      <c r="U216">
        <f>T216/(T216+S216)</f>
        <v>0.1183252427184466</v>
      </c>
      <c r="V216">
        <f>-4.0355-2.538*U216</f>
        <v>-4.3358094660194171</v>
      </c>
      <c r="W216">
        <f>M216-(SUM(S216:T216)*V216)</f>
        <v>28.471238000000085</v>
      </c>
      <c r="X216">
        <f>W216/(2*P216*R216)</f>
        <v>4.0988087069712242E-2</v>
      </c>
      <c r="Y216">
        <f>X216*16.02</f>
        <v>0.65662915485679008</v>
      </c>
      <c r="AA216">
        <f>N216/SUM(S216:T216)</f>
        <v>20.947150403519419</v>
      </c>
    </row>
    <row r="217" spans="10:27" x14ac:dyDescent="0.2">
      <c r="K217">
        <v>100000</v>
      </c>
      <c r="L217">
        <v>1115.6238519999999</v>
      </c>
      <c r="M217">
        <v>-14215.505451999999</v>
      </c>
      <c r="N217">
        <v>69180.340437000006</v>
      </c>
      <c r="O217">
        <v>-1.4016360000000001</v>
      </c>
      <c r="P217">
        <v>25.085889999999999</v>
      </c>
      <c r="Q217">
        <v>198.96435099999999</v>
      </c>
      <c r="R217">
        <v>13.860542000000001</v>
      </c>
      <c r="S217">
        <v>2924</v>
      </c>
      <c r="T217">
        <v>372</v>
      </c>
      <c r="U217">
        <f>T217/(T217+S217)</f>
        <v>0.11286407766990292</v>
      </c>
      <c r="V217">
        <f>-4.0355-2.538*U217</f>
        <v>-4.3219490291262135</v>
      </c>
      <c r="W217">
        <f>M217-(SUM(S217:T217)*V217)</f>
        <v>29.63854800000081</v>
      </c>
      <c r="X217">
        <f>W217/(2*P217*R217)</f>
        <v>4.2620368584135336E-2</v>
      </c>
      <c r="Y217">
        <f>X217*16.02</f>
        <v>0.68277830471784806</v>
      </c>
      <c r="AA217">
        <f>N217/SUM(S217:T217)</f>
        <v>20.989180957827671</v>
      </c>
    </row>
    <row r="218" spans="10:27" x14ac:dyDescent="0.2">
      <c r="Y218" s="1">
        <f>AVERAGE(Y213:Y217)</f>
        <v>0.65489296619594961</v>
      </c>
      <c r="Z218">
        <f>STDEV(Y213:Y217)</f>
        <v>3.894307645350558E-2</v>
      </c>
      <c r="AA218" s="10"/>
    </row>
    <row r="219" spans="10:27" x14ac:dyDescent="0.2">
      <c r="J219" t="s">
        <v>175</v>
      </c>
      <c r="K219">
        <v>100000</v>
      </c>
      <c r="L219">
        <v>1115.51314</v>
      </c>
      <c r="M219">
        <v>-20670.475221000001</v>
      </c>
      <c r="N219">
        <v>99224.366037</v>
      </c>
      <c r="O219">
        <v>-1.107342</v>
      </c>
      <c r="P219">
        <v>34.697723000000003</v>
      </c>
      <c r="Q219">
        <v>206.64225300000001</v>
      </c>
      <c r="R219">
        <v>13.838858</v>
      </c>
      <c r="S219">
        <v>4150</v>
      </c>
      <c r="T219">
        <v>602</v>
      </c>
      <c r="U219">
        <f>T219/(T219+S219)</f>
        <v>0.12668350168350168</v>
      </c>
      <c r="V219">
        <f>-4.0355-2.538*U219</f>
        <v>-4.3570227272727271</v>
      </c>
      <c r="W219">
        <f>M219-(SUM(S219:T219)*V219)</f>
        <v>34.096778999999515</v>
      </c>
      <c r="X219">
        <f>W219/(2*P219*R219)</f>
        <v>3.5504396121923104E-2</v>
      </c>
      <c r="Y219">
        <f>X219*16.02</f>
        <v>0.5687804258732081</v>
      </c>
      <c r="AA219">
        <f>N219/SUM(S219:T219)</f>
        <v>20.880548408459596</v>
      </c>
    </row>
    <row r="220" spans="10:27" x14ac:dyDescent="0.2">
      <c r="K220">
        <v>100000</v>
      </c>
      <c r="L220">
        <v>1115.682213</v>
      </c>
      <c r="M220">
        <v>-20647.740811</v>
      </c>
      <c r="N220">
        <v>99293.297307000001</v>
      </c>
      <c r="O220">
        <v>-1.287596</v>
      </c>
      <c r="P220">
        <v>34.683489999999999</v>
      </c>
      <c r="Q220">
        <v>206.450367</v>
      </c>
      <c r="R220">
        <v>13.867010000000001</v>
      </c>
      <c r="S220">
        <v>4159</v>
      </c>
      <c r="T220">
        <v>593</v>
      </c>
      <c r="U220">
        <f>T220/(T220+S220)</f>
        <v>0.12478956228956228</v>
      </c>
      <c r="V220">
        <f>-4.0355-2.538*U220</f>
        <v>-4.3522159090909085</v>
      </c>
      <c r="W220">
        <f>M220-(SUM(S220:T220)*V220)</f>
        <v>33.989188999996259</v>
      </c>
      <c r="X220">
        <f>W220/(2*P220*R220)</f>
        <v>3.533500737142619E-2</v>
      </c>
      <c r="Y220">
        <f>X220*16.02</f>
        <v>0.5660668180902475</v>
      </c>
      <c r="AA220">
        <f>N220/SUM(S220:T220)</f>
        <v>20.895054147095959</v>
      </c>
    </row>
    <row r="221" spans="10:27" x14ac:dyDescent="0.2">
      <c r="K221">
        <v>100000</v>
      </c>
      <c r="L221">
        <v>1115.598174</v>
      </c>
      <c r="M221">
        <v>-20588.331945999998</v>
      </c>
      <c r="N221">
        <v>99461.003878000003</v>
      </c>
      <c r="O221">
        <v>-1.109632</v>
      </c>
      <c r="P221">
        <v>34.739409999999999</v>
      </c>
      <c r="Q221">
        <v>206.55635899999999</v>
      </c>
      <c r="R221">
        <v>13.860955000000001</v>
      </c>
      <c r="S221">
        <v>4181</v>
      </c>
      <c r="T221">
        <v>571</v>
      </c>
      <c r="U221">
        <f>T221/(T221+S221)</f>
        <v>0.12015993265993266</v>
      </c>
      <c r="V221">
        <f>-4.0355-2.538*U221</f>
        <v>-4.3404659090909092</v>
      </c>
      <c r="W221">
        <f>M221-(SUM(S221:T221)*V221)</f>
        <v>37.562054000001808</v>
      </c>
      <c r="X221">
        <f>W221/(2*P221*R221)</f>
        <v>3.9003514795562348E-2</v>
      </c>
      <c r="Y221">
        <f>X221*16.02</f>
        <v>0.62483630702490878</v>
      </c>
      <c r="AA221">
        <f>N221/SUM(S221:T221)</f>
        <v>20.93034593392256</v>
      </c>
    </row>
    <row r="222" spans="10:27" x14ac:dyDescent="0.2">
      <c r="K222">
        <v>100000</v>
      </c>
      <c r="L222">
        <v>1115.7974710000001</v>
      </c>
      <c r="M222">
        <v>-20628.931838</v>
      </c>
      <c r="N222">
        <v>99331.994273000004</v>
      </c>
      <c r="O222">
        <v>-1.0672740000000001</v>
      </c>
      <c r="P222">
        <v>34.678252000000001</v>
      </c>
      <c r="Q222">
        <v>206.58508699999999</v>
      </c>
      <c r="R222">
        <v>13.86547</v>
      </c>
      <c r="S222">
        <v>4165</v>
      </c>
      <c r="T222">
        <v>587</v>
      </c>
      <c r="U222">
        <f>T222/(T222+S222)</f>
        <v>0.12352693602693603</v>
      </c>
      <c r="V222">
        <f>-4.0355-2.538*U222</f>
        <v>-4.3490113636363636</v>
      </c>
      <c r="W222">
        <f>M222-(SUM(S222:T222)*V222)</f>
        <v>37.570161999999982</v>
      </c>
      <c r="X222">
        <f>W222/(2*P222*R222)</f>
        <v>3.9068008931536946E-2</v>
      </c>
      <c r="Y222">
        <f>X222*16.02</f>
        <v>0.62586950308322187</v>
      </c>
      <c r="AA222">
        <f>N222/SUM(S222:T222)</f>
        <v>20.903197448021885</v>
      </c>
    </row>
    <row r="223" spans="10:27" x14ac:dyDescent="0.2">
      <c r="K223">
        <v>100000</v>
      </c>
      <c r="L223">
        <v>1115.8913869999999</v>
      </c>
      <c r="M223">
        <v>-20507.495971</v>
      </c>
      <c r="N223">
        <v>99696.776513000004</v>
      </c>
      <c r="O223">
        <v>-1.163278</v>
      </c>
      <c r="P223">
        <v>34.786315999999999</v>
      </c>
      <c r="Q223">
        <v>207.052571</v>
      </c>
      <c r="R223">
        <v>13.84183</v>
      </c>
      <c r="S223">
        <v>4214</v>
      </c>
      <c r="T223">
        <v>538</v>
      </c>
      <c r="U223">
        <f>T223/(T223+S223)</f>
        <v>0.11321548821548821</v>
      </c>
      <c r="V223">
        <f>-4.0355-2.538*U223</f>
        <v>-4.3228409090909086</v>
      </c>
      <c r="W223">
        <f>M223-(SUM(S223:T223)*V223)</f>
        <v>34.644028999995498</v>
      </c>
      <c r="X223">
        <f>W223/(2*P223*R223)</f>
        <v>3.5974639361851905E-2</v>
      </c>
      <c r="Y223">
        <f>X223*16.02</f>
        <v>0.57631372257686753</v>
      </c>
      <c r="AA223">
        <f>N223/SUM(S223:T223)</f>
        <v>20.979961387415827</v>
      </c>
    </row>
    <row r="224" spans="10:27" x14ac:dyDescent="0.2">
      <c r="Y224" s="1">
        <f>AVERAGE(Y219:Y223)</f>
        <v>0.59237335532969071</v>
      </c>
      <c r="Z224">
        <f>STDEV(Y219:Y223)</f>
        <v>3.0341420422900361E-2</v>
      </c>
      <c r="AA224" s="10"/>
    </row>
    <row r="225" spans="10:32" x14ac:dyDescent="0.2">
      <c r="J225" t="s">
        <v>110</v>
      </c>
      <c r="L225">
        <v>1041.1205279999999</v>
      </c>
      <c r="M225">
        <v>-16577.798869999999</v>
      </c>
      <c r="N225">
        <v>79971.968022999994</v>
      </c>
      <c r="O225">
        <v>-1.2473970000000001</v>
      </c>
      <c r="P225">
        <v>31.108644999999999</v>
      </c>
      <c r="Q225">
        <v>185.360117</v>
      </c>
      <c r="R225">
        <v>13.868922</v>
      </c>
      <c r="S225">
        <v>3356</v>
      </c>
      <c r="T225">
        <v>468</v>
      </c>
      <c r="U225">
        <f>T225/(T225+S225)</f>
        <v>0.12238493723849372</v>
      </c>
      <c r="V225">
        <f t="shared" ref="V225:V229" si="24">-4.0355-2.538*U225</f>
        <v>-4.3461129707112969</v>
      </c>
      <c r="W225">
        <f>M225-(SUM(S225:T225)*V225)</f>
        <v>41.737130000001343</v>
      </c>
      <c r="X225">
        <f>W225/(2*P225*R225)</f>
        <v>4.8369186783765006E-2</v>
      </c>
      <c r="Y225">
        <f>X225*16.02</f>
        <v>0.77487437227591538</v>
      </c>
      <c r="AA225">
        <f>N225/SUM(S225:T225)</f>
        <v>20.913171554131797</v>
      </c>
    </row>
    <row r="226" spans="10:32" x14ac:dyDescent="0.2">
      <c r="L226">
        <v>1041.1640239999999</v>
      </c>
      <c r="M226">
        <v>-16486.657930000001</v>
      </c>
      <c r="N226">
        <v>80220.934198999996</v>
      </c>
      <c r="O226">
        <v>-1.260365</v>
      </c>
      <c r="P226">
        <v>31.149546999999998</v>
      </c>
      <c r="Q226">
        <v>185.561835</v>
      </c>
      <c r="R226">
        <v>13.878743999999999</v>
      </c>
      <c r="S226">
        <v>3391</v>
      </c>
      <c r="T226">
        <v>432</v>
      </c>
      <c r="U226">
        <f>T226/(T226+S226)</f>
        <v>0.11300026157467957</v>
      </c>
      <c r="V226">
        <f t="shared" si="24"/>
        <v>-4.3222946638765363</v>
      </c>
      <c r="W226">
        <f>M226-(SUM(S226:T226)*V226)</f>
        <v>37.474569999998494</v>
      </c>
      <c r="X226">
        <f>W226/(2*P226*R226)</f>
        <v>4.3341582296798055E-2</v>
      </c>
      <c r="Y226">
        <f>X226*16.02</f>
        <v>0.69433214839470481</v>
      </c>
      <c r="AA226">
        <f>N226/SUM(S226:T226)</f>
        <v>20.983765157991105</v>
      </c>
      <c r="AC226">
        <v>600</v>
      </c>
    </row>
    <row r="227" spans="10:32" x14ac:dyDescent="0.2">
      <c r="L227">
        <v>1041.1188199999999</v>
      </c>
      <c r="M227">
        <v>-16519.082042999999</v>
      </c>
      <c r="N227">
        <v>80147.052656999993</v>
      </c>
      <c r="O227">
        <v>-1.227506</v>
      </c>
      <c r="P227">
        <v>31.159938</v>
      </c>
      <c r="Q227">
        <v>185.333956</v>
      </c>
      <c r="R227">
        <v>13.878365000000001</v>
      </c>
      <c r="S227">
        <v>3379</v>
      </c>
      <c r="T227">
        <v>445</v>
      </c>
      <c r="U227">
        <f>T227/(T227+S227)</f>
        <v>0.11637029288702928</v>
      </c>
      <c r="V227">
        <f t="shared" si="24"/>
        <v>-4.3308478033472806</v>
      </c>
      <c r="W227">
        <f>M227-(SUM(S227:T227)*V227)</f>
        <v>42.079957000001741</v>
      </c>
      <c r="X227">
        <f>W227/(2*P227*R227)</f>
        <v>4.8653087054022576E-2</v>
      </c>
      <c r="Y227">
        <f>X227*16.02</f>
        <v>0.77942245460544168</v>
      </c>
      <c r="AA227">
        <f>N227/SUM(S227:T227)</f>
        <v>20.958957284780332</v>
      </c>
      <c r="AC227" s="20">
        <v>1.3126404277547192</v>
      </c>
    </row>
    <row r="228" spans="10:32" x14ac:dyDescent="0.2">
      <c r="L228">
        <v>1041.47082</v>
      </c>
      <c r="M228">
        <v>-16487.322479999999</v>
      </c>
      <c r="N228">
        <v>80250.767070999995</v>
      </c>
      <c r="O228">
        <v>-1.248888</v>
      </c>
      <c r="P228">
        <v>31.125316000000002</v>
      </c>
      <c r="Q228">
        <v>185.47280900000001</v>
      </c>
      <c r="R228">
        <v>13.901388000000001</v>
      </c>
      <c r="S228">
        <v>3391</v>
      </c>
      <c r="T228">
        <v>433</v>
      </c>
      <c r="U228">
        <f>T228/(T228+S228)</f>
        <v>0.11323221757322176</v>
      </c>
      <c r="V228">
        <f t="shared" si="24"/>
        <v>-4.322883368200837</v>
      </c>
      <c r="W228">
        <f>M228-(SUM(S228:T228)*V228)</f>
        <v>43.383520000003045</v>
      </c>
      <c r="X228">
        <f>W228/(2*P228*R228)</f>
        <v>5.013290331426605E-2</v>
      </c>
      <c r="Y228">
        <f>X228*16.02</f>
        <v>0.8031291110945421</v>
      </c>
      <c r="AA228">
        <f>N228/SUM(S228:T228)</f>
        <v>20.986079254968619</v>
      </c>
      <c r="AB228" t="s">
        <v>17</v>
      </c>
      <c r="AC228" s="20">
        <v>1.327620068192124</v>
      </c>
    </row>
    <row r="229" spans="10:32" x14ac:dyDescent="0.2">
      <c r="L229">
        <v>1041.2532610000001</v>
      </c>
      <c r="M229">
        <v>-16447.343755999998</v>
      </c>
      <c r="N229">
        <v>80366.562732000006</v>
      </c>
      <c r="O229">
        <v>-1.1534249999999999</v>
      </c>
      <c r="P229">
        <v>31.182641</v>
      </c>
      <c r="Q229">
        <v>185.65058099999999</v>
      </c>
      <c r="R229">
        <v>13.882528000000001</v>
      </c>
      <c r="S229">
        <v>3407</v>
      </c>
      <c r="T229">
        <v>417</v>
      </c>
      <c r="U229">
        <f>T229/(T229+S229)</f>
        <v>0.10904811715481172</v>
      </c>
      <c r="V229">
        <f t="shared" si="24"/>
        <v>-4.3122641213389121</v>
      </c>
      <c r="W229">
        <f>M229-(SUM(S229:T229)*V229)</f>
        <v>42.754244000003382</v>
      </c>
      <c r="X229">
        <f>W229/(2*P229*R229)</f>
        <v>4.9381898548392929E-2</v>
      </c>
      <c r="Y229">
        <f>X229*16.02</f>
        <v>0.79109801474525465</v>
      </c>
      <c r="AA229">
        <f>N229/SUM(S229:T229)</f>
        <v>21.01636054707113</v>
      </c>
      <c r="AB229" t="s">
        <v>27</v>
      </c>
      <c r="AC229" s="20">
        <v>1.2829504885030727</v>
      </c>
      <c r="AD229">
        <v>800</v>
      </c>
      <c r="AE229">
        <v>1000</v>
      </c>
      <c r="AF229">
        <v>1200</v>
      </c>
    </row>
    <row r="230" spans="10:32" x14ac:dyDescent="0.2">
      <c r="Y230" s="1">
        <f>AVERAGE(Y225:Y229)</f>
        <v>0.7685712202231717</v>
      </c>
      <c r="Z230">
        <f>STDEV(Y225:Y229)</f>
        <v>4.2926166531292206E-2</v>
      </c>
      <c r="AA230" s="10"/>
      <c r="AB230" t="s">
        <v>28</v>
      </c>
      <c r="AC230" s="20">
        <v>1.3399180242565134</v>
      </c>
      <c r="AD230" s="20">
        <v>1.3551293018678674</v>
      </c>
      <c r="AE230" s="20">
        <v>1.3953963821522279</v>
      </c>
      <c r="AF230" s="20">
        <v>1.4904017300742587</v>
      </c>
    </row>
    <row r="231" spans="10:32" x14ac:dyDescent="0.2">
      <c r="AB231" t="s">
        <v>55</v>
      </c>
      <c r="AC231" s="20">
        <v>1.3119524471317674</v>
      </c>
      <c r="AD231" s="20">
        <v>1.3993741155229351</v>
      </c>
      <c r="AE231" s="20">
        <v>1.4347956274039948</v>
      </c>
      <c r="AF231" s="20">
        <v>1.5414063194245986</v>
      </c>
    </row>
    <row r="232" spans="10:32" x14ac:dyDescent="0.2">
      <c r="J232" t="s">
        <v>60</v>
      </c>
      <c r="L232" t="s">
        <v>74</v>
      </c>
      <c r="X232" t="s">
        <v>25</v>
      </c>
      <c r="Y232" t="s">
        <v>24</v>
      </c>
      <c r="AB232">
        <v>100</v>
      </c>
      <c r="AC232" s="20">
        <v>1.1347329507934907</v>
      </c>
      <c r="AD232" s="20">
        <v>1.396585815337831</v>
      </c>
      <c r="AE232" s="20">
        <v>1.428170538221702</v>
      </c>
      <c r="AF232" s="20">
        <v>1.4949747194061678</v>
      </c>
    </row>
    <row r="233" spans="10:32" x14ac:dyDescent="0.2">
      <c r="L233" t="s">
        <v>18</v>
      </c>
      <c r="M233" t="s">
        <v>5</v>
      </c>
      <c r="N233" t="s">
        <v>7</v>
      </c>
      <c r="O233" t="s">
        <v>19</v>
      </c>
      <c r="P233" t="s">
        <v>20</v>
      </c>
      <c r="Q233" t="s">
        <v>21</v>
      </c>
      <c r="R233" t="s">
        <v>22</v>
      </c>
      <c r="S233" t="s">
        <v>4</v>
      </c>
      <c r="T233" t="s">
        <v>10</v>
      </c>
      <c r="U233" t="s">
        <v>13</v>
      </c>
      <c r="V233" t="s">
        <v>26</v>
      </c>
      <c r="W233" t="s">
        <v>12</v>
      </c>
      <c r="X233" t="s">
        <v>23</v>
      </c>
      <c r="Y233" t="s">
        <v>23</v>
      </c>
      <c r="AB233">
        <v>110</v>
      </c>
      <c r="AC233" s="20">
        <v>1.3813900742822482</v>
      </c>
      <c r="AD233" s="20">
        <v>1.3802268904221533</v>
      </c>
      <c r="AE233" s="20">
        <v>1.4311938199074086</v>
      </c>
      <c r="AF233" s="20">
        <v>1.547438841003334</v>
      </c>
    </row>
    <row r="234" spans="10:32" x14ac:dyDescent="0.2">
      <c r="J234" t="s">
        <v>17</v>
      </c>
      <c r="L234">
        <v>433.80704500000002</v>
      </c>
      <c r="M234">
        <v>-16723.123367</v>
      </c>
      <c r="N234">
        <v>77456.220608000003</v>
      </c>
      <c r="O234">
        <v>-0.50706499999999999</v>
      </c>
      <c r="P234">
        <v>30.977402999999999</v>
      </c>
      <c r="Q234">
        <v>91.117428000000004</v>
      </c>
      <c r="R234">
        <v>27.441707999999998</v>
      </c>
      <c r="S234">
        <v>3313</v>
      </c>
      <c r="T234">
        <v>463</v>
      </c>
      <c r="U234">
        <f>T234/(T234+S234)</f>
        <v>0.12261652542372882</v>
      </c>
      <c r="V234">
        <f>-4.136-2.4913*U234</f>
        <v>-4.4414745497881354</v>
      </c>
      <c r="W234">
        <f>M234-(SUM(S234:T234)*V234)</f>
        <v>47.884533000000374</v>
      </c>
      <c r="X234">
        <f>W234/(2*P234*R234)</f>
        <v>2.8164958525724603E-2</v>
      </c>
      <c r="Y234">
        <f>X234*16.02</f>
        <v>0.4512026355821081</v>
      </c>
      <c r="AA234">
        <f>N234/SUM(S234:T234)</f>
        <v>20.512770288135595</v>
      </c>
      <c r="AB234">
        <v>111</v>
      </c>
      <c r="AD234" s="20">
        <v>1.3723273572618797</v>
      </c>
      <c r="AE234" s="20">
        <v>1.4198243354886204</v>
      </c>
      <c r="AF234" s="20">
        <v>1.4856511459398227</v>
      </c>
    </row>
    <row r="235" spans="10:32" x14ac:dyDescent="0.2">
      <c r="L235">
        <v>433.77614599999998</v>
      </c>
      <c r="M235">
        <v>-16631.306475000001</v>
      </c>
      <c r="N235">
        <v>77778.317647000003</v>
      </c>
      <c r="O235">
        <v>-0.44867800000000002</v>
      </c>
      <c r="P235">
        <v>30.951615</v>
      </c>
      <c r="Q235">
        <v>90.703192999999999</v>
      </c>
      <c r="R235">
        <v>27.704706000000002</v>
      </c>
      <c r="S235">
        <v>3351</v>
      </c>
      <c r="T235">
        <v>425</v>
      </c>
      <c r="U235">
        <f>T235/(T235+S235)</f>
        <v>0.11255296610169492</v>
      </c>
      <c r="V235">
        <f>-4.136-2.4913*U235</f>
        <v>-4.4164032044491526</v>
      </c>
      <c r="W235">
        <f>M235-(SUM(S235:T235)*V235)</f>
        <v>45.032025000000431</v>
      </c>
      <c r="X235">
        <f>W235/(2*P235*R235)</f>
        <v>2.6257575360799118E-2</v>
      </c>
      <c r="Y235">
        <f>X235*16.02</f>
        <v>0.42064635728000188</v>
      </c>
      <c r="AA235">
        <f>N235/SUM(S235:T235)</f>
        <v>20.598071410752119</v>
      </c>
      <c r="AC235" s="1"/>
      <c r="AD235" s="20">
        <v>1.1957221152043118</v>
      </c>
      <c r="AE235" s="20">
        <v>1.2272323356642059</v>
      </c>
      <c r="AF235" s="20">
        <v>1.2764058514230894</v>
      </c>
    </row>
    <row r="236" spans="10:32" x14ac:dyDescent="0.2">
      <c r="L236">
        <v>433.767695</v>
      </c>
      <c r="M236">
        <v>-16669.418766999999</v>
      </c>
      <c r="N236">
        <v>77735.917178000003</v>
      </c>
      <c r="O236">
        <v>-0.497585</v>
      </c>
      <c r="P236">
        <v>30.994129999999998</v>
      </c>
      <c r="Q236">
        <v>91.144563000000005</v>
      </c>
      <c r="R236">
        <v>27.517769000000001</v>
      </c>
      <c r="S236">
        <v>3334</v>
      </c>
      <c r="T236">
        <v>442</v>
      </c>
      <c r="U236">
        <f>T236/(T236+S236)</f>
        <v>0.11705508474576271</v>
      </c>
      <c r="V236">
        <f>-4.136-2.4913*U236</f>
        <v>-4.4276193326271187</v>
      </c>
      <c r="W236">
        <f>M236-(SUM(S236:T236)*V236)</f>
        <v>49.271833000002516</v>
      </c>
      <c r="X236">
        <f>W236/(2*P236*R236)</f>
        <v>2.8885244802497569E-2</v>
      </c>
      <c r="Y236">
        <f>X236*16.02</f>
        <v>0.46274162173601102</v>
      </c>
      <c r="AA236">
        <f>N236/SUM(S236:T236)</f>
        <v>20.586842472987289</v>
      </c>
      <c r="AC236" s="1"/>
      <c r="AD236" s="20">
        <v>1.4026508077284316</v>
      </c>
      <c r="AE236" s="20">
        <v>1.4618044491539786</v>
      </c>
      <c r="AF236" s="20">
        <v>1.5499752456935476</v>
      </c>
    </row>
    <row r="237" spans="10:32" x14ac:dyDescent="0.2">
      <c r="L237">
        <v>433.82385900000003</v>
      </c>
      <c r="M237">
        <v>-16634.793450000001</v>
      </c>
      <c r="N237">
        <v>77799.445743000004</v>
      </c>
      <c r="O237">
        <v>-0.45713199999999998</v>
      </c>
      <c r="P237">
        <v>30.937438</v>
      </c>
      <c r="Q237">
        <v>91.019914</v>
      </c>
      <c r="R237">
        <v>27.628454999999999</v>
      </c>
      <c r="S237">
        <v>3347</v>
      </c>
      <c r="T237">
        <v>429</v>
      </c>
      <c r="U237">
        <f>T237/(T237+S237)</f>
        <v>0.11361228813559322</v>
      </c>
      <c r="V237">
        <f>-4.136-2.4913*U237</f>
        <v>-4.4190422934322031</v>
      </c>
      <c r="W237">
        <f>M237-(SUM(S237:T237)*V237)</f>
        <v>51.51024999999936</v>
      </c>
      <c r="X237">
        <f>W237/(2*P237*R237)</f>
        <v>3.0131636287066769E-2</v>
      </c>
      <c r="Y237">
        <f>X237*16.02</f>
        <v>0.48270881331880966</v>
      </c>
      <c r="AA237">
        <f>N237/SUM(S237:T237)</f>
        <v>20.603666775158899</v>
      </c>
      <c r="AC237" s="1"/>
    </row>
    <row r="238" spans="10:32" x14ac:dyDescent="0.2">
      <c r="L238">
        <v>433.797012</v>
      </c>
      <c r="M238">
        <v>-16606.084879000002</v>
      </c>
      <c r="N238">
        <v>77914.901463999995</v>
      </c>
      <c r="O238">
        <v>-0.45685300000000001</v>
      </c>
      <c r="P238">
        <v>30.97213</v>
      </c>
      <c r="Q238">
        <v>90.593338000000003</v>
      </c>
      <c r="R238">
        <v>27.768612000000001</v>
      </c>
      <c r="S238">
        <v>3362</v>
      </c>
      <c r="T238">
        <v>414</v>
      </c>
      <c r="U238">
        <f>T238/(T238+S238)</f>
        <v>0.10963983050847458</v>
      </c>
      <c r="V238">
        <f>-4.136-2.4913*U238</f>
        <v>-4.4091457097457631</v>
      </c>
      <c r="W238">
        <f>M238-(SUM(S238:T238)*V238)</f>
        <v>42.84932100000151</v>
      </c>
      <c r="X238">
        <f>W238/(2*P238*R238)</f>
        <v>2.4910858965470808E-2</v>
      </c>
      <c r="Y238">
        <f>X238*16.02</f>
        <v>0.39907196062684236</v>
      </c>
      <c r="AA238">
        <f>N238/SUM(S238:T238)</f>
        <v>20.634242972457624</v>
      </c>
      <c r="AC238" s="1"/>
    </row>
    <row r="239" spans="10:32" x14ac:dyDescent="0.2">
      <c r="Y239" s="1">
        <f>AVERAGE(Y234:Y238)</f>
        <v>0.44327427770875455</v>
      </c>
      <c r="Z239">
        <f>STDEV(Y234:Y238)</f>
        <v>3.3402045443221361E-2</v>
      </c>
      <c r="AC239" s="1"/>
    </row>
    <row r="240" spans="10:32" x14ac:dyDescent="0.2">
      <c r="J240" t="s">
        <v>27</v>
      </c>
      <c r="L240">
        <v>464.83014900000001</v>
      </c>
      <c r="M240">
        <v>-12764.298484999999</v>
      </c>
      <c r="N240">
        <v>59082.837966999999</v>
      </c>
      <c r="O240">
        <v>-0.65017000000000003</v>
      </c>
      <c r="P240">
        <v>32.999682999999997</v>
      </c>
      <c r="Q240">
        <v>132.331728</v>
      </c>
      <c r="R240">
        <v>13.530142</v>
      </c>
      <c r="S240">
        <v>2531</v>
      </c>
      <c r="T240">
        <v>349</v>
      </c>
      <c r="U240">
        <f>T240/(T240+S240)</f>
        <v>0.12118055555555556</v>
      </c>
      <c r="V240">
        <f>-4.136-2.4913*U240</f>
        <v>-4.437897118055556</v>
      </c>
      <c r="W240">
        <f>M240-(SUM(S240:T240)*V240)</f>
        <v>16.84521500000119</v>
      </c>
      <c r="X240">
        <f>W240/(2*P240*R240)</f>
        <v>1.8864028336623737E-2</v>
      </c>
      <c r="Y240">
        <f>X240*16.02</f>
        <v>0.30220173395271227</v>
      </c>
      <c r="AA240">
        <f>N240/SUM(S240:T240)</f>
        <v>20.514874294097222</v>
      </c>
      <c r="AC240" s="1"/>
    </row>
    <row r="241" spans="10:27" x14ac:dyDescent="0.2">
      <c r="L241">
        <v>464.80489499999999</v>
      </c>
      <c r="M241">
        <v>-12696.728451999999</v>
      </c>
      <c r="N241">
        <v>59524.181256000003</v>
      </c>
      <c r="O241">
        <v>-0.61697100000000005</v>
      </c>
      <c r="P241">
        <v>33.380391000000003</v>
      </c>
      <c r="Q241">
        <v>134.01340500000001</v>
      </c>
      <c r="R241">
        <v>13.306241</v>
      </c>
      <c r="S241">
        <v>2574</v>
      </c>
      <c r="T241">
        <v>306</v>
      </c>
      <c r="U241">
        <f>T241/(T241+S241)</f>
        <v>0.10625</v>
      </c>
      <c r="V241">
        <f>-4.136-2.4913*U241</f>
        <v>-4.4007006249999998</v>
      </c>
      <c r="W241">
        <f>M241-(SUM(S241:T241)*V241)</f>
        <v>-22.710651999999754</v>
      </c>
      <c r="X241">
        <f>W241/(2*P241*R241)</f>
        <v>-2.5565412376067371E-2</v>
      </c>
      <c r="Y241">
        <f>X241*16.02</f>
        <v>-0.40955790626459926</v>
      </c>
      <c r="AA241">
        <f>N241/SUM(S241:T241)</f>
        <v>20.668118491666668</v>
      </c>
    </row>
    <row r="242" spans="10:27" x14ac:dyDescent="0.2">
      <c r="L242">
        <v>464.96968700000002</v>
      </c>
      <c r="M242">
        <v>-12751.99339</v>
      </c>
      <c r="N242">
        <v>59250.983026000002</v>
      </c>
      <c r="O242">
        <v>-0.63861500000000004</v>
      </c>
      <c r="P242">
        <v>33.209688999999997</v>
      </c>
      <c r="Q242">
        <v>133.144892</v>
      </c>
      <c r="R242">
        <v>13.400118000000001</v>
      </c>
      <c r="S242">
        <v>2543</v>
      </c>
      <c r="T242">
        <v>337</v>
      </c>
      <c r="U242">
        <f>T242/(T242+S242)</f>
        <v>0.11701388888888889</v>
      </c>
      <c r="V242">
        <f>-4.136-2.4913*U242</f>
        <v>-4.427516701388889</v>
      </c>
      <c r="W242">
        <f>M242-(SUM(S242:T242)*V242)</f>
        <v>-0.74528999999893131</v>
      </c>
      <c r="X242">
        <f>W242/(2*P242*R242)</f>
        <v>-8.3737861779464861E-4</v>
      </c>
      <c r="Y242">
        <f>X242*16.02</f>
        <v>-1.3414805457070271E-2</v>
      </c>
      <c r="AA242">
        <f>N242/SUM(S242:T242)</f>
        <v>20.573257995138889</v>
      </c>
    </row>
    <row r="243" spans="10:27" x14ac:dyDescent="0.2">
      <c r="L243">
        <v>464.97716000000003</v>
      </c>
      <c r="M243">
        <v>-12703.300682999999</v>
      </c>
      <c r="N243">
        <v>59368.555216000001</v>
      </c>
      <c r="O243">
        <v>-0.74435899999999999</v>
      </c>
      <c r="P243">
        <v>33.231707</v>
      </c>
      <c r="Q243">
        <v>133.17636100000001</v>
      </c>
      <c r="R243">
        <v>13.414723</v>
      </c>
      <c r="S243">
        <v>2562</v>
      </c>
      <c r="T243">
        <v>318</v>
      </c>
      <c r="U243">
        <f>T243/(T243+S243)</f>
        <v>0.11041666666666666</v>
      </c>
      <c r="V243">
        <f>-4.136-2.4913*U243</f>
        <v>-4.4110810416666668</v>
      </c>
      <c r="W243">
        <f>M243-(SUM(S243:T243)*V243)</f>
        <v>0.61271700000179408</v>
      </c>
      <c r="X243">
        <f>W243/(2*P243*R243)</f>
        <v>6.872196595032518E-4</v>
      </c>
      <c r="Y243">
        <f>X243*16.02</f>
        <v>1.1009258945242094E-2</v>
      </c>
      <c r="AA243">
        <f>N243/SUM(S243:T243)</f>
        <v>20.614081672222223</v>
      </c>
    </row>
    <row r="244" spans="10:27" x14ac:dyDescent="0.2">
      <c r="L244">
        <v>464.84253699999999</v>
      </c>
      <c r="M244">
        <v>-12672.533605000001</v>
      </c>
      <c r="N244">
        <v>59393.078289999998</v>
      </c>
      <c r="O244">
        <v>-0.62538400000000005</v>
      </c>
      <c r="P244">
        <v>33.043571999999998</v>
      </c>
      <c r="Q244">
        <v>132.440628</v>
      </c>
      <c r="R244">
        <v>13.572361000000001</v>
      </c>
      <c r="S244">
        <v>2568</v>
      </c>
      <c r="T244">
        <v>312</v>
      </c>
      <c r="U244">
        <f>T244/(T244+S244)</f>
        <v>0.10833333333333334</v>
      </c>
      <c r="V244">
        <f>-4.136-2.4913*U244</f>
        <v>-4.4058908333333333</v>
      </c>
      <c r="W244">
        <f>M244-(SUM(S244:T244)*V244)</f>
        <v>16.431994999999006</v>
      </c>
      <c r="X244">
        <f>W244/(2*P244*R244)</f>
        <v>1.8319681023004793E-2</v>
      </c>
      <c r="Y244">
        <f>X244*16.02</f>
        <v>0.29348128998853679</v>
      </c>
      <c r="AA244">
        <f>N244/SUM(S244:T244)</f>
        <v>20.62259662847222</v>
      </c>
    </row>
    <row r="245" spans="10:27" x14ac:dyDescent="0.2">
      <c r="Y245" s="1">
        <f>AVERAGE(Y240:Y244)</f>
        <v>3.6743914232964324E-2</v>
      </c>
      <c r="Z245">
        <f>STDEV(Y240:Y244)</f>
        <v>0.29100920036288414</v>
      </c>
    </row>
    <row r="246" spans="10:27" x14ac:dyDescent="0.2">
      <c r="J246" t="s">
        <v>28</v>
      </c>
      <c r="L246">
        <v>464.88894399999998</v>
      </c>
      <c r="M246">
        <v>-10986.503602999999</v>
      </c>
      <c r="N246">
        <v>50688.590894000001</v>
      </c>
      <c r="O246">
        <v>-0.815604</v>
      </c>
      <c r="P246">
        <v>35.725973000000003</v>
      </c>
      <c r="Q246">
        <v>141.84759099999999</v>
      </c>
      <c r="R246">
        <v>10.002449</v>
      </c>
      <c r="S246">
        <v>2168</v>
      </c>
      <c r="T246">
        <v>304</v>
      </c>
      <c r="U246">
        <f>T246/(T246+S246)</f>
        <v>0.12297734627831715</v>
      </c>
      <c r="V246">
        <f>-4.136-2.4913*U246</f>
        <v>-4.4423734627831717</v>
      </c>
      <c r="W246">
        <f>M246-(SUM(S246:T246)*V246)</f>
        <v>-4.9564029999983177</v>
      </c>
      <c r="X246">
        <f>W246/(2*P246*R246)</f>
        <v>-6.9349958279598303E-3</v>
      </c>
      <c r="Y246">
        <f>X246*16.02</f>
        <v>-0.11109863316391648</v>
      </c>
      <c r="AA246">
        <f>N246/SUM(S246:T246)</f>
        <v>20.505093403721684</v>
      </c>
    </row>
    <row r="247" spans="10:27" x14ac:dyDescent="0.2">
      <c r="L247">
        <v>464.88989700000002</v>
      </c>
      <c r="M247">
        <v>-10891.189521</v>
      </c>
      <c r="N247">
        <v>50981.386376000002</v>
      </c>
      <c r="O247">
        <v>-0.91647400000000001</v>
      </c>
      <c r="P247">
        <v>34.542116999999998</v>
      </c>
      <c r="Q247">
        <v>140.38101</v>
      </c>
      <c r="R247">
        <v>10.513735</v>
      </c>
      <c r="S247">
        <v>2201</v>
      </c>
      <c r="T247">
        <v>271</v>
      </c>
      <c r="U247">
        <f>T247/(T247+S247)</f>
        <v>0.10962783171521036</v>
      </c>
      <c r="V247">
        <f>-4.136-2.4913*U247</f>
        <v>-4.4091158171521041</v>
      </c>
      <c r="W247">
        <f>M247-(SUM(S247:T247)*V247)</f>
        <v>8.1447790000001987</v>
      </c>
      <c r="X247">
        <f>W247/(2*P247*R247)</f>
        <v>1.1213555368207721E-2</v>
      </c>
      <c r="Y247">
        <f>X247*16.02</f>
        <v>0.17964115699868768</v>
      </c>
      <c r="AA247">
        <f>N247/SUM(S247:T247)</f>
        <v>20.623538177993527</v>
      </c>
    </row>
    <row r="248" spans="10:27" x14ac:dyDescent="0.2">
      <c r="L248">
        <v>464.89843100000002</v>
      </c>
      <c r="M248">
        <v>-10994.073761</v>
      </c>
      <c r="N248">
        <v>50699.870484999999</v>
      </c>
      <c r="O248">
        <v>-0.782802</v>
      </c>
      <c r="P248">
        <v>35.759470999999998</v>
      </c>
      <c r="Q248">
        <v>141.65970200000001</v>
      </c>
      <c r="R248">
        <v>10.008556</v>
      </c>
      <c r="S248">
        <v>2167</v>
      </c>
      <c r="T248">
        <v>305</v>
      </c>
      <c r="U248">
        <f>T248/(T248+S248)</f>
        <v>0.12338187702265373</v>
      </c>
      <c r="V248">
        <f>-4.136-2.4913*U248</f>
        <v>-4.4433812702265376</v>
      </c>
      <c r="W248">
        <f>M248-(SUM(S248:T248)*V248)</f>
        <v>-10.035260999999082</v>
      </c>
      <c r="X248">
        <f>W248/(2*P248*R248)</f>
        <v>-1.4019617587091545E-2</v>
      </c>
      <c r="Y248">
        <f>X248*16.02</f>
        <v>-0.22459427374520655</v>
      </c>
      <c r="AA248">
        <f>N248/SUM(S248:T248)</f>
        <v>20.509656345064723</v>
      </c>
    </row>
    <row r="249" spans="10:27" x14ac:dyDescent="0.2">
      <c r="L249">
        <v>464.853317</v>
      </c>
      <c r="M249">
        <v>-10929.259427000001</v>
      </c>
      <c r="N249">
        <v>50899.586893</v>
      </c>
      <c r="O249">
        <v>-0.69211800000000001</v>
      </c>
      <c r="P249">
        <v>35.820678999999998</v>
      </c>
      <c r="Q249">
        <v>142.18255300000001</v>
      </c>
      <c r="R249">
        <v>9.9939070000000001</v>
      </c>
      <c r="S249">
        <v>2194</v>
      </c>
      <c r="T249">
        <v>278</v>
      </c>
      <c r="U249">
        <f>T249/(T249+S249)</f>
        <v>0.11245954692556634</v>
      </c>
      <c r="V249">
        <f>-4.136-2.4913*U249</f>
        <v>-4.4161704692556638</v>
      </c>
      <c r="W249">
        <f>M249-(SUM(S249:T249)*V249)</f>
        <v>-12.486027000000831</v>
      </c>
      <c r="X249">
        <f>W249/(2*P249*R249)</f>
        <v>-1.7439143705890801E-2</v>
      </c>
      <c r="Y249">
        <f>X249*16.02</f>
        <v>-0.27937508216837065</v>
      </c>
      <c r="AA249">
        <f>N249/SUM(S249:T249)</f>
        <v>20.590447772249192</v>
      </c>
    </row>
    <row r="250" spans="10:27" x14ac:dyDescent="0.2">
      <c r="L250">
        <v>464.97394400000002</v>
      </c>
      <c r="M250">
        <v>-10900.744774000001</v>
      </c>
      <c r="N250">
        <v>50880.489719999998</v>
      </c>
      <c r="O250">
        <v>-0.80434399999999995</v>
      </c>
      <c r="P250">
        <v>35.582574999999999</v>
      </c>
      <c r="Q250">
        <v>141.37526700000001</v>
      </c>
      <c r="R250">
        <v>10.115152999999999</v>
      </c>
      <c r="S250">
        <v>2198</v>
      </c>
      <c r="T250">
        <v>274</v>
      </c>
      <c r="U250">
        <f>T250/(T250+S250)</f>
        <v>0.11084142394822007</v>
      </c>
      <c r="V250">
        <f>-4.136-2.4913*U250</f>
        <v>-4.412139239482201</v>
      </c>
      <c r="W250">
        <f>M250-(SUM(S250:T250)*V250)</f>
        <v>6.0634260000006179</v>
      </c>
      <c r="X250">
        <f>W250/(2*P250*R250)</f>
        <v>8.4232221819852873E-3</v>
      </c>
      <c r="Y250">
        <f>X250*16.02</f>
        <v>0.13494001935540431</v>
      </c>
      <c r="AA250">
        <f>N250/SUM(S250:T250)</f>
        <v>20.582722378640774</v>
      </c>
    </row>
    <row r="251" spans="10:27" x14ac:dyDescent="0.2">
      <c r="Y251" s="1">
        <f>AVERAGE(Y246:Y250)</f>
        <v>-6.0097362544680344E-2</v>
      </c>
      <c r="Z251">
        <f>STDEV(Y246:Y250)</f>
        <v>0.20812089023806657</v>
      </c>
    </row>
    <row r="253" spans="10:27" x14ac:dyDescent="0.2">
      <c r="J253" t="s">
        <v>79</v>
      </c>
      <c r="L253" t="s">
        <v>74</v>
      </c>
      <c r="X253" t="s">
        <v>25</v>
      </c>
      <c r="Y253" t="s">
        <v>24</v>
      </c>
    </row>
    <row r="254" spans="10:27" x14ac:dyDescent="0.2">
      <c r="L254" t="s">
        <v>18</v>
      </c>
      <c r="M254" t="s">
        <v>5</v>
      </c>
      <c r="N254" t="s">
        <v>7</v>
      </c>
      <c r="O254" t="s">
        <v>19</v>
      </c>
      <c r="P254" t="s">
        <v>20</v>
      </c>
      <c r="Q254" t="s">
        <v>21</v>
      </c>
      <c r="R254" t="s">
        <v>22</v>
      </c>
      <c r="S254" t="s">
        <v>4</v>
      </c>
      <c r="T254" t="s">
        <v>10</v>
      </c>
      <c r="U254" t="s">
        <v>13</v>
      </c>
      <c r="V254" t="s">
        <v>26</v>
      </c>
      <c r="W254" t="s">
        <v>12</v>
      </c>
      <c r="X254" t="s">
        <v>23</v>
      </c>
      <c r="Y254" t="s">
        <v>23</v>
      </c>
    </row>
    <row r="255" spans="10:27" x14ac:dyDescent="0.2">
      <c r="J255" t="s">
        <v>55</v>
      </c>
      <c r="L255">
        <v>520.73648000000003</v>
      </c>
      <c r="M255">
        <v>-17237.753063</v>
      </c>
      <c r="N255">
        <v>80268.494554000004</v>
      </c>
      <c r="O255">
        <v>-0.55692699999999995</v>
      </c>
      <c r="P255">
        <v>31.243476999999999</v>
      </c>
      <c r="Q255">
        <v>186.08567099999999</v>
      </c>
      <c r="R255">
        <v>13.806205</v>
      </c>
      <c r="S255">
        <v>3433</v>
      </c>
      <c r="T255">
        <v>471</v>
      </c>
      <c r="U255">
        <f>T255/(T255+S255)</f>
        <v>0.12064549180327869</v>
      </c>
      <c r="V255">
        <f>-4.1122-2.5608*U255</f>
        <v>-4.4211489754098361</v>
      </c>
      <c r="W255">
        <f>M255-(SUM(S255:T255)*V255)</f>
        <v>22.412537000000157</v>
      </c>
      <c r="X255">
        <f>W255/(2*P255*R255)</f>
        <v>2.5979294127598529E-2</v>
      </c>
      <c r="Y255">
        <f>X255*16.02</f>
        <v>0.41618829192412843</v>
      </c>
    </row>
    <row r="256" spans="10:27" x14ac:dyDescent="0.2">
      <c r="L256">
        <v>520.62993500000005</v>
      </c>
      <c r="M256">
        <v>-17167.549342999999</v>
      </c>
      <c r="N256">
        <v>80505.230974000006</v>
      </c>
      <c r="O256">
        <v>-0.56195399999999995</v>
      </c>
      <c r="P256">
        <v>31.255016999999999</v>
      </c>
      <c r="Q256">
        <v>186.26682099999999</v>
      </c>
      <c r="R256">
        <v>13.828343</v>
      </c>
      <c r="S256">
        <v>3460</v>
      </c>
      <c r="T256">
        <v>444</v>
      </c>
      <c r="U256">
        <f>T256/(T256+S256)</f>
        <v>0.11372950819672131</v>
      </c>
      <c r="V256">
        <f>-4.1122-2.5608*U256</f>
        <v>-4.4034385245901637</v>
      </c>
      <c r="W256">
        <f>M256-(SUM(S256:T256)*V256)</f>
        <v>23.474656999998842</v>
      </c>
      <c r="X256">
        <f>W256/(2*P256*R256)</f>
        <v>2.7156848961137802E-2</v>
      </c>
      <c r="Y256">
        <f>X256*16.02</f>
        <v>0.43505272035742759</v>
      </c>
    </row>
    <row r="257" spans="10:29" x14ac:dyDescent="0.2">
      <c r="L257">
        <v>520.49195299999997</v>
      </c>
      <c r="M257">
        <v>-17191.366465999999</v>
      </c>
      <c r="N257">
        <v>80420.847391999996</v>
      </c>
      <c r="O257">
        <v>-0.56994599999999995</v>
      </c>
      <c r="P257">
        <v>31.245857000000001</v>
      </c>
      <c r="Q257">
        <v>186.22369900000001</v>
      </c>
      <c r="R257">
        <v>13.821092</v>
      </c>
      <c r="S257">
        <v>3451</v>
      </c>
      <c r="T257">
        <v>453</v>
      </c>
      <c r="U257">
        <f>T257/(T257+S257)</f>
        <v>0.11603483606557377</v>
      </c>
      <c r="V257">
        <f>-4.1122-2.5608*U257</f>
        <v>-4.4093420081967212</v>
      </c>
      <c r="W257">
        <f>M257-(SUM(S257:T257)*V257)</f>
        <v>22.704733999999007</v>
      </c>
      <c r="X257">
        <f>W257/(2*P257*R257)</f>
        <v>2.6287641528682796E-2</v>
      </c>
      <c r="Y257">
        <f>X257*16.02</f>
        <v>0.42112801728949839</v>
      </c>
    </row>
    <row r="258" spans="10:29" x14ac:dyDescent="0.2">
      <c r="L258">
        <v>520.46858699999996</v>
      </c>
      <c r="M258">
        <v>-17164.450378000001</v>
      </c>
      <c r="N258">
        <v>80506.514722000007</v>
      </c>
      <c r="O258">
        <v>-0.53110500000000005</v>
      </c>
      <c r="P258">
        <v>31.283089</v>
      </c>
      <c r="Q258">
        <v>186.416732</v>
      </c>
      <c r="R258">
        <v>13.805037</v>
      </c>
      <c r="S258">
        <v>3462</v>
      </c>
      <c r="T258">
        <v>442</v>
      </c>
      <c r="U258">
        <f>T258/(T258+S258)</f>
        <v>0.11321721311475409</v>
      </c>
      <c r="V258">
        <f>-4.1122-2.5608*U258</f>
        <v>-4.402126639344262</v>
      </c>
      <c r="W258">
        <f>M258-(SUM(S258:T258)*V258)</f>
        <v>21.452021999997669</v>
      </c>
      <c r="X258">
        <f>W258/(2*P258*R258)</f>
        <v>2.4836536513560218E-2</v>
      </c>
      <c r="Y258">
        <f>X258*16.02</f>
        <v>0.39788131494723467</v>
      </c>
      <c r="AC258" s="1"/>
    </row>
    <row r="259" spans="10:29" x14ac:dyDescent="0.2">
      <c r="L259">
        <v>520.57889</v>
      </c>
      <c r="M259">
        <v>-17117.248190999999</v>
      </c>
      <c r="N259">
        <v>80659.809385</v>
      </c>
      <c r="O259">
        <v>-0.56295700000000004</v>
      </c>
      <c r="P259">
        <v>31.259072</v>
      </c>
      <c r="Q259">
        <v>186.41823199999999</v>
      </c>
      <c r="R259">
        <v>13.841851999999999</v>
      </c>
      <c r="S259">
        <v>3480</v>
      </c>
      <c r="T259">
        <v>424</v>
      </c>
      <c r="U259">
        <f>T259/(T259+S259)</f>
        <v>0.10860655737704918</v>
      </c>
      <c r="V259">
        <f>-4.1122-2.5608*U259</f>
        <v>-4.390319672131147</v>
      </c>
      <c r="W259">
        <f>M259-(SUM(S259:T259)*V259)</f>
        <v>22.559808999998495</v>
      </c>
      <c r="X259">
        <f>W259/(2*P259*R259)</f>
        <v>2.6069646400397339E-2</v>
      </c>
      <c r="Y259">
        <f>X259*16.02</f>
        <v>0.41763573533436538</v>
      </c>
      <c r="AB259" s="1"/>
      <c r="AC259" s="1"/>
    </row>
    <row r="260" spans="10:29" x14ac:dyDescent="0.2">
      <c r="M260">
        <f>AVERAGE(M255:M259)</f>
        <v>-17175.673488200002</v>
      </c>
      <c r="Y260" s="1">
        <f>AVERAGE(Y255:Y259)</f>
        <v>0.41757721597053088</v>
      </c>
      <c r="Z260">
        <f>STDEV(Y255:Y259)</f>
        <v>1.3302842696443936E-2</v>
      </c>
      <c r="AB260" s="1"/>
      <c r="AC260" s="1"/>
    </row>
    <row r="261" spans="10:29" x14ac:dyDescent="0.2">
      <c r="J261" t="s">
        <v>133</v>
      </c>
      <c r="K261">
        <v>100000</v>
      </c>
      <c r="L261">
        <v>557.74933899999996</v>
      </c>
      <c r="M261">
        <v>-14006.848674000001</v>
      </c>
      <c r="N261">
        <v>65084.440823999998</v>
      </c>
      <c r="O261">
        <v>-0.87998699999999996</v>
      </c>
      <c r="P261">
        <v>24.34676</v>
      </c>
      <c r="Q261">
        <v>193.53816900000001</v>
      </c>
      <c r="R261">
        <v>13.812443999999999</v>
      </c>
      <c r="S261">
        <v>2779</v>
      </c>
      <c r="T261">
        <v>389</v>
      </c>
      <c r="U261">
        <f>T261/(T261+S261)</f>
        <v>0.12279040404040405</v>
      </c>
      <c r="V261">
        <f>-4.1122-2.5608*U261</f>
        <v>-4.4266416666666659</v>
      </c>
      <c r="W261">
        <f>M261-(SUM(S261:T261)*V261)</f>
        <v>16.752125999997588</v>
      </c>
      <c r="X261">
        <f>W261/(2*P261*R261)</f>
        <v>2.4907390531200009E-2</v>
      </c>
      <c r="Y261">
        <f>X261*16.02</f>
        <v>0.39901639630982416</v>
      </c>
      <c r="AB261" s="1"/>
      <c r="AC261" s="1"/>
    </row>
    <row r="262" spans="10:29" x14ac:dyDescent="0.2">
      <c r="K262">
        <v>100000</v>
      </c>
      <c r="L262">
        <v>558.00047400000005</v>
      </c>
      <c r="M262">
        <v>-13956.701277</v>
      </c>
      <c r="N262">
        <v>65251.410441</v>
      </c>
      <c r="O262">
        <v>-0.96676300000000004</v>
      </c>
      <c r="P262">
        <v>24.419799000000001</v>
      </c>
      <c r="Q262">
        <v>193.64993200000001</v>
      </c>
      <c r="R262">
        <v>13.79852</v>
      </c>
      <c r="S262">
        <v>2798</v>
      </c>
      <c r="T262">
        <v>370</v>
      </c>
      <c r="U262">
        <f>T262/(T262+S262)</f>
        <v>0.1167929292929293</v>
      </c>
      <c r="V262">
        <f>-4.1122-2.5608*U262</f>
        <v>-4.4112833333333326</v>
      </c>
      <c r="W262">
        <f>M262-(SUM(S262:T262)*V262)</f>
        <v>18.244322999997166</v>
      </c>
      <c r="X262">
        <f>W262/(2*P262*R262)</f>
        <v>2.7072175979840348E-2</v>
      </c>
      <c r="Y262">
        <f>X262*16.02</f>
        <v>0.43369625919704236</v>
      </c>
      <c r="AB262" s="1"/>
      <c r="AC262" s="1"/>
    </row>
    <row r="263" spans="10:29" x14ac:dyDescent="0.2">
      <c r="K263">
        <v>100000</v>
      </c>
      <c r="L263">
        <v>557.95823399999995</v>
      </c>
      <c r="M263">
        <v>-13960.528431999999</v>
      </c>
      <c r="N263">
        <v>65212.256004000003</v>
      </c>
      <c r="O263">
        <v>-0.72724299999999997</v>
      </c>
      <c r="P263">
        <v>24.380665</v>
      </c>
      <c r="Q263">
        <v>193.226754</v>
      </c>
      <c r="R263">
        <v>13.842598000000001</v>
      </c>
      <c r="S263">
        <v>2797</v>
      </c>
      <c r="T263">
        <v>371</v>
      </c>
      <c r="U263">
        <f>T263/(T263+S263)</f>
        <v>0.11710858585858586</v>
      </c>
      <c r="V263">
        <f>-4.1122-2.5608*U263</f>
        <v>-4.4120916666666661</v>
      </c>
      <c r="W263">
        <f>M263-(SUM(S263:T263)*V263)</f>
        <v>16.977967999999237</v>
      </c>
      <c r="X263">
        <f>W263/(2*P263*R263)</f>
        <v>2.5153160445077209E-2</v>
      </c>
      <c r="Y263">
        <f>X263*16.02</f>
        <v>0.40295363033013687</v>
      </c>
      <c r="AB263" s="1"/>
      <c r="AC263" s="1"/>
    </row>
    <row r="264" spans="10:29" x14ac:dyDescent="0.2">
      <c r="K264">
        <v>100000</v>
      </c>
      <c r="L264">
        <v>557.736358</v>
      </c>
      <c r="M264">
        <v>-13963.150879999999</v>
      </c>
      <c r="N264">
        <v>65219.877971000002</v>
      </c>
      <c r="O264">
        <v>-0.77138200000000001</v>
      </c>
      <c r="P264">
        <v>24.418161000000001</v>
      </c>
      <c r="Q264">
        <v>193.46317300000001</v>
      </c>
      <c r="R264">
        <v>13.806075999999999</v>
      </c>
      <c r="S264">
        <v>2796</v>
      </c>
      <c r="T264">
        <v>372</v>
      </c>
      <c r="U264">
        <f>T264/(T264+S264)</f>
        <v>0.11742424242424243</v>
      </c>
      <c r="V264">
        <f>-4.1122-2.5608*U264</f>
        <v>-4.4128999999999996</v>
      </c>
      <c r="W264">
        <f>M264-(SUM(S264:T264)*V264)</f>
        <v>16.916320000000269</v>
      </c>
      <c r="X264">
        <f>W264/(2*P264*R264)</f>
        <v>2.5089539116896032E-2</v>
      </c>
      <c r="Y264">
        <f>X264*16.02</f>
        <v>0.40193441665267443</v>
      </c>
      <c r="AB264" s="1"/>
    </row>
    <row r="265" spans="10:29" x14ac:dyDescent="0.2">
      <c r="K265">
        <v>100000</v>
      </c>
      <c r="L265">
        <v>557.87207999999998</v>
      </c>
      <c r="M265">
        <v>-13941.663812000001</v>
      </c>
      <c r="N265">
        <v>65306.838333</v>
      </c>
      <c r="O265">
        <v>-0.65209300000000003</v>
      </c>
      <c r="P265">
        <v>24.438267</v>
      </c>
      <c r="Q265">
        <v>193.41361699999999</v>
      </c>
      <c r="R265">
        <v>13.816651</v>
      </c>
      <c r="S265">
        <v>2804</v>
      </c>
      <c r="T265">
        <v>364</v>
      </c>
      <c r="U265">
        <f>T265/(T265+S265)</f>
        <v>0.1148989898989899</v>
      </c>
      <c r="V265">
        <f>-4.1122-2.5608*U265</f>
        <v>-4.4064333333333332</v>
      </c>
      <c r="W265">
        <f>M265-(SUM(S265:T265)*V265)</f>
        <v>17.916987999999037</v>
      </c>
      <c r="X265">
        <f>W265/(2*P265*R265)</f>
        <v>2.6531500602489443E-2</v>
      </c>
      <c r="Y265">
        <f>X265*16.02</f>
        <v>0.42503463965188087</v>
      </c>
    </row>
    <row r="266" spans="10:29" x14ac:dyDescent="0.2">
      <c r="Y266" s="1">
        <f>AVERAGE(Y261:Y265)</f>
        <v>0.41252706842831166</v>
      </c>
      <c r="Z266">
        <f>STDEV(Y261:Y265)</f>
        <v>1.5739815957217702E-2</v>
      </c>
    </row>
    <row r="267" spans="10:29" x14ac:dyDescent="0.2">
      <c r="J267" t="s">
        <v>28</v>
      </c>
      <c r="L267">
        <v>557.81984299999999</v>
      </c>
      <c r="M267">
        <v>-10922.521704000001</v>
      </c>
      <c r="N267">
        <v>50787.348073000001</v>
      </c>
      <c r="O267">
        <v>-1.1388480000000001</v>
      </c>
      <c r="P267">
        <v>35.203420000000001</v>
      </c>
      <c r="Q267">
        <v>139.77538200000001</v>
      </c>
      <c r="R267">
        <v>10.321486</v>
      </c>
      <c r="S267">
        <v>2168</v>
      </c>
      <c r="T267">
        <v>304</v>
      </c>
      <c r="U267">
        <f>T267/(T267+S267)</f>
        <v>0.12297734627831715</v>
      </c>
      <c r="V267">
        <f>-4.1122-2.5608*U267</f>
        <v>-4.4271203883495138</v>
      </c>
      <c r="W267">
        <f>M267-(SUM(S267:T267)*V267)</f>
        <v>21.319895999997243</v>
      </c>
      <c r="X267">
        <f>W267/(2*P267*R267)</f>
        <v>2.9337830916279752E-2</v>
      </c>
      <c r="Y267">
        <f>X267*16.02</f>
        <v>0.46999205127880161</v>
      </c>
    </row>
    <row r="268" spans="10:29" x14ac:dyDescent="0.2">
      <c r="L268">
        <v>558.06524300000001</v>
      </c>
      <c r="M268">
        <v>-10837.687838</v>
      </c>
      <c r="N268">
        <v>51077.850988999999</v>
      </c>
      <c r="O268">
        <v>-0.88886200000000004</v>
      </c>
      <c r="P268">
        <v>35.248294999999999</v>
      </c>
      <c r="Q268">
        <v>139.956029</v>
      </c>
      <c r="R268">
        <v>10.353927000000001</v>
      </c>
      <c r="S268">
        <v>2201</v>
      </c>
      <c r="T268">
        <v>271</v>
      </c>
      <c r="U268">
        <f>T268/(T268+S268)</f>
        <v>0.10962783171521036</v>
      </c>
      <c r="V268">
        <f>-4.1122-2.5608*U268</f>
        <v>-4.3929349514563105</v>
      </c>
      <c r="W268">
        <f>M268-(SUM(S268:T268)*V268)</f>
        <v>21.647361999999703</v>
      </c>
      <c r="X268">
        <f>W268/(2*P268*R268)</f>
        <v>2.9657310963246031E-2</v>
      </c>
      <c r="Y268">
        <f>X268*16.02</f>
        <v>0.47511012163120142</v>
      </c>
    </row>
    <row r="269" spans="10:29" x14ac:dyDescent="0.2">
      <c r="L269">
        <v>557.91618400000004</v>
      </c>
      <c r="M269">
        <v>-10928.211874000001</v>
      </c>
      <c r="N269">
        <v>50795.596687999998</v>
      </c>
      <c r="O269">
        <v>-1.094155</v>
      </c>
      <c r="P269">
        <v>35.259019000000002</v>
      </c>
      <c r="Q269">
        <v>139.87892199999999</v>
      </c>
      <c r="R269">
        <v>10.299246999999999</v>
      </c>
      <c r="S269">
        <v>2167</v>
      </c>
      <c r="T269">
        <v>305</v>
      </c>
      <c r="U269">
        <f>T269/(T269+S269)</f>
        <v>0.12338187702265373</v>
      </c>
      <c r="V269">
        <f>-4.1122-2.5608*U269</f>
        <v>-4.4281563106796114</v>
      </c>
      <c r="W269">
        <f>M269-(SUM(S269:T269)*V269)</f>
        <v>18.190525999998499</v>
      </c>
      <c r="X269">
        <f>W269/(2*P269*R269)</f>
        <v>2.504606844891644E-2</v>
      </c>
      <c r="Y269">
        <f>X269*16.02</f>
        <v>0.40123801655164137</v>
      </c>
    </row>
    <row r="270" spans="10:29" x14ac:dyDescent="0.2">
      <c r="L270">
        <v>557.67198699999994</v>
      </c>
      <c r="M270">
        <v>-10856.680133</v>
      </c>
      <c r="N270">
        <v>51016.399729999997</v>
      </c>
      <c r="O270">
        <v>-1.0440149999999999</v>
      </c>
      <c r="P270">
        <v>35.303111999999999</v>
      </c>
      <c r="Q270">
        <v>139.980513</v>
      </c>
      <c r="R270">
        <v>10.323648</v>
      </c>
      <c r="S270">
        <v>2194</v>
      </c>
      <c r="T270">
        <v>278</v>
      </c>
      <c r="U270">
        <f>T270/(T270+S270)</f>
        <v>0.11245954692556634</v>
      </c>
      <c r="V270">
        <f>-4.1122-2.5608*U270</f>
        <v>-4.4001864077669897</v>
      </c>
      <c r="W270">
        <f>M270-(SUM(S270:T270)*V270)</f>
        <v>20.580666999998357</v>
      </c>
      <c r="X270">
        <f>W270/(2*P270*R270)</f>
        <v>2.8234706092910473E-2</v>
      </c>
      <c r="Y270">
        <f>X270*16.02</f>
        <v>0.45231999160842579</v>
      </c>
    </row>
    <row r="271" spans="10:29" x14ac:dyDescent="0.2">
      <c r="L271">
        <v>558.13282400000003</v>
      </c>
      <c r="M271">
        <v>-10847.215349</v>
      </c>
      <c r="N271">
        <v>51024.517108</v>
      </c>
      <c r="O271">
        <v>-0.99522699999999997</v>
      </c>
      <c r="P271">
        <v>35.244948000000001</v>
      </c>
      <c r="Q271">
        <v>140.04083399999999</v>
      </c>
      <c r="R271">
        <v>10.337833</v>
      </c>
      <c r="S271">
        <v>2198</v>
      </c>
      <c r="T271">
        <v>274</v>
      </c>
      <c r="U271">
        <f>T271/(T271+S271)</f>
        <v>0.11084142394822007</v>
      </c>
      <c r="V271">
        <f>-4.1122-2.5608*U271</f>
        <v>-4.3960427184466013</v>
      </c>
      <c r="W271">
        <f>M271-(SUM(S271:T271)*V271)</f>
        <v>19.80225099999916</v>
      </c>
      <c r="X271">
        <f>W271/(2*P271*R271)</f>
        <v>2.7174288324212013E-2</v>
      </c>
      <c r="Y271">
        <f>X271*16.02</f>
        <v>0.43533209895387642</v>
      </c>
    </row>
    <row r="272" spans="10:29" x14ac:dyDescent="0.2">
      <c r="Y272" s="1">
        <f>AVERAGE(Y267:Y271)</f>
        <v>0.44679845600478929</v>
      </c>
      <c r="Z272">
        <f>STDEV(Y267:Y271)</f>
        <v>2.99048976544046E-2</v>
      </c>
    </row>
    <row r="273" spans="10:26" x14ac:dyDescent="0.2">
      <c r="J273" t="s">
        <v>134</v>
      </c>
      <c r="K273">
        <v>100000</v>
      </c>
      <c r="L273">
        <v>557.72087499999998</v>
      </c>
      <c r="M273">
        <v>-14234.0458</v>
      </c>
      <c r="N273">
        <v>66581.283767999994</v>
      </c>
      <c r="O273">
        <v>-0.77501600000000004</v>
      </c>
      <c r="P273">
        <v>28.478269000000001</v>
      </c>
      <c r="Q273">
        <v>169.428786</v>
      </c>
      <c r="R273">
        <v>13.799163</v>
      </c>
      <c r="S273">
        <v>2854</v>
      </c>
      <c r="T273">
        <v>378</v>
      </c>
      <c r="U273">
        <f>T273/(T273+S273)</f>
        <v>0.11695544554455446</v>
      </c>
      <c r="V273">
        <f>-4.1122-2.5608*U273</f>
        <v>-4.4116995049504943</v>
      </c>
      <c r="W273">
        <f>M273-(SUM(S273:T273)*V273)</f>
        <v>24.566999999997279</v>
      </c>
      <c r="X273">
        <f>W273/(2*P273*R273)</f>
        <v>3.1257612109574312E-2</v>
      </c>
      <c r="Y273">
        <f>X273*16.02</f>
        <v>0.5007469459953805</v>
      </c>
    </row>
    <row r="274" spans="10:26" x14ac:dyDescent="0.2">
      <c r="K274">
        <v>100000</v>
      </c>
      <c r="L274">
        <v>557.84224300000005</v>
      </c>
      <c r="M274">
        <v>-14246.600866000001</v>
      </c>
      <c r="N274">
        <v>66533.660508999994</v>
      </c>
      <c r="O274">
        <v>-0.681863</v>
      </c>
      <c r="P274">
        <v>28.481639999999999</v>
      </c>
      <c r="Q274">
        <v>169.46122500000001</v>
      </c>
      <c r="R274">
        <v>13.785016000000001</v>
      </c>
      <c r="S274">
        <v>2850</v>
      </c>
      <c r="T274">
        <v>382</v>
      </c>
      <c r="U274">
        <f>T274/(T274+S274)</f>
        <v>0.11819306930693069</v>
      </c>
      <c r="V274">
        <f>-4.1122-2.5608*U274</f>
        <v>-4.4148688118811874</v>
      </c>
      <c r="W274">
        <f>M274-(SUM(S274:T274)*V274)</f>
        <v>22.25513399999727</v>
      </c>
      <c r="X274">
        <f>W274/(2*P274*R274)</f>
        <v>2.8341834037539763E-2</v>
      </c>
      <c r="Y274">
        <f>X274*16.02</f>
        <v>0.45403618128138701</v>
      </c>
    </row>
    <row r="275" spans="10:26" x14ac:dyDescent="0.2">
      <c r="K275">
        <v>100000</v>
      </c>
      <c r="L275">
        <v>557.85947599999997</v>
      </c>
      <c r="M275">
        <v>-14376.245449</v>
      </c>
      <c r="N275">
        <v>66109.599998999998</v>
      </c>
      <c r="O275">
        <v>-0.81466499999999997</v>
      </c>
      <c r="P275">
        <v>28.393287999999998</v>
      </c>
      <c r="Q275">
        <v>168.98779200000001</v>
      </c>
      <c r="R275">
        <v>13.778275000000001</v>
      </c>
      <c r="S275">
        <v>2799</v>
      </c>
      <c r="T275">
        <v>433</v>
      </c>
      <c r="U275">
        <f>T275/(T275+S275)</f>
        <v>0.13397277227722773</v>
      </c>
      <c r="V275">
        <f>-4.1122-2.5608*U275</f>
        <v>-4.4552774752475246</v>
      </c>
      <c r="W275">
        <f>M275-(SUM(S275:T275)*V275)</f>
        <v>23.211350999999922</v>
      </c>
      <c r="X275">
        <f>W275/(2*P275*R275)</f>
        <v>2.9666061119384558E-2</v>
      </c>
      <c r="Y275">
        <f>X275*16.02</f>
        <v>0.47525029913254063</v>
      </c>
    </row>
    <row r="276" spans="10:26" x14ac:dyDescent="0.2">
      <c r="K276">
        <v>100000</v>
      </c>
      <c r="L276">
        <v>557.65627199999994</v>
      </c>
      <c r="M276">
        <v>-14226.343215999999</v>
      </c>
      <c r="N276">
        <v>66602.186342999994</v>
      </c>
      <c r="O276">
        <v>-0.68471199999999999</v>
      </c>
      <c r="P276">
        <v>28.499780000000001</v>
      </c>
      <c r="Q276">
        <v>169.41415900000001</v>
      </c>
      <c r="R276">
        <v>13.794283</v>
      </c>
      <c r="S276">
        <v>2858</v>
      </c>
      <c r="T276">
        <v>374</v>
      </c>
      <c r="U276">
        <f>T276/(T276+S276)</f>
        <v>0.11571782178217822</v>
      </c>
      <c r="V276">
        <f>-4.1122-2.5608*U276</f>
        <v>-4.4085301980198013</v>
      </c>
      <c r="W276">
        <f>M276-(SUM(S276:T276)*V276)</f>
        <v>22.02638399999887</v>
      </c>
      <c r="X276">
        <f>W276/(2*P276*R276)</f>
        <v>2.8013835329320721E-2</v>
      </c>
      <c r="Y276">
        <f>X276*16.02</f>
        <v>0.44878164197571796</v>
      </c>
    </row>
    <row r="277" spans="10:26" x14ac:dyDescent="0.2">
      <c r="K277">
        <v>100000</v>
      </c>
      <c r="L277">
        <v>557.984465</v>
      </c>
      <c r="M277">
        <v>-14210.288665</v>
      </c>
      <c r="N277">
        <v>66655.493151000002</v>
      </c>
      <c r="O277">
        <v>-0.69083600000000001</v>
      </c>
      <c r="P277">
        <v>28.457515000000001</v>
      </c>
      <c r="Q277">
        <v>169.45638400000001</v>
      </c>
      <c r="R277">
        <v>13.822355</v>
      </c>
      <c r="S277">
        <v>2863</v>
      </c>
      <c r="T277">
        <v>369</v>
      </c>
      <c r="U277">
        <f>T277/(T277+S277)</f>
        <v>0.11417079207920793</v>
      </c>
      <c r="V277">
        <f>-4.1122-2.5608*U277</f>
        <v>-4.4045685643564356</v>
      </c>
      <c r="W277">
        <f>M277-(SUM(S277:T277)*V277)</f>
        <v>25.276934999999867</v>
      </c>
      <c r="X277">
        <f>W277/(2*P277*R277)</f>
        <v>3.213034581008168E-2</v>
      </c>
      <c r="Y277">
        <f>X277*16.02</f>
        <v>0.51472813987750854</v>
      </c>
    </row>
    <row r="278" spans="10:26" x14ac:dyDescent="0.2">
      <c r="Y278" s="1">
        <f>AVERAGE(Y273:Y277)</f>
        <v>0.47870864165250693</v>
      </c>
      <c r="Z278">
        <f>STDEV(Y273:Y277)</f>
        <v>2.8720231780464581E-2</v>
      </c>
    </row>
    <row r="279" spans="10:26" x14ac:dyDescent="0.2">
      <c r="J279" t="s">
        <v>27</v>
      </c>
      <c r="L279">
        <v>557.90119400000003</v>
      </c>
      <c r="M279">
        <v>-12712.253860000001</v>
      </c>
      <c r="N279">
        <v>59233.880622999997</v>
      </c>
      <c r="O279">
        <v>-0.85651999999999995</v>
      </c>
      <c r="P279">
        <v>32.809368999999997</v>
      </c>
      <c r="Q279">
        <v>131.52349899999999</v>
      </c>
      <c r="R279">
        <v>13.726827999999999</v>
      </c>
      <c r="S279">
        <v>2531</v>
      </c>
      <c r="T279">
        <v>349</v>
      </c>
      <c r="U279">
        <f>T279/(T279+S279)</f>
        <v>0.12118055555555556</v>
      </c>
      <c r="V279">
        <f>-4.1122-2.5608*U279</f>
        <v>-4.4225191666666666</v>
      </c>
      <c r="W279">
        <f>M279-(SUM(S279:T279)*V279)</f>
        <v>24.601339999999254</v>
      </c>
      <c r="X279">
        <f>W279/(2*P279*R279)</f>
        <v>2.7312452410154699E-2</v>
      </c>
      <c r="Y279">
        <f>X279*16.02</f>
        <v>0.4375454876106783</v>
      </c>
    </row>
    <row r="280" spans="10:26" x14ac:dyDescent="0.2">
      <c r="L280">
        <v>557.86478</v>
      </c>
      <c r="M280">
        <v>-12604.397311999999</v>
      </c>
      <c r="N280">
        <v>59611.149436</v>
      </c>
      <c r="O280">
        <v>-0.81229399999999996</v>
      </c>
      <c r="P280">
        <v>32.859701000000001</v>
      </c>
      <c r="Q280">
        <v>131.878771</v>
      </c>
      <c r="R280">
        <v>13.755940000000001</v>
      </c>
      <c r="S280">
        <v>2574</v>
      </c>
      <c r="T280">
        <v>306</v>
      </c>
      <c r="U280">
        <f>T280/(T280+S280)</f>
        <v>0.10625</v>
      </c>
      <c r="V280">
        <f>-4.1122-2.5608*U280</f>
        <v>-4.3842849999999993</v>
      </c>
      <c r="W280">
        <f>M280-(SUM(S280:T280)*V280)</f>
        <v>22.343487999998615</v>
      </c>
      <c r="X280">
        <f>W280/(2*P280*R280)</f>
        <v>2.4715368785849578E-2</v>
      </c>
      <c r="Y280">
        <f>X280*16.02</f>
        <v>0.39594020794931023</v>
      </c>
    </row>
    <row r="281" spans="10:26" x14ac:dyDescent="0.2">
      <c r="L281">
        <v>557.94657099999995</v>
      </c>
      <c r="M281">
        <v>-12680.001305</v>
      </c>
      <c r="N281">
        <v>59371.687274999997</v>
      </c>
      <c r="O281">
        <v>-0.95036399999999999</v>
      </c>
      <c r="P281">
        <v>32.803063999999999</v>
      </c>
      <c r="Q281">
        <v>131.54321899999999</v>
      </c>
      <c r="R281">
        <v>13.759342999999999</v>
      </c>
      <c r="S281">
        <v>2543</v>
      </c>
      <c r="T281">
        <v>337</v>
      </c>
      <c r="U281">
        <f>T281/(T281+S281)</f>
        <v>0.11701388888888889</v>
      </c>
      <c r="V281">
        <f>-4.1122-2.5608*U281</f>
        <v>-4.4118491666666664</v>
      </c>
      <c r="W281">
        <f>M281-(SUM(S281:T281)*V281)</f>
        <v>26.12429499999962</v>
      </c>
      <c r="X281">
        <f>W281/(2*P281*R281)</f>
        <v>2.8940263110946714E-2</v>
      </c>
      <c r="Y281">
        <f>X281*16.02</f>
        <v>0.46362301503736636</v>
      </c>
    </row>
    <row r="282" spans="10:26" x14ac:dyDescent="0.2">
      <c r="L282">
        <v>557.80954299999996</v>
      </c>
      <c r="M282">
        <v>-12634.12004</v>
      </c>
      <c r="N282">
        <v>59516.069957</v>
      </c>
      <c r="O282">
        <v>-0.86981399999999998</v>
      </c>
      <c r="P282">
        <v>32.868552999999999</v>
      </c>
      <c r="Q282">
        <v>131.618719</v>
      </c>
      <c r="R282">
        <v>13.757431</v>
      </c>
      <c r="S282">
        <v>2562</v>
      </c>
      <c r="T282">
        <v>318</v>
      </c>
      <c r="U282">
        <f>T282/(T282+S282)</f>
        <v>0.11041666666666666</v>
      </c>
      <c r="V282">
        <f>-4.1122-2.5608*U282</f>
        <v>-4.3949549999999995</v>
      </c>
      <c r="W282">
        <f>M282-(SUM(S282:T282)*V282)</f>
        <v>23.350359999998545</v>
      </c>
      <c r="X282">
        <f>W282/(2*P282*R282)</f>
        <v>2.581937091015021E-2</v>
      </c>
      <c r="Y282">
        <f>X282*16.02</f>
        <v>0.41362632198060634</v>
      </c>
    </row>
    <row r="283" spans="10:26" x14ac:dyDescent="0.2">
      <c r="L283">
        <v>557.80555200000003</v>
      </c>
      <c r="M283">
        <v>-12623.818789999999</v>
      </c>
      <c r="N283">
        <v>59545.634269000002</v>
      </c>
      <c r="O283">
        <v>-0.82244899999999999</v>
      </c>
      <c r="P283">
        <v>32.920122999999997</v>
      </c>
      <c r="Q283">
        <v>132.01767599999999</v>
      </c>
      <c r="R283">
        <v>13.701211000000001</v>
      </c>
      <c r="S283">
        <v>2568</v>
      </c>
      <c r="T283">
        <v>312</v>
      </c>
      <c r="U283">
        <f>T283/(T283+S283)</f>
        <v>0.10833333333333334</v>
      </c>
      <c r="V283">
        <f>-4.1122-2.5608*U283</f>
        <v>-4.3896199999999999</v>
      </c>
      <c r="W283">
        <f>M283-(SUM(S283:T283)*V283)</f>
        <v>18.286809999999605</v>
      </c>
      <c r="X283">
        <f>W283/(2*P283*R283)</f>
        <v>2.0271577831216747E-2</v>
      </c>
      <c r="Y283">
        <f>X283*16.02</f>
        <v>0.32475067685609227</v>
      </c>
    </row>
    <row r="284" spans="10:26" x14ac:dyDescent="0.2">
      <c r="Y284" s="1">
        <f>AVERAGE(Y279:Y283)</f>
        <v>0.40709714188681073</v>
      </c>
      <c r="Z284">
        <f>STDEV(Y279:Y283)</f>
        <v>5.2607803041447951E-2</v>
      </c>
    </row>
    <row r="285" spans="10:26" x14ac:dyDescent="0.2">
      <c r="J285" t="s">
        <v>172</v>
      </c>
      <c r="K285">
        <v>100000</v>
      </c>
      <c r="L285">
        <v>557.85753699999998</v>
      </c>
      <c r="M285">
        <v>-16276.713905000001</v>
      </c>
      <c r="N285">
        <v>75586.082137999998</v>
      </c>
      <c r="O285">
        <v>-0.67994699999999997</v>
      </c>
      <c r="P285">
        <v>26.292895999999999</v>
      </c>
      <c r="Q285">
        <v>208.498603</v>
      </c>
      <c r="R285">
        <v>13.788015</v>
      </c>
      <c r="S285">
        <v>3225</v>
      </c>
      <c r="T285">
        <v>455</v>
      </c>
      <c r="U285">
        <f>T285/(T285+S285)</f>
        <v>0.12364130434782608</v>
      </c>
      <c r="V285">
        <f>-4.1122-2.5608*U285</f>
        <v>-4.4288206521739131</v>
      </c>
      <c r="W285">
        <f>M285-(SUM(S285:T285)*V285)</f>
        <v>21.346094999998968</v>
      </c>
      <c r="X285">
        <f>W285/(2*P285*R285)</f>
        <v>2.9440709463719541E-2</v>
      </c>
      <c r="Y285">
        <f>X285*16.02</f>
        <v>0.47164016560878702</v>
      </c>
    </row>
    <row r="286" spans="10:26" x14ac:dyDescent="0.2">
      <c r="K286">
        <v>100000</v>
      </c>
      <c r="L286">
        <v>557.79139999999995</v>
      </c>
      <c r="M286">
        <v>-16245.998568000001</v>
      </c>
      <c r="N286">
        <v>75682.617343999998</v>
      </c>
      <c r="O286">
        <v>-0.62386600000000003</v>
      </c>
      <c r="P286">
        <v>26.287666000000002</v>
      </c>
      <c r="Q286">
        <v>208.665705</v>
      </c>
      <c r="R286">
        <v>13.797304</v>
      </c>
      <c r="S286">
        <v>3236</v>
      </c>
      <c r="T286">
        <v>444</v>
      </c>
      <c r="U286">
        <f>T286/(T286+S286)</f>
        <v>0.12065217391304348</v>
      </c>
      <c r="V286">
        <f>-4.1122-2.5608*U286</f>
        <v>-4.4211660869565215</v>
      </c>
      <c r="W286">
        <f>M286-(SUM(S286:T286)*V286)</f>
        <v>23.89263199999732</v>
      </c>
      <c r="X286">
        <f>W286/(2*P286*R286)</f>
        <v>3.2937280388429233E-2</v>
      </c>
      <c r="Y286">
        <f>X286*16.02</f>
        <v>0.52765523182263629</v>
      </c>
    </row>
    <row r="287" spans="10:26" x14ac:dyDescent="0.2">
      <c r="K287">
        <v>100000</v>
      </c>
      <c r="L287">
        <v>557.74411099999998</v>
      </c>
      <c r="M287">
        <v>-16270.918134</v>
      </c>
      <c r="N287">
        <v>75616.977232000005</v>
      </c>
      <c r="O287">
        <v>-0.67288400000000004</v>
      </c>
      <c r="P287">
        <v>26.279519000000001</v>
      </c>
      <c r="Q287">
        <v>208.54417100000001</v>
      </c>
      <c r="R287">
        <v>13.797637999999999</v>
      </c>
      <c r="S287">
        <v>3225</v>
      </c>
      <c r="T287">
        <v>455</v>
      </c>
      <c r="U287">
        <f>T287/(T287+S287)</f>
        <v>0.12364130434782608</v>
      </c>
      <c r="V287">
        <f>-4.1122-2.5608*U287</f>
        <v>-4.4288206521739131</v>
      </c>
      <c r="W287">
        <f>M287-(SUM(S287:T287)*V287)</f>
        <v>27.141865999999936</v>
      </c>
      <c r="X287">
        <f>W287/(2*P287*R287)</f>
        <v>3.7427218100085237E-2</v>
      </c>
      <c r="Y287">
        <f>X287*16.02</f>
        <v>0.59958403396336546</v>
      </c>
    </row>
    <row r="288" spans="10:26" x14ac:dyDescent="0.2">
      <c r="K288">
        <v>100000</v>
      </c>
      <c r="L288">
        <v>557.802954</v>
      </c>
      <c r="M288">
        <v>-16223.135644</v>
      </c>
      <c r="N288">
        <v>75747.654515999995</v>
      </c>
      <c r="O288">
        <v>-0.57209600000000005</v>
      </c>
      <c r="P288">
        <v>26.286822999999998</v>
      </c>
      <c r="Q288">
        <v>208.73513800000001</v>
      </c>
      <c r="R288">
        <v>13.804999</v>
      </c>
      <c r="S288">
        <v>3245</v>
      </c>
      <c r="T288">
        <v>435</v>
      </c>
      <c r="U288">
        <f>T288/(T288+S288)</f>
        <v>0.11820652173913043</v>
      </c>
      <c r="V288">
        <f>-4.1122-2.5608*U288</f>
        <v>-4.4149032608695649</v>
      </c>
      <c r="W288">
        <f>M288-(SUM(S288:T288)*V288)</f>
        <v>23.708355999999185</v>
      </c>
      <c r="X288">
        <f>W288/(2*P288*R288)</f>
        <v>3.2666075676620644E-2</v>
      </c>
      <c r="Y288">
        <f>X288*16.02</f>
        <v>0.52331053233946268</v>
      </c>
    </row>
    <row r="289" spans="10:26" x14ac:dyDescent="0.2">
      <c r="K289">
        <v>100000</v>
      </c>
      <c r="L289">
        <v>557.80937600000004</v>
      </c>
      <c r="M289">
        <v>-16176.579045</v>
      </c>
      <c r="N289">
        <v>75924.779131000003</v>
      </c>
      <c r="O289">
        <v>-0.67962699999999998</v>
      </c>
      <c r="P289">
        <v>26.329658999999999</v>
      </c>
      <c r="Q289">
        <v>208.77243300000001</v>
      </c>
      <c r="R289">
        <v>13.81231</v>
      </c>
      <c r="S289">
        <v>3263</v>
      </c>
      <c r="T289">
        <v>417</v>
      </c>
      <c r="U289">
        <f>T289/(T289+S289)</f>
        <v>0.11331521739130435</v>
      </c>
      <c r="V289">
        <f>-4.1122-2.5608*U289</f>
        <v>-4.4023776086956516</v>
      </c>
      <c r="W289">
        <f>M289-(SUM(S289:T289)*V289)</f>
        <v>24.170554999996966</v>
      </c>
      <c r="X289">
        <f>W289/(2*P289*R289)</f>
        <v>3.3231127410416922E-2</v>
      </c>
      <c r="Y289">
        <f>X289*16.02</f>
        <v>0.53236266111487907</v>
      </c>
    </row>
    <row r="290" spans="10:26" x14ac:dyDescent="0.2">
      <c r="Y290" s="1">
        <f>AVERAGE(Y285:Y289)</f>
        <v>0.53091052496982605</v>
      </c>
      <c r="Z290">
        <f>STDEV(Y285:Y289)</f>
        <v>4.5550773476176927E-2</v>
      </c>
    </row>
    <row r="291" spans="10:26" x14ac:dyDescent="0.2">
      <c r="J291" t="s">
        <v>17</v>
      </c>
      <c r="L291">
        <v>520.61444700000004</v>
      </c>
      <c r="M291">
        <v>-16667.052494</v>
      </c>
      <c r="N291">
        <v>77656.465886000005</v>
      </c>
      <c r="O291">
        <v>-0.58823000000000003</v>
      </c>
      <c r="P291">
        <v>30.924871</v>
      </c>
      <c r="Q291">
        <v>91.106440000000006</v>
      </c>
      <c r="R291">
        <v>27.562681000000001</v>
      </c>
      <c r="S291">
        <v>3313</v>
      </c>
      <c r="T291">
        <v>463</v>
      </c>
      <c r="U291">
        <f>T291/(T291+S291)</f>
        <v>0.12261652542372882</v>
      </c>
      <c r="V291">
        <f>-4.1122-2.5608*U291</f>
        <v>-4.426196398305084</v>
      </c>
      <c r="W291">
        <f>M291-(SUM(S291:T291)*V291)</f>
        <v>46.265105999998923</v>
      </c>
      <c r="X291">
        <f>W291/(2*P291*R291)</f>
        <v>2.7139023083326368E-2</v>
      </c>
      <c r="Y291">
        <f>X291*16.02</f>
        <v>0.4347671497948884</v>
      </c>
    </row>
    <row r="292" spans="10:26" x14ac:dyDescent="0.2">
      <c r="L292">
        <v>520.44963600000005</v>
      </c>
      <c r="M292">
        <v>-16572.272093</v>
      </c>
      <c r="N292">
        <v>77937.318289000003</v>
      </c>
      <c r="O292">
        <v>-0.62684399999999996</v>
      </c>
      <c r="P292">
        <v>30.961483999999999</v>
      </c>
      <c r="Q292">
        <v>91.193693999999994</v>
      </c>
      <c r="R292">
        <v>27.603228000000001</v>
      </c>
      <c r="S292">
        <v>3351</v>
      </c>
      <c r="T292">
        <v>425</v>
      </c>
      <c r="U292">
        <f>T292/(T292+S292)</f>
        <v>0.11255296610169492</v>
      </c>
      <c r="V292">
        <f>-4.1122-2.5608*U292</f>
        <v>-4.4004256355932201</v>
      </c>
      <c r="W292">
        <f>M292-(SUM(S292:T292)*V292)</f>
        <v>43.735107000000426</v>
      </c>
      <c r="X292">
        <f>W292/(2*P292*R292)</f>
        <v>2.5586952127887544E-2</v>
      </c>
      <c r="Y292">
        <f>X292*16.02</f>
        <v>0.40990297308875845</v>
      </c>
    </row>
    <row r="293" spans="10:26" x14ac:dyDescent="0.2">
      <c r="L293">
        <v>520.57759099999998</v>
      </c>
      <c r="M293">
        <v>-16611.832547999998</v>
      </c>
      <c r="N293">
        <v>77898.623403999998</v>
      </c>
      <c r="O293">
        <v>-0.52712000000000003</v>
      </c>
      <c r="P293">
        <v>30.956403999999999</v>
      </c>
      <c r="Q293">
        <v>91.193342000000001</v>
      </c>
      <c r="R293">
        <v>27.594144</v>
      </c>
      <c r="S293">
        <v>3334</v>
      </c>
      <c r="T293">
        <v>442</v>
      </c>
      <c r="U293">
        <f>T293/(T293+S293)</f>
        <v>0.11705508474576271</v>
      </c>
      <c r="V293">
        <f>-4.1122-2.5608*U293</f>
        <v>-4.4119546610169484</v>
      </c>
      <c r="W293">
        <f>M293-(SUM(S293:T293)*V293)</f>
        <v>47.708252000000357</v>
      </c>
      <c r="X293">
        <f>W293/(2*P293*R293)</f>
        <v>2.7925186145866299E-2</v>
      </c>
      <c r="Y293">
        <f>X293*16.02</f>
        <v>0.44736148205677811</v>
      </c>
    </row>
    <row r="294" spans="10:26" x14ac:dyDescent="0.2">
      <c r="L294">
        <v>520.51144699999998</v>
      </c>
      <c r="M294">
        <v>-16582.372996999999</v>
      </c>
      <c r="N294">
        <v>77982.155557999999</v>
      </c>
      <c r="O294">
        <v>-0.60108200000000001</v>
      </c>
      <c r="P294">
        <v>30.964631000000001</v>
      </c>
      <c r="Q294">
        <v>91.186238000000003</v>
      </c>
      <c r="R294">
        <v>27.618580000000001</v>
      </c>
      <c r="S294">
        <v>3347</v>
      </c>
      <c r="T294">
        <v>429</v>
      </c>
      <c r="U294">
        <f>T294/(T294+S294)</f>
        <v>0.11361228813559322</v>
      </c>
      <c r="V294">
        <f>-4.1122-2.5608*U294</f>
        <v>-4.4031383474576264</v>
      </c>
      <c r="W294">
        <f>M294-(SUM(S294:T294)*V294)</f>
        <v>43.877402999998594</v>
      </c>
      <c r="X294">
        <f>W294/(2*P294*R294)</f>
        <v>2.565332507223567E-2</v>
      </c>
      <c r="Y294">
        <f>X294*16.02</f>
        <v>0.41096626765721544</v>
      </c>
    </row>
    <row r="295" spans="10:26" x14ac:dyDescent="0.2">
      <c r="L295">
        <v>520.513644</v>
      </c>
      <c r="M295">
        <v>-16545.243778</v>
      </c>
      <c r="N295">
        <v>78043.255502999993</v>
      </c>
      <c r="O295">
        <v>-0.60048500000000005</v>
      </c>
      <c r="P295">
        <v>30.966701</v>
      </c>
      <c r="Q295">
        <v>91.141784999999999</v>
      </c>
      <c r="R295">
        <v>27.651810000000001</v>
      </c>
      <c r="S295">
        <v>3362</v>
      </c>
      <c r="T295">
        <v>414</v>
      </c>
      <c r="U295">
        <f>T295/(T295+S295)</f>
        <v>0.10963983050847458</v>
      </c>
      <c r="V295">
        <f>-4.1122-2.5608*U295</f>
        <v>-4.3929656779661013</v>
      </c>
      <c r="W295">
        <f>M295-(SUM(S295:T295)*V295)</f>
        <v>42.594621999996889</v>
      </c>
      <c r="X295">
        <f>W295/(2*P295*R295)</f>
        <v>2.4871745660798937E-2</v>
      </c>
      <c r="Y295">
        <f>X295*16.02</f>
        <v>0.39844536548599896</v>
      </c>
    </row>
    <row r="296" spans="10:26" x14ac:dyDescent="0.2">
      <c r="Y296" s="1">
        <f>AVERAGE(Y291:Y295)</f>
        <v>0.42028864761672791</v>
      </c>
      <c r="Z296">
        <f>STDEV(Y291:Y295)</f>
        <v>2.0090192680101544E-2</v>
      </c>
    </row>
    <row r="297" spans="10:26" x14ac:dyDescent="0.2">
      <c r="J297" t="s">
        <v>173</v>
      </c>
      <c r="K297">
        <v>100000</v>
      </c>
      <c r="L297">
        <v>557.84297300000003</v>
      </c>
      <c r="M297">
        <v>-28731.430419</v>
      </c>
      <c r="N297">
        <v>133150.16320800001</v>
      </c>
      <c r="O297">
        <v>-0.35309800000000002</v>
      </c>
      <c r="P297">
        <v>40.263599999999997</v>
      </c>
      <c r="Q297">
        <v>240.434021</v>
      </c>
      <c r="R297">
        <v>13.754148000000001</v>
      </c>
      <c r="S297">
        <v>5671</v>
      </c>
      <c r="T297">
        <v>817</v>
      </c>
      <c r="U297">
        <f>T297/(T297+S297)</f>
        <v>0.12592478421701603</v>
      </c>
      <c r="V297">
        <f>-4.1122-2.5608*U297</f>
        <v>-4.4346681874229343</v>
      </c>
      <c r="W297">
        <f>M297-(SUM(S297:T297)*V297)</f>
        <v>40.696780999998737</v>
      </c>
      <c r="X297">
        <f>W297/(2*P297*R297)</f>
        <v>3.6743774520126206E-2</v>
      </c>
      <c r="Y297">
        <f>X297*16.02</f>
        <v>0.58863526781242181</v>
      </c>
    </row>
    <row r="298" spans="10:26" x14ac:dyDescent="0.2">
      <c r="K298">
        <v>100000</v>
      </c>
      <c r="L298">
        <v>557.94805299999996</v>
      </c>
      <c r="M298">
        <v>-28726.518087</v>
      </c>
      <c r="N298">
        <v>133187.17331700001</v>
      </c>
      <c r="O298">
        <v>-0.37739400000000001</v>
      </c>
      <c r="P298">
        <v>40.270688</v>
      </c>
      <c r="Q298">
        <v>240.171502</v>
      </c>
      <c r="R298">
        <v>13.770583</v>
      </c>
      <c r="S298">
        <v>5673</v>
      </c>
      <c r="T298">
        <v>815</v>
      </c>
      <c r="U298">
        <f>T298/(T298+S298)</f>
        <v>0.12561652281134403</v>
      </c>
      <c r="V298">
        <f>-4.1122-2.5608*U298</f>
        <v>-4.4338787916152897</v>
      </c>
      <c r="W298">
        <f>M298-(SUM(S298:T298)*V298)</f>
        <v>40.487513000000035</v>
      </c>
      <c r="X298">
        <f>W298/(2*P298*R298)</f>
        <v>3.6504779395157748E-2</v>
      </c>
      <c r="Y298">
        <f>X298*16.02</f>
        <v>0.58480656591042712</v>
      </c>
    </row>
    <row r="299" spans="10:26" x14ac:dyDescent="0.2">
      <c r="K299">
        <v>100000</v>
      </c>
      <c r="L299">
        <v>557.92324199999996</v>
      </c>
      <c r="M299">
        <v>-28720.344385</v>
      </c>
      <c r="N299">
        <v>133179.60965699999</v>
      </c>
      <c r="O299">
        <v>-0.37940600000000002</v>
      </c>
      <c r="P299">
        <v>40.254401000000001</v>
      </c>
      <c r="Q299">
        <v>240.38855699999999</v>
      </c>
      <c r="R299">
        <v>13.762943</v>
      </c>
      <c r="S299">
        <v>5677</v>
      </c>
      <c r="T299">
        <v>811</v>
      </c>
      <c r="U299">
        <f>T299/(T299+S299)</f>
        <v>0.125</v>
      </c>
      <c r="V299">
        <f>-4.1122-2.5608*U299</f>
        <v>-4.4322999999999997</v>
      </c>
      <c r="W299">
        <f>M299-(SUM(S299:T299)*V299)</f>
        <v>36.418014999999286</v>
      </c>
      <c r="X299">
        <f>W299/(2*P299*R299)</f>
        <v>3.2867115803366535E-2</v>
      </c>
      <c r="Y299">
        <f>X299*16.02</f>
        <v>0.52653119516993185</v>
      </c>
    </row>
    <row r="300" spans="10:26" x14ac:dyDescent="0.2">
      <c r="K300">
        <v>100000</v>
      </c>
      <c r="L300">
        <v>557.97651699999994</v>
      </c>
      <c r="M300">
        <v>-28682.156251</v>
      </c>
      <c r="N300">
        <v>133301.84538000001</v>
      </c>
      <c r="O300">
        <v>-0.37882500000000002</v>
      </c>
      <c r="P300">
        <v>40.267339999999997</v>
      </c>
      <c r="Q300">
        <v>240.517144</v>
      </c>
      <c r="R300">
        <v>13.763778</v>
      </c>
      <c r="S300">
        <v>5691</v>
      </c>
      <c r="T300">
        <v>797</v>
      </c>
      <c r="U300">
        <f>T300/(T300+S300)</f>
        <v>0.12284217016029593</v>
      </c>
      <c r="V300">
        <f>-4.1122-2.5608*U300</f>
        <v>-4.4267742293464858</v>
      </c>
      <c r="W300">
        <f>M300-(SUM(S300:T300)*V300)</f>
        <v>38.754948999998305</v>
      </c>
      <c r="X300">
        <f>W300/(2*P300*R300)</f>
        <v>3.4962829570225874E-2</v>
      </c>
      <c r="Y300">
        <f>X300*16.02</f>
        <v>0.56010452971501845</v>
      </c>
    </row>
    <row r="301" spans="10:26" x14ac:dyDescent="0.2">
      <c r="K301">
        <v>100000</v>
      </c>
      <c r="L301">
        <v>557.92629999999997</v>
      </c>
      <c r="M301">
        <v>-28618.074552999999</v>
      </c>
      <c r="N301">
        <v>133528.17127600001</v>
      </c>
      <c r="O301">
        <v>-0.368753</v>
      </c>
      <c r="P301">
        <v>40.273009999999999</v>
      </c>
      <c r="Q301">
        <v>240.44637599999999</v>
      </c>
      <c r="R301">
        <v>13.789267000000001</v>
      </c>
      <c r="S301">
        <v>5717</v>
      </c>
      <c r="T301">
        <v>771</v>
      </c>
      <c r="U301">
        <f>T301/(T301+S301)</f>
        <v>0.1188347718865598</v>
      </c>
      <c r="V301">
        <f>-4.1122-2.5608*U301</f>
        <v>-4.4165120838471017</v>
      </c>
      <c r="W301">
        <f>M301-(SUM(S301:T301)*V301)</f>
        <v>36.25584699999672</v>
      </c>
      <c r="X301">
        <f>W301/(2*P301*R301)</f>
        <v>3.2643204742753652E-2</v>
      </c>
      <c r="Y301">
        <f>X301*16.02</f>
        <v>0.52294413997891354</v>
      </c>
    </row>
    <row r="302" spans="10:26" x14ac:dyDescent="0.2">
      <c r="Y302" s="1">
        <f>AVERAGE(Y297:Y301)</f>
        <v>0.55660433971734258</v>
      </c>
      <c r="Z302">
        <f>STDEV(Y297:Y301)</f>
        <v>3.1108681731545088E-2</v>
      </c>
    </row>
    <row r="303" spans="10:26" x14ac:dyDescent="0.2">
      <c r="J303" t="s">
        <v>174</v>
      </c>
      <c r="K303">
        <v>100000</v>
      </c>
      <c r="L303">
        <v>557.57527000000005</v>
      </c>
      <c r="M303">
        <v>-14439.011140000001</v>
      </c>
      <c r="N303">
        <v>68114.002800999995</v>
      </c>
      <c r="O303">
        <v>-0.85692400000000002</v>
      </c>
      <c r="P303">
        <v>24.950707000000001</v>
      </c>
      <c r="Q303">
        <v>197.96987200000001</v>
      </c>
      <c r="R303">
        <v>13.789752999999999</v>
      </c>
      <c r="S303">
        <v>2943</v>
      </c>
      <c r="T303">
        <v>353</v>
      </c>
      <c r="U303">
        <f>T303/(T303+S303)</f>
        <v>0.10709951456310679</v>
      </c>
      <c r="V303">
        <f>-4.1122-2.5608*U303</f>
        <v>-4.3864604368932039</v>
      </c>
      <c r="W303">
        <f>M303-(SUM(S303:T303)*V303)</f>
        <v>18.762459999999919</v>
      </c>
      <c r="X303">
        <f>W303/(2*P303*R303)</f>
        <v>2.7265937836846353E-2</v>
      </c>
      <c r="Y303">
        <f>X303*16.02</f>
        <v>0.43680032414627856</v>
      </c>
    </row>
    <row r="304" spans="10:26" x14ac:dyDescent="0.2">
      <c r="K304">
        <v>100000</v>
      </c>
      <c r="L304">
        <v>557.78580799999997</v>
      </c>
      <c r="M304">
        <v>-14510.838104</v>
      </c>
      <c r="N304">
        <v>67894.663960999998</v>
      </c>
      <c r="O304">
        <v>-0.70835899999999996</v>
      </c>
      <c r="P304">
        <v>24.920408999999999</v>
      </c>
      <c r="Q304">
        <v>197.497805</v>
      </c>
      <c r="R304">
        <v>13.794916000000001</v>
      </c>
      <c r="S304">
        <v>2914</v>
      </c>
      <c r="T304">
        <v>382</v>
      </c>
      <c r="U304">
        <f>T304/(T304+S304)</f>
        <v>0.11589805825242719</v>
      </c>
      <c r="V304">
        <f>-4.1122-2.5608*U304</f>
        <v>-4.4089917475728155</v>
      </c>
      <c r="W304">
        <f>M304-(SUM(S304:T304)*V304)</f>
        <v>21.198695999999472</v>
      </c>
      <c r="X304">
        <f>W304/(2*P304*R304)</f>
        <v>3.0832229153826551E-2</v>
      </c>
      <c r="Y304">
        <f>X304*16.02</f>
        <v>0.49393231104430135</v>
      </c>
    </row>
    <row r="305" spans="10:26" x14ac:dyDescent="0.2">
      <c r="K305">
        <v>100000</v>
      </c>
      <c r="L305">
        <v>557.76922500000001</v>
      </c>
      <c r="M305">
        <v>-14544.169631000001</v>
      </c>
      <c r="N305">
        <v>67800.887321000002</v>
      </c>
      <c r="O305">
        <v>-0.73987099999999995</v>
      </c>
      <c r="P305">
        <v>24.907585000000001</v>
      </c>
      <c r="Q305">
        <v>197.72471999999999</v>
      </c>
      <c r="R305">
        <v>13.767135</v>
      </c>
      <c r="S305">
        <v>2902</v>
      </c>
      <c r="T305">
        <v>394</v>
      </c>
      <c r="U305">
        <f>T305/(T305+S305)</f>
        <v>0.11953883495145631</v>
      </c>
      <c r="V305">
        <f>-4.1122-2.5608*U305</f>
        <v>-4.4183150485436888</v>
      </c>
      <c r="W305">
        <f>M305-(SUM(S305:T305)*V305)</f>
        <v>18.596768999997948</v>
      </c>
      <c r="X305">
        <f>W305/(2*P305*R305)</f>
        <v>2.711641729560196E-2</v>
      </c>
      <c r="Y305">
        <f>X305*16.02</f>
        <v>0.43440500507554336</v>
      </c>
    </row>
    <row r="306" spans="10:26" x14ac:dyDescent="0.2">
      <c r="K306">
        <v>100000</v>
      </c>
      <c r="L306">
        <v>557.80075399999998</v>
      </c>
      <c r="M306">
        <v>-14515.002801000001</v>
      </c>
      <c r="N306">
        <v>67892.363868</v>
      </c>
      <c r="O306">
        <v>-0.66999200000000003</v>
      </c>
      <c r="P306">
        <v>24.930607999999999</v>
      </c>
      <c r="Q306">
        <v>197.67462499999999</v>
      </c>
      <c r="R306">
        <v>13.77647</v>
      </c>
      <c r="S306">
        <v>2913</v>
      </c>
      <c r="T306">
        <v>383</v>
      </c>
      <c r="U306">
        <f>T306/(T306+S306)</f>
        <v>0.11620145631067962</v>
      </c>
      <c r="V306">
        <f>-4.1122-2.5608*U306</f>
        <v>-4.409768689320388</v>
      </c>
      <c r="W306">
        <f>M306-(SUM(S306:T306)*V306)</f>
        <v>19.594798999998602</v>
      </c>
      <c r="X306">
        <f>W306/(2*P306*R306)</f>
        <v>2.8525942099893356E-2</v>
      </c>
      <c r="Y306">
        <f>X306*16.02</f>
        <v>0.45698559244029158</v>
      </c>
    </row>
    <row r="307" spans="10:26" x14ac:dyDescent="0.2">
      <c r="K307">
        <v>100000</v>
      </c>
      <c r="L307">
        <v>557.75757799999997</v>
      </c>
      <c r="M307">
        <v>-14495.259937000001</v>
      </c>
      <c r="N307">
        <v>67971.036053999997</v>
      </c>
      <c r="O307">
        <v>-0.82053600000000004</v>
      </c>
      <c r="P307">
        <v>24.970165999999999</v>
      </c>
      <c r="Q307">
        <v>198.045727</v>
      </c>
      <c r="R307">
        <v>13.744787000000001</v>
      </c>
      <c r="S307">
        <v>2921</v>
      </c>
      <c r="T307">
        <v>375</v>
      </c>
      <c r="U307">
        <f>T307/(T307+S307)</f>
        <v>0.1137742718446602</v>
      </c>
      <c r="V307">
        <f>-4.1122-2.5608*U307</f>
        <v>-4.4035531553398055</v>
      </c>
      <c r="W307">
        <f>M307-(SUM(S307:T307)*V307)</f>
        <v>18.851262999998653</v>
      </c>
      <c r="X307">
        <f>W307/(2*P307*R307)</f>
        <v>2.7463192003665055E-2</v>
      </c>
      <c r="Y307">
        <f>X307*16.02</f>
        <v>0.43996033589871419</v>
      </c>
    </row>
    <row r="308" spans="10:26" x14ac:dyDescent="0.2">
      <c r="Y308" s="1">
        <f>AVERAGE(Y303:Y307)</f>
        <v>0.45241671372102588</v>
      </c>
      <c r="Z308">
        <f>STDEV(Y303:Y307)</f>
        <v>2.48388510905392E-2</v>
      </c>
    </row>
    <row r="309" spans="10:26" x14ac:dyDescent="0.2">
      <c r="J309" t="s">
        <v>175</v>
      </c>
      <c r="K309">
        <v>100000</v>
      </c>
      <c r="L309">
        <v>557.75721699999997</v>
      </c>
      <c r="M309">
        <v>-20960.171446</v>
      </c>
      <c r="N309">
        <v>97745.639735000004</v>
      </c>
      <c r="O309">
        <v>-0.51841700000000002</v>
      </c>
      <c r="P309">
        <v>34.541597000000003</v>
      </c>
      <c r="Q309">
        <v>205.43012400000001</v>
      </c>
      <c r="R309">
        <v>13.774996</v>
      </c>
      <c r="S309">
        <v>4187</v>
      </c>
      <c r="T309">
        <v>565</v>
      </c>
      <c r="U309">
        <f>T309/(T309+S309)</f>
        <v>0.11889730639730639</v>
      </c>
      <c r="V309">
        <f>-4.1122-2.5608*U309</f>
        <v>-4.4166722222222221</v>
      </c>
      <c r="W309">
        <f>M309-(SUM(S309:T309)*V309)</f>
        <v>27.854953999998543</v>
      </c>
      <c r="X309">
        <f>W309/(2*P309*R309)</f>
        <v>2.9271067122438561E-2</v>
      </c>
      <c r="Y309">
        <f>X309*16.02</f>
        <v>0.46892249530146574</v>
      </c>
    </row>
    <row r="310" spans="10:26" x14ac:dyDescent="0.2">
      <c r="K310">
        <v>100000</v>
      </c>
      <c r="L310">
        <v>557.87266299999999</v>
      </c>
      <c r="M310">
        <v>-20978.546645999999</v>
      </c>
      <c r="N310">
        <v>97701.816688000006</v>
      </c>
      <c r="O310">
        <v>-0.60203200000000001</v>
      </c>
      <c r="P310">
        <v>34.502160000000003</v>
      </c>
      <c r="Q310">
        <v>205.358811</v>
      </c>
      <c r="R310">
        <v>13.789349</v>
      </c>
      <c r="S310">
        <v>4181</v>
      </c>
      <c r="T310">
        <v>571</v>
      </c>
      <c r="U310">
        <f>T310/(T310+S310)</f>
        <v>0.12015993265993266</v>
      </c>
      <c r="V310">
        <f>-4.1122-2.5608*U310</f>
        <v>-4.4199055555555553</v>
      </c>
      <c r="W310">
        <f>M310-(SUM(S310:T310)*V310)</f>
        <v>24.844553999999334</v>
      </c>
      <c r="X310">
        <f>W310/(2*P310*R310)</f>
        <v>2.6110257862695153E-2</v>
      </c>
      <c r="Y310">
        <f>X310*16.02</f>
        <v>0.41828633096037632</v>
      </c>
    </row>
    <row r="311" spans="10:26" x14ac:dyDescent="0.2">
      <c r="K311">
        <v>100000</v>
      </c>
      <c r="L311">
        <v>557.802729</v>
      </c>
      <c r="M311">
        <v>-20953.963274000002</v>
      </c>
      <c r="N311">
        <v>97786.011698000002</v>
      </c>
      <c r="O311">
        <v>-0.51134900000000005</v>
      </c>
      <c r="P311">
        <v>34.503236999999999</v>
      </c>
      <c r="Q311">
        <v>205.126364</v>
      </c>
      <c r="R311">
        <v>13.816435999999999</v>
      </c>
      <c r="S311">
        <v>4190</v>
      </c>
      <c r="T311">
        <v>562</v>
      </c>
      <c r="U311">
        <f>T311/(T311+S311)</f>
        <v>0.11826599326599327</v>
      </c>
      <c r="V311">
        <f>-4.1122-2.5608*U311</f>
        <v>-4.4150555555555551</v>
      </c>
      <c r="W311">
        <f>M311-(SUM(S311:T311)*V311)</f>
        <v>26.380725999995775</v>
      </c>
      <c r="X311">
        <f>W311/(2*P311*R311)</f>
        <v>2.7669472302136525E-2</v>
      </c>
      <c r="Y311">
        <f>X311*16.02</f>
        <v>0.44326494628022711</v>
      </c>
    </row>
    <row r="312" spans="10:26" x14ac:dyDescent="0.2">
      <c r="K312">
        <v>100000</v>
      </c>
      <c r="L312">
        <v>558.07606899999996</v>
      </c>
      <c r="M312">
        <v>-20915.641614</v>
      </c>
      <c r="N312">
        <v>97924.769906000001</v>
      </c>
      <c r="O312">
        <v>-0.47575800000000001</v>
      </c>
      <c r="P312">
        <v>34.562795999999999</v>
      </c>
      <c r="Q312">
        <v>205.49919600000001</v>
      </c>
      <c r="R312">
        <v>13.787146</v>
      </c>
      <c r="S312">
        <v>4204</v>
      </c>
      <c r="T312">
        <v>548</v>
      </c>
      <c r="U312">
        <f>T312/(T312+S312)</f>
        <v>0.11531986531986532</v>
      </c>
      <c r="V312">
        <f>-4.1122-2.5608*U312</f>
        <v>-4.4075111111111109</v>
      </c>
      <c r="W312">
        <f>M312-(SUM(S312:T312)*V312)</f>
        <v>28.851185999999871</v>
      </c>
      <c r="X312">
        <f>W312/(2*P312*R312)</f>
        <v>3.0272649480217947E-2</v>
      </c>
      <c r="Y312">
        <f>X312*16.02</f>
        <v>0.48496784467309151</v>
      </c>
    </row>
    <row r="313" spans="10:26" x14ac:dyDescent="0.2">
      <c r="K313">
        <v>100000</v>
      </c>
      <c r="L313">
        <v>557.74307099999999</v>
      </c>
      <c r="M313">
        <v>-20880.744862</v>
      </c>
      <c r="N313">
        <v>98030.871905000007</v>
      </c>
      <c r="O313">
        <v>-0.63204499999999997</v>
      </c>
      <c r="P313">
        <v>34.559606000000002</v>
      </c>
      <c r="Q313">
        <v>205.45977600000001</v>
      </c>
      <c r="R313">
        <v>13.806009</v>
      </c>
      <c r="S313">
        <v>4218</v>
      </c>
      <c r="T313">
        <v>534</v>
      </c>
      <c r="U313">
        <f>T313/(T313+S313)</f>
        <v>0.11237373737373738</v>
      </c>
      <c r="V313">
        <f>-4.1122-2.5608*U313</f>
        <v>-4.3999666666666659</v>
      </c>
      <c r="W313">
        <f>M313-(SUM(S313:T313)*V313)</f>
        <v>27.896737999995821</v>
      </c>
      <c r="X313">
        <f>W313/(2*P313*R313)</f>
        <v>2.9233882239975372E-2</v>
      </c>
      <c r="Y313">
        <f>X313*16.02</f>
        <v>0.46832679348440542</v>
      </c>
    </row>
    <row r="314" spans="10:26" x14ac:dyDescent="0.2">
      <c r="Y314" s="1">
        <f>AVERAGE(Y309:Y313)</f>
        <v>0.45675368213991324</v>
      </c>
      <c r="Z314">
        <f>STDEV(Y309:Y313)</f>
        <v>2.6171258038464592E-2</v>
      </c>
    </row>
    <row r="315" spans="10:26" x14ac:dyDescent="0.2">
      <c r="J315" t="s">
        <v>80</v>
      </c>
      <c r="L315">
        <v>520.62763199999995</v>
      </c>
      <c r="M315">
        <v>-16624.807868</v>
      </c>
      <c r="N315">
        <v>77455.766405999995</v>
      </c>
      <c r="O315">
        <v>-0.56075200000000003</v>
      </c>
      <c r="P315">
        <v>30.988828000000002</v>
      </c>
      <c r="Q315">
        <v>90.822756999999996</v>
      </c>
      <c r="R315">
        <v>27.520440000000001</v>
      </c>
      <c r="S315">
        <v>3307</v>
      </c>
      <c r="T315">
        <v>461</v>
      </c>
      <c r="U315">
        <f>T315/(T315+S315)</f>
        <v>0.12234607218683652</v>
      </c>
      <c r="V315">
        <f>-4.1122-2.5608*U315</f>
        <v>-4.4255038216560507</v>
      </c>
      <c r="W315">
        <f>M315-(SUM(S315:T315)*V315)</f>
        <v>50.490531999999803</v>
      </c>
      <c r="X315">
        <f>W315/(2*P315*R315)</f>
        <v>2.9601889040654125E-2</v>
      </c>
      <c r="Y315">
        <f>X315*16.02</f>
        <v>0.47422226243127907</v>
      </c>
    </row>
    <row r="316" spans="10:26" x14ac:dyDescent="0.2">
      <c r="L316">
        <v>520.52002100000004</v>
      </c>
      <c r="M316">
        <v>-16524.804005999998</v>
      </c>
      <c r="N316">
        <v>77748.408872</v>
      </c>
      <c r="O316">
        <v>-0.56618000000000002</v>
      </c>
      <c r="P316">
        <v>31.031168000000001</v>
      </c>
      <c r="Q316">
        <v>90.839815999999999</v>
      </c>
      <c r="R316">
        <v>27.581548000000002</v>
      </c>
      <c r="S316">
        <v>3344</v>
      </c>
      <c r="T316">
        <v>423</v>
      </c>
      <c r="U316">
        <f>T316/(T316+S316)</f>
        <v>0.11229094770374304</v>
      </c>
      <c r="V316">
        <f>-4.1122-2.5608*U316</f>
        <v>-4.3997546588797452</v>
      </c>
      <c r="W316">
        <f>M316-(SUM(S316:T316)*V316)</f>
        <v>49.071794000003138</v>
      </c>
      <c r="X316">
        <f>W316/(2*P316*R316)</f>
        <v>2.8667193654381969E-2</v>
      </c>
      <c r="Y316">
        <f>X316*16.02</f>
        <v>0.45924844234319911</v>
      </c>
    </row>
    <row r="317" spans="10:26" x14ac:dyDescent="0.2">
      <c r="L317">
        <v>520.44980099999998</v>
      </c>
      <c r="M317">
        <v>-16567.974966999998</v>
      </c>
      <c r="N317">
        <v>77682.820286000002</v>
      </c>
      <c r="O317">
        <v>-0.581229</v>
      </c>
      <c r="P317">
        <v>30.987099000000001</v>
      </c>
      <c r="Q317">
        <v>90.796496000000005</v>
      </c>
      <c r="R317">
        <v>27.610627999999998</v>
      </c>
      <c r="S317">
        <v>3328</v>
      </c>
      <c r="T317">
        <v>440</v>
      </c>
      <c r="U317">
        <f>T317/(T317+S317)</f>
        <v>0.11677282377919321</v>
      </c>
      <c r="V317">
        <f>-4.1122-2.5608*U317</f>
        <v>-4.4112318471337577</v>
      </c>
      <c r="W317">
        <f>M317-(SUM(S317:T317)*V317)</f>
        <v>53.546633000001748</v>
      </c>
      <c r="X317">
        <f>W317/(2*P317*R317)</f>
        <v>3.129283913934458E-2</v>
      </c>
      <c r="Y317">
        <f>X317*16.02</f>
        <v>0.50131128301230021</v>
      </c>
    </row>
    <row r="318" spans="10:26" x14ac:dyDescent="0.2">
      <c r="L318">
        <v>520.57809199999997</v>
      </c>
      <c r="M318">
        <v>-16551.108706999999</v>
      </c>
      <c r="N318">
        <v>77751.823785999994</v>
      </c>
      <c r="O318">
        <v>-0.49013099999999998</v>
      </c>
      <c r="P318">
        <v>31.016362999999998</v>
      </c>
      <c r="Q318">
        <v>90.882266999999999</v>
      </c>
      <c r="R318">
        <v>27.583013000000001</v>
      </c>
      <c r="S318">
        <v>3336</v>
      </c>
      <c r="T318">
        <v>432</v>
      </c>
      <c r="U318">
        <f>T318/(T318+S318)</f>
        <v>0.11464968152866242</v>
      </c>
      <c r="V318">
        <f>-4.1122-2.5608*U318</f>
        <v>-4.405794904458598</v>
      </c>
      <c r="W318">
        <f>M318-(SUM(S318:T318)*V318)</f>
        <v>49.926492999999027</v>
      </c>
      <c r="X318">
        <f>W318/(2*P318*R318)</f>
        <v>2.9178871423288694E-2</v>
      </c>
      <c r="Y318">
        <f>X318*16.02</f>
        <v>0.46744552020108487</v>
      </c>
    </row>
    <row r="319" spans="10:26" x14ac:dyDescent="0.2">
      <c r="L319">
        <v>520.48599000000002</v>
      </c>
      <c r="M319">
        <v>-16502.587551000001</v>
      </c>
      <c r="N319">
        <v>77882.143542999998</v>
      </c>
      <c r="O319">
        <v>-0.62090400000000001</v>
      </c>
      <c r="P319">
        <v>31.046678</v>
      </c>
      <c r="Q319">
        <v>90.779203999999993</v>
      </c>
      <c r="R319">
        <v>27.633617999999998</v>
      </c>
      <c r="S319">
        <v>3354</v>
      </c>
      <c r="T319">
        <v>414</v>
      </c>
      <c r="U319">
        <f>T319/(T319+S319)</f>
        <v>0.10987261146496816</v>
      </c>
      <c r="V319">
        <f>-4.1122-2.5608*U319</f>
        <v>-4.3935617834394902</v>
      </c>
      <c r="W319">
        <f>M319-(SUM(S319:T319)*V319)</f>
        <v>52.353248999999778</v>
      </c>
      <c r="X319">
        <f>W319/(2*P319*R319)</f>
        <v>3.0511303085683842E-2</v>
      </c>
      <c r="Y319">
        <f>X319*16.02</f>
        <v>0.48879107543265515</v>
      </c>
    </row>
    <row r="320" spans="10:26" x14ac:dyDescent="0.2">
      <c r="Y320" s="16">
        <f>AVERAGE(Y315:Y319)</f>
        <v>0.47820371668410366</v>
      </c>
      <c r="Z320">
        <f>STDEV(Y315:Y319)</f>
        <v>1.6859307383134545E-2</v>
      </c>
    </row>
    <row r="321" spans="10:27" x14ac:dyDescent="0.2">
      <c r="L321">
        <v>520.61955399999999</v>
      </c>
      <c r="M321">
        <v>-8311.0252029999992</v>
      </c>
      <c r="N321">
        <v>38740.813385000001</v>
      </c>
      <c r="O321">
        <v>-1.316181</v>
      </c>
      <c r="P321">
        <v>30.966311999999999</v>
      </c>
      <c r="Q321">
        <v>90.686977999999996</v>
      </c>
      <c r="R321">
        <v>13.79551</v>
      </c>
      <c r="S321">
        <v>1654</v>
      </c>
      <c r="T321">
        <v>230</v>
      </c>
      <c r="U321">
        <f t="shared" ref="U321:U326" si="25">T321/(T321+S321)</f>
        <v>0.12208067940552017</v>
      </c>
      <c r="V321">
        <f t="shared" ref="V321:V326" si="26">-4.1122-2.5608*U321</f>
        <v>-4.4248242038216556</v>
      </c>
      <c r="W321">
        <f t="shared" ref="W321:W326" si="27">M321-(SUM(S321:T321)*V321)</f>
        <v>25.343596999999136</v>
      </c>
      <c r="X321">
        <f t="shared" ref="X321:X326" si="28">W321/(2*P321*R321)</f>
        <v>2.9662722770756343E-2</v>
      </c>
      <c r="Y321">
        <f t="shared" ref="Y321:Y326" si="29">X321*16.02</f>
        <v>0.47519681878751663</v>
      </c>
    </row>
    <row r="322" spans="10:27" x14ac:dyDescent="0.2">
      <c r="J322" t="s">
        <v>38</v>
      </c>
      <c r="L322">
        <v>520.52504899999997</v>
      </c>
      <c r="M322">
        <v>-16899.937591000002</v>
      </c>
      <c r="N322">
        <v>78521.838562000004</v>
      </c>
      <c r="O322">
        <v>-0.59879099999999996</v>
      </c>
      <c r="P322">
        <v>30.972852</v>
      </c>
      <c r="Q322">
        <v>184.32179099999999</v>
      </c>
      <c r="R322">
        <v>13.754156999999999</v>
      </c>
      <c r="S322">
        <v>3356</v>
      </c>
      <c r="T322">
        <v>468</v>
      </c>
      <c r="U322">
        <f t="shared" si="25"/>
        <v>0.12238493723849372</v>
      </c>
      <c r="V322">
        <f t="shared" si="26"/>
        <v>-4.425603347280334</v>
      </c>
      <c r="W322">
        <f t="shared" si="27"/>
        <v>23.569608999994671</v>
      </c>
      <c r="X322">
        <f t="shared" si="28"/>
        <v>2.7663505174307969E-2</v>
      </c>
      <c r="Y322">
        <f t="shared" si="29"/>
        <v>0.44316935289241366</v>
      </c>
    </row>
    <row r="323" spans="10:27" x14ac:dyDescent="0.2">
      <c r="J323" t="s">
        <v>94</v>
      </c>
      <c r="L323">
        <v>520.49358199999995</v>
      </c>
      <c r="M323">
        <v>-16800.959194999999</v>
      </c>
      <c r="N323">
        <v>78851.871759000001</v>
      </c>
      <c r="O323">
        <v>-0.60484499999999997</v>
      </c>
      <c r="P323">
        <v>31.006098999999999</v>
      </c>
      <c r="Q323">
        <v>184.27419599999999</v>
      </c>
      <c r="R323">
        <v>13.80071</v>
      </c>
      <c r="S323">
        <v>3391</v>
      </c>
      <c r="T323">
        <v>432</v>
      </c>
      <c r="U323">
        <f t="shared" si="25"/>
        <v>0.11300026157467957</v>
      </c>
      <c r="V323">
        <f t="shared" si="26"/>
        <v>-4.4015710698404389</v>
      </c>
      <c r="W323">
        <f t="shared" si="27"/>
        <v>26.247004999997444</v>
      </c>
      <c r="X323">
        <f t="shared" si="28"/>
        <v>3.0669111821977423E-2</v>
      </c>
      <c r="Y323">
        <f t="shared" si="29"/>
        <v>0.49131917138807829</v>
      </c>
    </row>
    <row r="324" spans="10:27" x14ac:dyDescent="0.2">
      <c r="J324" t="s">
        <v>95</v>
      </c>
      <c r="L324">
        <v>520.51573399999995</v>
      </c>
      <c r="M324">
        <v>-16837.994928</v>
      </c>
      <c r="N324">
        <v>78793.683931000007</v>
      </c>
      <c r="O324">
        <v>-0.55137599999999998</v>
      </c>
      <c r="P324">
        <v>30.967813</v>
      </c>
      <c r="Q324">
        <v>184.06328300000001</v>
      </c>
      <c r="R324">
        <v>13.823396000000001</v>
      </c>
      <c r="S324">
        <v>3379</v>
      </c>
      <c r="T324">
        <v>445</v>
      </c>
      <c r="U324">
        <f t="shared" si="25"/>
        <v>0.11637029288702928</v>
      </c>
      <c r="V324">
        <f t="shared" si="26"/>
        <v>-4.4102010460251044</v>
      </c>
      <c r="W324">
        <f t="shared" si="27"/>
        <v>26.613871999998082</v>
      </c>
      <c r="X324">
        <f t="shared" si="28"/>
        <v>3.108513679198005E-2</v>
      </c>
      <c r="Y324">
        <f t="shared" si="29"/>
        <v>0.49798389140752042</v>
      </c>
    </row>
    <row r="325" spans="10:27" x14ac:dyDescent="0.2">
      <c r="J325" t="s">
        <v>96</v>
      </c>
      <c r="L325">
        <v>520.56966299999999</v>
      </c>
      <c r="M325">
        <v>-16807.039436999999</v>
      </c>
      <c r="N325">
        <v>78892.318205999996</v>
      </c>
      <c r="O325">
        <v>-0.57670200000000005</v>
      </c>
      <c r="P325">
        <v>30.966725</v>
      </c>
      <c r="Q325">
        <v>184.265683</v>
      </c>
      <c r="R325">
        <v>13.825977999999999</v>
      </c>
      <c r="S325">
        <v>3391</v>
      </c>
      <c r="T325">
        <v>433</v>
      </c>
      <c r="U325">
        <f t="shared" si="25"/>
        <v>0.11323221757322176</v>
      </c>
      <c r="V325">
        <f t="shared" si="26"/>
        <v>-4.4021650627615063</v>
      </c>
      <c r="W325">
        <f t="shared" si="27"/>
        <v>26.839762999999948</v>
      </c>
      <c r="X325">
        <f t="shared" si="28"/>
        <v>3.1344225425839166E-2</v>
      </c>
      <c r="Y325">
        <f t="shared" si="29"/>
        <v>0.50213449132194343</v>
      </c>
    </row>
    <row r="326" spans="10:27" x14ac:dyDescent="0.2">
      <c r="J326" t="s">
        <v>97</v>
      </c>
      <c r="L326">
        <v>520.61242000000004</v>
      </c>
      <c r="M326">
        <v>-16765.804559</v>
      </c>
      <c r="N326">
        <v>79002.549711</v>
      </c>
      <c r="O326">
        <v>-0.61262799999999995</v>
      </c>
      <c r="P326">
        <v>31.012471999999999</v>
      </c>
      <c r="Q326">
        <v>184.32252700000001</v>
      </c>
      <c r="R326">
        <v>13.820638000000001</v>
      </c>
      <c r="S326">
        <v>3407</v>
      </c>
      <c r="T326">
        <v>417</v>
      </c>
      <c r="U326">
        <f t="shared" si="25"/>
        <v>0.10904811715481172</v>
      </c>
      <c r="V326">
        <f t="shared" si="26"/>
        <v>-4.3914504184100416</v>
      </c>
      <c r="W326">
        <f t="shared" si="27"/>
        <v>27.101840999999695</v>
      </c>
      <c r="X326">
        <f t="shared" si="28"/>
        <v>3.1615810545049194E-2</v>
      </c>
      <c r="Y326">
        <f t="shared" si="29"/>
        <v>0.5064852849316881</v>
      </c>
    </row>
    <row r="327" spans="10:27" x14ac:dyDescent="0.2">
      <c r="X327" s="1">
        <f>AVERAGE(Y322:Y326)</f>
        <v>0.48821843838832873</v>
      </c>
      <c r="Y327">
        <f>STDEV(Y322:Y326)</f>
        <v>2.5795992584672175E-2</v>
      </c>
    </row>
    <row r="329" spans="10:27" x14ac:dyDescent="0.2">
      <c r="J329" t="s">
        <v>67</v>
      </c>
      <c r="U329" s="1"/>
    </row>
    <row r="330" spans="10:27" x14ac:dyDescent="0.2">
      <c r="J330" t="s">
        <v>68</v>
      </c>
      <c r="K330" t="s">
        <v>74</v>
      </c>
      <c r="W330" t="s">
        <v>25</v>
      </c>
      <c r="X330" t="s">
        <v>24</v>
      </c>
      <c r="AA330" s="1"/>
    </row>
    <row r="331" spans="10:27" x14ac:dyDescent="0.2">
      <c r="K331" t="s">
        <v>18</v>
      </c>
      <c r="L331" t="s">
        <v>5</v>
      </c>
      <c r="M331" t="s">
        <v>7</v>
      </c>
      <c r="N331" t="s">
        <v>19</v>
      </c>
      <c r="O331" t="s">
        <v>20</v>
      </c>
      <c r="P331" t="s">
        <v>21</v>
      </c>
      <c r="Q331" t="s">
        <v>22</v>
      </c>
      <c r="R331" t="s">
        <v>4</v>
      </c>
      <c r="S331" t="s">
        <v>10</v>
      </c>
      <c r="T331" t="s">
        <v>13</v>
      </c>
      <c r="U331" t="s">
        <v>26</v>
      </c>
      <c r="V331" t="s">
        <v>12</v>
      </c>
      <c r="W331" t="s">
        <v>23</v>
      </c>
      <c r="X331" t="s">
        <v>23</v>
      </c>
      <c r="AA331" s="1"/>
    </row>
    <row r="332" spans="10:27" x14ac:dyDescent="0.2">
      <c r="J332" t="s">
        <v>17</v>
      </c>
      <c r="K332">
        <v>693.99943800000005</v>
      </c>
      <c r="L332">
        <v>-8461.9327219999996</v>
      </c>
      <c r="M332">
        <v>78627.134153999999</v>
      </c>
      <c r="N332">
        <v>-0.78248899999999999</v>
      </c>
      <c r="O332">
        <v>30.909413000000001</v>
      </c>
      <c r="P332">
        <v>92.873897999999997</v>
      </c>
      <c r="Q332">
        <v>27.389865</v>
      </c>
      <c r="R332">
        <v>1706</v>
      </c>
      <c r="S332">
        <v>246</v>
      </c>
      <c r="T332">
        <f>S332/(S332+R332)</f>
        <v>0.12602459016393441</v>
      </c>
      <c r="U332">
        <f>-4.0888-2.5419*T332</f>
        <v>-4.4091419057377053</v>
      </c>
      <c r="V332">
        <f>L332-(SUM(R332:S332)*U332)</f>
        <v>144.71227800000088</v>
      </c>
      <c r="W332">
        <f>V332/(2*O332*Q332)</f>
        <v>8.5466266999468229E-2</v>
      </c>
      <c r="X332">
        <f>W332*16.02</f>
        <v>1.369169597331481</v>
      </c>
      <c r="AA332" s="1"/>
    </row>
    <row r="333" spans="10:27" x14ac:dyDescent="0.2">
      <c r="K333">
        <v>693.98917900000004</v>
      </c>
      <c r="L333">
        <v>-8406.1934849999998</v>
      </c>
      <c r="M333">
        <v>79072.413616999998</v>
      </c>
      <c r="N333">
        <v>-0.74036100000000005</v>
      </c>
      <c r="O333">
        <v>30.986521</v>
      </c>
      <c r="P333">
        <v>92.930842999999996</v>
      </c>
      <c r="Q333">
        <v>27.459624000000002</v>
      </c>
      <c r="R333">
        <v>1727</v>
      </c>
      <c r="S333">
        <v>225</v>
      </c>
      <c r="T333">
        <f>S333/(S333+R333)</f>
        <v>0.11526639344262295</v>
      </c>
      <c r="U333">
        <f>-4.0888-2.5419*T333</f>
        <v>-4.3817956454918034</v>
      </c>
      <c r="V333">
        <f>L333-(SUM(R333:S333)*U333)</f>
        <v>147.07161500000075</v>
      </c>
      <c r="W333">
        <f>V333/(2*O333*Q333)</f>
        <v>8.6423422460140356E-2</v>
      </c>
      <c r="X333">
        <f>W333*16.02</f>
        <v>1.3845032278114484</v>
      </c>
      <c r="AA333" s="1"/>
    </row>
    <row r="334" spans="10:27" x14ac:dyDescent="0.2">
      <c r="K334">
        <v>693.98763299999996</v>
      </c>
      <c r="L334">
        <v>-8426.7327170000008</v>
      </c>
      <c r="M334">
        <v>79075.664911999993</v>
      </c>
      <c r="N334">
        <v>-0.74389700000000003</v>
      </c>
      <c r="O334">
        <v>30.936017</v>
      </c>
      <c r="P334">
        <v>92.976766999999995</v>
      </c>
      <c r="Q334">
        <v>27.492049999999999</v>
      </c>
      <c r="R334">
        <v>1721</v>
      </c>
      <c r="S334">
        <v>231</v>
      </c>
      <c r="T334">
        <f>S334/(S334+R334)</f>
        <v>0.11834016393442623</v>
      </c>
      <c r="U334">
        <f>-4.0888-2.5419*T334</f>
        <v>-4.3896088627049181</v>
      </c>
      <c r="V334">
        <f>L334-(SUM(R334:S334)*U334)</f>
        <v>141.78378299999895</v>
      </c>
      <c r="W334">
        <f>V334/(2*O334*Q334)</f>
        <v>8.3353730469816825E-2</v>
      </c>
      <c r="X334">
        <f>W334*16.02</f>
        <v>1.3353267621264655</v>
      </c>
      <c r="AA334" s="1"/>
    </row>
    <row r="335" spans="10:27" x14ac:dyDescent="0.2">
      <c r="K335">
        <v>693.93052499999999</v>
      </c>
      <c r="L335">
        <v>-8395.6971020000001</v>
      </c>
      <c r="M335">
        <v>79383.607233000002</v>
      </c>
      <c r="N335">
        <v>-0.69719100000000001</v>
      </c>
      <c r="O335">
        <v>30.958842000000001</v>
      </c>
      <c r="P335">
        <v>93.298890999999998</v>
      </c>
      <c r="Q335">
        <v>27.483588999999998</v>
      </c>
      <c r="R335">
        <v>1733</v>
      </c>
      <c r="S335">
        <v>219</v>
      </c>
      <c r="T335">
        <f>S335/(S335+R335)</f>
        <v>0.11219262295081968</v>
      </c>
      <c r="U335">
        <f>-4.0888-2.5419*T335</f>
        <v>-4.3739824282786888</v>
      </c>
      <c r="V335">
        <f>L335-(SUM(R335:S335)*U335)</f>
        <v>142.31659800000125</v>
      </c>
      <c r="W335">
        <f>V335/(2*O335*Q335)</f>
        <v>8.3631022165471011E-2</v>
      </c>
      <c r="X335">
        <f>W335*16.02</f>
        <v>1.3397689750908455</v>
      </c>
      <c r="AA335" s="1"/>
    </row>
    <row r="336" spans="10:27" x14ac:dyDescent="0.2">
      <c r="K336">
        <v>694.01811199999997</v>
      </c>
      <c r="L336">
        <v>-8395.0676449999992</v>
      </c>
      <c r="M336">
        <v>79353.684353000004</v>
      </c>
      <c r="N336">
        <v>-0.80512399999999995</v>
      </c>
      <c r="O336">
        <v>30.972207999999998</v>
      </c>
      <c r="P336">
        <v>93.345350999999994</v>
      </c>
      <c r="Q336">
        <v>27.447593999999999</v>
      </c>
      <c r="R336">
        <v>1733</v>
      </c>
      <c r="S336">
        <v>219</v>
      </c>
      <c r="T336">
        <f>S336/(S336+R336)</f>
        <v>0.11219262295081968</v>
      </c>
      <c r="U336">
        <f>-4.0888-2.5419*T336</f>
        <v>-4.3739824282786888</v>
      </c>
      <c r="V336">
        <f>L336-(SUM(R336:S336)*U336)</f>
        <v>142.94605500000216</v>
      </c>
      <c r="W336">
        <f>V336/(2*O336*Q336)</f>
        <v>8.407477821342671E-2</v>
      </c>
      <c r="X336">
        <f>W336*16.02</f>
        <v>1.3468779469790959</v>
      </c>
    </row>
    <row r="337" spans="10:25" x14ac:dyDescent="0.2">
      <c r="X337" s="1">
        <f>AVERAGE(X332:X336)</f>
        <v>1.3551293018678674</v>
      </c>
      <c r="Y337">
        <f>STDEV(X332:X336)</f>
        <v>2.0953057643526056E-2</v>
      </c>
    </row>
    <row r="338" spans="10:25" x14ac:dyDescent="0.2">
      <c r="J338" t="s">
        <v>27</v>
      </c>
      <c r="K338">
        <v>743.89535599999999</v>
      </c>
      <c r="L338">
        <v>-6373.1793719999996</v>
      </c>
      <c r="M338">
        <v>59353.500039999999</v>
      </c>
      <c r="N338">
        <v>-1.2467299999999999</v>
      </c>
      <c r="O338">
        <v>32.803736999999998</v>
      </c>
      <c r="P338">
        <v>131.626688</v>
      </c>
      <c r="Q338">
        <v>13.746188</v>
      </c>
      <c r="R338">
        <v>1280</v>
      </c>
      <c r="S338">
        <v>184</v>
      </c>
      <c r="T338">
        <f>S338/(S338+R338)</f>
        <v>0.12568306010928962</v>
      </c>
      <c r="U338">
        <f>-4.0888-2.5419*T338</f>
        <v>-4.4082737704918031</v>
      </c>
      <c r="V338">
        <f>L338-(SUM(R338:S338)*U338)</f>
        <v>80.533427999999731</v>
      </c>
      <c r="W338">
        <f>V338/(2*O338*Q338)</f>
        <v>8.9297765053409528E-2</v>
      </c>
      <c r="X338">
        <f>W338*16.02</f>
        <v>1.4305501961556206</v>
      </c>
    </row>
    <row r="339" spans="10:25" x14ac:dyDescent="0.2">
      <c r="K339">
        <v>743.66894400000001</v>
      </c>
      <c r="L339">
        <v>-6337.0743579999998</v>
      </c>
      <c r="M339">
        <v>59565.405509999997</v>
      </c>
      <c r="N339">
        <v>-1.1124050000000001</v>
      </c>
      <c r="O339">
        <v>32.774639000000001</v>
      </c>
      <c r="P339">
        <v>131.881688</v>
      </c>
      <c r="Q339">
        <v>13.780872</v>
      </c>
      <c r="R339">
        <v>1294</v>
      </c>
      <c r="S339">
        <v>170</v>
      </c>
      <c r="T339">
        <f>S339/(S339+R339)</f>
        <v>0.11612021857923498</v>
      </c>
      <c r="U339">
        <f>-4.0888-2.5419*T339</f>
        <v>-4.383965983606557</v>
      </c>
      <c r="V339">
        <f>L339-(SUM(R339:S339)*U339)</f>
        <v>81.051841999999851</v>
      </c>
      <c r="W339">
        <f>V339/(2*O339*Q339)</f>
        <v>8.9725993909786431E-2</v>
      </c>
      <c r="X339">
        <f>W339*16.02</f>
        <v>1.4374104224347786</v>
      </c>
    </row>
    <row r="340" spans="10:25" x14ac:dyDescent="0.2">
      <c r="K340">
        <v>743.98960099999999</v>
      </c>
      <c r="L340">
        <v>-6341.7645659999998</v>
      </c>
      <c r="M340">
        <v>59493.470250999999</v>
      </c>
      <c r="N340">
        <v>-1.1379999999999999</v>
      </c>
      <c r="O340">
        <v>32.807828000000001</v>
      </c>
      <c r="P340">
        <v>131.61128099999999</v>
      </c>
      <c r="Q340">
        <v>13.778491000000001</v>
      </c>
      <c r="R340">
        <v>1293</v>
      </c>
      <c r="S340">
        <v>171</v>
      </c>
      <c r="T340">
        <f>S340/(S340+R340)</f>
        <v>0.11680327868852459</v>
      </c>
      <c r="U340">
        <f>-4.0888-2.5419*T340</f>
        <v>-4.3857022540983603</v>
      </c>
      <c r="V340">
        <f>L340-(SUM(R340:S340)*U340)</f>
        <v>78.903534000000036</v>
      </c>
      <c r="W340">
        <f>V340/(2*O340*Q340)</f>
        <v>8.7274490720797071E-2</v>
      </c>
      <c r="X340">
        <f>W340*16.02</f>
        <v>1.3981373413471689</v>
      </c>
    </row>
    <row r="341" spans="10:25" x14ac:dyDescent="0.2">
      <c r="K341">
        <v>743.78893500000004</v>
      </c>
      <c r="L341">
        <v>-6324.6235569999999</v>
      </c>
      <c r="M341">
        <v>59624.651779</v>
      </c>
      <c r="N341">
        <v>-1.0972500000000001</v>
      </c>
      <c r="O341">
        <v>32.764344999999999</v>
      </c>
      <c r="P341">
        <v>131.88460000000001</v>
      </c>
      <c r="Q341">
        <v>13.798543</v>
      </c>
      <c r="R341">
        <v>1300</v>
      </c>
      <c r="S341">
        <v>164</v>
      </c>
      <c r="T341">
        <f>S341/(S341+R341)</f>
        <v>0.11202185792349727</v>
      </c>
      <c r="U341">
        <f>-4.0888-2.5419*T341</f>
        <v>-4.3735483606557377</v>
      </c>
      <c r="V341">
        <f>L341-(SUM(R341:S341)*U341)</f>
        <v>78.251242999999704</v>
      </c>
      <c r="W341">
        <f>V341/(2*O341*Q341)</f>
        <v>8.6541920307276046E-2</v>
      </c>
      <c r="X341">
        <f>W341*16.02</f>
        <v>1.3864015633225621</v>
      </c>
    </row>
    <row r="342" spans="10:25" x14ac:dyDescent="0.2">
      <c r="K342">
        <v>744.26936899999998</v>
      </c>
      <c r="L342">
        <v>-6316.7343190000001</v>
      </c>
      <c r="M342">
        <v>59668.925346000004</v>
      </c>
      <c r="N342">
        <v>-1.2723040000000001</v>
      </c>
      <c r="O342">
        <v>32.837063000000001</v>
      </c>
      <c r="P342">
        <v>131.819818</v>
      </c>
      <c r="Q342">
        <v>13.785028000000001</v>
      </c>
      <c r="R342">
        <v>1304</v>
      </c>
      <c r="S342">
        <v>160</v>
      </c>
      <c r="T342">
        <f>S342/(S342+R342)</f>
        <v>0.10928961748633879</v>
      </c>
      <c r="U342">
        <f>-4.0888-2.5419*T342</f>
        <v>-4.3666032786885243</v>
      </c>
      <c r="V342">
        <f>L342-(SUM(R342:S342)*U342)</f>
        <v>75.972880999999688</v>
      </c>
      <c r="W342">
        <f>V342/(2*O342*Q342)</f>
        <v>8.3918293030870506E-2</v>
      </c>
      <c r="X342">
        <f>W342*16.02</f>
        <v>1.3443710543545455</v>
      </c>
    </row>
    <row r="343" spans="10:25" x14ac:dyDescent="0.2">
      <c r="X343" s="1">
        <f>AVERAGE(X338:X342)</f>
        <v>1.3993741155229351</v>
      </c>
      <c r="Y343">
        <f>STDEV(X338:X342)</f>
        <v>3.7462855290122075E-2</v>
      </c>
    </row>
    <row r="344" spans="10:25" x14ac:dyDescent="0.2">
      <c r="J344" t="s">
        <v>28</v>
      </c>
      <c r="K344">
        <v>743.27435800000001</v>
      </c>
      <c r="L344">
        <v>-5506.8239590000003</v>
      </c>
      <c r="M344">
        <v>51247.710847000002</v>
      </c>
      <c r="N344">
        <v>-1.42259</v>
      </c>
      <c r="O344">
        <v>35.181838999999997</v>
      </c>
      <c r="P344">
        <v>141.60196099999999</v>
      </c>
      <c r="Q344">
        <v>10.287084999999999</v>
      </c>
      <c r="R344">
        <v>1095</v>
      </c>
      <c r="S344">
        <v>165</v>
      </c>
      <c r="T344">
        <f>S344/(S344+R344)</f>
        <v>0.13095238095238096</v>
      </c>
      <c r="U344">
        <f>-4.0888-2.5419*T344</f>
        <v>-4.4216678571428574</v>
      </c>
      <c r="V344">
        <f>L344-(SUM(R344:S344)*U344)</f>
        <v>64.477541000000201</v>
      </c>
      <c r="W344">
        <f>V344/(2*O344*Q344)</f>
        <v>8.9077414999585686E-2</v>
      </c>
      <c r="X344">
        <f>W344*16.02</f>
        <v>1.4270201882933626</v>
      </c>
    </row>
    <row r="345" spans="10:25" x14ac:dyDescent="0.2">
      <c r="K345">
        <v>743.69254000000001</v>
      </c>
      <c r="L345">
        <v>-5470.9100129999997</v>
      </c>
      <c r="M345">
        <v>51427.285884999998</v>
      </c>
      <c r="N345">
        <v>-1.433209</v>
      </c>
      <c r="O345">
        <v>35.207343000000002</v>
      </c>
      <c r="P345">
        <v>142.06248600000001</v>
      </c>
      <c r="Q345">
        <v>10.282195</v>
      </c>
      <c r="R345">
        <v>1111</v>
      </c>
      <c r="S345">
        <v>149</v>
      </c>
      <c r="T345">
        <f t="shared" ref="T345:T366" si="30">S345/(S345+R345)</f>
        <v>0.11825396825396825</v>
      </c>
      <c r="U345">
        <f>-4.0888-2.5419*T345</f>
        <v>-4.3893897619047619</v>
      </c>
      <c r="V345">
        <f>L345-(SUM(R345:S345)*U345)</f>
        <v>59.721086999999898</v>
      </c>
      <c r="W345">
        <f>V345/(2*O345*Q345)</f>
        <v>8.2485691760780994E-2</v>
      </c>
      <c r="X345">
        <f>W345*16.02</f>
        <v>1.3214207820077115</v>
      </c>
    </row>
    <row r="346" spans="10:25" x14ac:dyDescent="0.2">
      <c r="K346">
        <v>743.86443199999997</v>
      </c>
      <c r="L346">
        <v>-5456.1456260000004</v>
      </c>
      <c r="M346">
        <v>51611.701243000003</v>
      </c>
      <c r="N346">
        <v>-1.4395610000000001</v>
      </c>
      <c r="O346">
        <v>35.249875000000003</v>
      </c>
      <c r="P346">
        <v>142.017133</v>
      </c>
      <c r="Q346">
        <v>10.309956</v>
      </c>
      <c r="R346">
        <v>1115</v>
      </c>
      <c r="S346">
        <v>145</v>
      </c>
      <c r="T346">
        <f t="shared" si="30"/>
        <v>0.11507936507936507</v>
      </c>
      <c r="U346">
        <f>-4.0888-2.5419*T346</f>
        <v>-4.3813202380952383</v>
      </c>
      <c r="V346">
        <f>L346-(SUM(R346:S346)*U346)</f>
        <v>64.317873999999392</v>
      </c>
      <c r="W346">
        <f>V346/(2*O346*Q346)</f>
        <v>8.8488593419584843E-2</v>
      </c>
      <c r="X346">
        <f>W346*16.02</f>
        <v>1.4175872665817491</v>
      </c>
    </row>
    <row r="347" spans="10:25" x14ac:dyDescent="0.2">
      <c r="K347">
        <v>743.879096</v>
      </c>
      <c r="L347">
        <v>-5432.7103260000004</v>
      </c>
      <c r="M347">
        <v>51753.164233000003</v>
      </c>
      <c r="N347">
        <v>-1.3225009999999999</v>
      </c>
      <c r="O347">
        <v>35.300319000000002</v>
      </c>
      <c r="P347">
        <v>142.391052</v>
      </c>
      <c r="Q347">
        <v>10.296293</v>
      </c>
      <c r="R347">
        <v>1124</v>
      </c>
      <c r="S347">
        <v>136</v>
      </c>
      <c r="T347">
        <f t="shared" si="30"/>
        <v>0.10793650793650794</v>
      </c>
      <c r="U347">
        <f>-4.0888-2.5419*T347</f>
        <v>-4.3631638095238099</v>
      </c>
      <c r="V347">
        <f>L347-(SUM(R347:S347)*U347)</f>
        <v>64.87607399999979</v>
      </c>
      <c r="W347">
        <f>V347/(2*O347*Q347)</f>
        <v>8.9247290924907879E-2</v>
      </c>
      <c r="X347">
        <f>W347*16.02</f>
        <v>1.4297416006170243</v>
      </c>
    </row>
    <row r="348" spans="10:25" x14ac:dyDescent="0.2">
      <c r="K348">
        <v>743.78068499999995</v>
      </c>
      <c r="L348">
        <v>-5447.4637720000001</v>
      </c>
      <c r="M348">
        <v>51681.145028999999</v>
      </c>
      <c r="N348">
        <v>-1.4144620000000001</v>
      </c>
      <c r="O348">
        <v>35.278495999999997</v>
      </c>
      <c r="P348">
        <v>142.44612900000001</v>
      </c>
      <c r="Q348">
        <v>10.284375000000001</v>
      </c>
      <c r="R348">
        <v>1119</v>
      </c>
      <c r="S348">
        <v>141</v>
      </c>
      <c r="T348">
        <f t="shared" si="30"/>
        <v>0.11190476190476191</v>
      </c>
      <c r="U348">
        <f>-4.0888-2.5419*T348</f>
        <v>-4.3732507142857147</v>
      </c>
      <c r="V348">
        <f>L348-(SUM(R348:S348)*U348)</f>
        <v>62.832128000000012</v>
      </c>
      <c r="W348">
        <f>V348/(2*O348*Q348)</f>
        <v>8.6589215929419927E-2</v>
      </c>
      <c r="X348">
        <f>W348*16.02</f>
        <v>1.3871592391893073</v>
      </c>
    </row>
    <row r="349" spans="10:25" x14ac:dyDescent="0.2">
      <c r="X349" s="1">
        <f>AVERAGE(X344:X348)</f>
        <v>1.396585815337831</v>
      </c>
      <c r="Y349">
        <f>STDEV(X344:X348)</f>
        <v>4.5291446991758064E-2</v>
      </c>
    </row>
    <row r="350" spans="10:25" x14ac:dyDescent="0.2">
      <c r="J350" t="s">
        <v>55</v>
      </c>
      <c r="K350">
        <v>693.82533999999998</v>
      </c>
      <c r="L350">
        <v>-8612.0268560000004</v>
      </c>
      <c r="M350">
        <v>81029.687659999996</v>
      </c>
      <c r="N350">
        <v>-0.83152099999999995</v>
      </c>
      <c r="O350">
        <v>31.212142</v>
      </c>
      <c r="P350">
        <v>188.66227699999999</v>
      </c>
      <c r="Q350">
        <v>13.760645</v>
      </c>
      <c r="R350">
        <v>1737</v>
      </c>
      <c r="S350">
        <v>239</v>
      </c>
      <c r="T350">
        <f>S350/(S350+R350)</f>
        <v>0.12095141700404859</v>
      </c>
      <c r="U350">
        <f>-4.0888-2.5419*T350</f>
        <v>-4.3962464068825913</v>
      </c>
      <c r="V350">
        <f>L350-(SUM(R350:S350)*U350)</f>
        <v>74.956044000000475</v>
      </c>
      <c r="W350">
        <f>V350/(2*O350*Q350)</f>
        <v>8.7259816777580837E-2</v>
      </c>
      <c r="X350">
        <f>W350*16.02</f>
        <v>1.3979022647768449</v>
      </c>
    </row>
    <row r="351" spans="10:25" x14ac:dyDescent="0.2">
      <c r="K351">
        <v>693.83491700000002</v>
      </c>
      <c r="L351">
        <v>-8532.6029949999993</v>
      </c>
      <c r="M351">
        <v>81682.875627999994</v>
      </c>
      <c r="N351">
        <v>-0.74444999999999995</v>
      </c>
      <c r="O351">
        <v>31.266967000000001</v>
      </c>
      <c r="P351">
        <v>189.13563199999999</v>
      </c>
      <c r="Q351">
        <v>13.812613000000001</v>
      </c>
      <c r="R351">
        <v>1769</v>
      </c>
      <c r="S351">
        <v>207</v>
      </c>
      <c r="T351">
        <f>S351/(S351+R351)</f>
        <v>0.10475708502024292</v>
      </c>
      <c r="U351">
        <f>-4.0888-2.5419*T351</f>
        <v>-4.3550820344129555</v>
      </c>
      <c r="V351">
        <f>L351-(SUM(R351:S351)*U351)</f>
        <v>73.039105000001655</v>
      </c>
      <c r="W351">
        <f>V351/(2*O351*Q351)</f>
        <v>8.4559780688051492E-2</v>
      </c>
      <c r="X351">
        <f>W351*16.02</f>
        <v>1.3546476866225849</v>
      </c>
    </row>
    <row r="352" spans="10:25" x14ac:dyDescent="0.2">
      <c r="K352">
        <v>694.010445</v>
      </c>
      <c r="L352">
        <v>-8600.2897890000004</v>
      </c>
      <c r="M352">
        <v>81496.518345000004</v>
      </c>
      <c r="N352">
        <v>-0.89152100000000001</v>
      </c>
      <c r="O352">
        <v>31.233307</v>
      </c>
      <c r="P352">
        <v>189.258353</v>
      </c>
      <c r="Q352">
        <v>13.786991</v>
      </c>
      <c r="R352">
        <v>1741</v>
      </c>
      <c r="S352">
        <v>235</v>
      </c>
      <c r="T352">
        <f>S352/(S352+R352)</f>
        <v>0.11892712550607287</v>
      </c>
      <c r="U352">
        <f>-4.0888-2.5419*T352</f>
        <v>-4.3911008603238866</v>
      </c>
      <c r="V352">
        <f>L352-(SUM(R352:S352)*U352)</f>
        <v>76.525510999999824</v>
      </c>
      <c r="W352">
        <f>V352/(2*O352*Q352)</f>
        <v>8.885641363123209E-2</v>
      </c>
      <c r="X352">
        <f>W352*16.02</f>
        <v>1.4234797463723381</v>
      </c>
    </row>
    <row r="353" spans="10:25" x14ac:dyDescent="0.2">
      <c r="K353">
        <v>693.97530200000006</v>
      </c>
      <c r="L353">
        <v>-8604.9690279999995</v>
      </c>
      <c r="M353">
        <v>81308.283347000004</v>
      </c>
      <c r="N353">
        <v>-0.851684</v>
      </c>
      <c r="O353">
        <v>31.222508000000001</v>
      </c>
      <c r="P353">
        <v>189.19443899999999</v>
      </c>
      <c r="Q353">
        <v>13.764561</v>
      </c>
      <c r="R353">
        <v>1741</v>
      </c>
      <c r="S353">
        <v>235</v>
      </c>
      <c r="T353">
        <f>S353/(S353+R353)</f>
        <v>0.11892712550607287</v>
      </c>
      <c r="U353">
        <f>-4.0888-2.5419*T353</f>
        <v>-4.3911008603238866</v>
      </c>
      <c r="V353">
        <f>L353-(SUM(R353:S353)*U353)</f>
        <v>71.846272000000681</v>
      </c>
      <c r="W353">
        <f>V353/(2*O353*Q353)</f>
        <v>8.3588030428069088E-2</v>
      </c>
      <c r="X353">
        <f>W353*16.02</f>
        <v>1.3390802474576669</v>
      </c>
    </row>
    <row r="354" spans="10:25" x14ac:dyDescent="0.2">
      <c r="K354">
        <v>694.01068699999996</v>
      </c>
      <c r="L354">
        <v>-8528.2288399999998</v>
      </c>
      <c r="M354">
        <v>81968.294978999998</v>
      </c>
      <c r="N354">
        <v>-0.73925700000000005</v>
      </c>
      <c r="O354">
        <v>31.303961999999999</v>
      </c>
      <c r="P354">
        <v>189.44018600000001</v>
      </c>
      <c r="Q354">
        <v>13.822227</v>
      </c>
      <c r="R354">
        <v>1770</v>
      </c>
      <c r="S354">
        <v>206</v>
      </c>
      <c r="T354">
        <f>S354/(S354+R354)</f>
        <v>0.10425101214574899</v>
      </c>
      <c r="U354">
        <f>-4.0888-2.5419*T354</f>
        <v>-4.3537956477732793</v>
      </c>
      <c r="V354">
        <f>L354-(SUM(R354:S354)*U354)</f>
        <v>74.871360000001005</v>
      </c>
      <c r="W354">
        <f>V354/(2*O354*Q354)</f>
        <v>8.651838370045771E-2</v>
      </c>
      <c r="X354">
        <f>W354*16.02</f>
        <v>1.3860245068813324</v>
      </c>
    </row>
    <row r="355" spans="10:25" x14ac:dyDescent="0.2">
      <c r="X355" s="1">
        <f>AVERAGE(X350:X354)</f>
        <v>1.3802268904221533</v>
      </c>
      <c r="Y355">
        <f>STDEV(X350:X354)</f>
        <v>3.377936743524234E-2</v>
      </c>
    </row>
    <row r="356" spans="10:25" x14ac:dyDescent="0.2">
      <c r="J356">
        <v>100</v>
      </c>
      <c r="K356">
        <v>743.93001100000004</v>
      </c>
      <c r="L356">
        <v>-20398.556798000001</v>
      </c>
      <c r="M356">
        <v>105521.866318</v>
      </c>
      <c r="N356">
        <v>-0.773115</v>
      </c>
      <c r="O356">
        <v>27.583289000000001</v>
      </c>
      <c r="P356">
        <v>27.605550000000001</v>
      </c>
      <c r="Q356">
        <v>138.580251</v>
      </c>
      <c r="R356">
        <v>4110</v>
      </c>
      <c r="S356">
        <v>562</v>
      </c>
      <c r="T356">
        <f t="shared" si="30"/>
        <v>0.12029109589041095</v>
      </c>
      <c r="U356">
        <f>-4.0888-2.5419*T356</f>
        <v>-4.3945679366438357</v>
      </c>
      <c r="V356">
        <f>L356-(SUM(R356:S356)*U356)</f>
        <v>132.86460199999783</v>
      </c>
      <c r="W356">
        <f>V356/(2*O356*P356)</f>
        <v>8.7244255574098623E-2</v>
      </c>
      <c r="X356">
        <f>W356*16.02</f>
        <v>1.3976529742970598</v>
      </c>
    </row>
    <row r="357" spans="10:25" x14ac:dyDescent="0.2">
      <c r="K357">
        <v>743.96136000000001</v>
      </c>
      <c r="L357">
        <v>-20354.877102999999</v>
      </c>
      <c r="M357">
        <v>105765.36699900001</v>
      </c>
      <c r="N357">
        <v>-0.66637599999999997</v>
      </c>
      <c r="O357">
        <v>27.619844000000001</v>
      </c>
      <c r="P357">
        <v>27.609753999999999</v>
      </c>
      <c r="Q357">
        <v>138.69501399999999</v>
      </c>
      <c r="R357">
        <v>4128</v>
      </c>
      <c r="S357">
        <v>544</v>
      </c>
      <c r="T357">
        <f t="shared" si="30"/>
        <v>0.11643835616438356</v>
      </c>
      <c r="U357">
        <f>-4.0888-2.5419*T357</f>
        <v>-4.3847746575342468</v>
      </c>
      <c r="V357">
        <f>L357-(SUM(R357:S357)*U357)</f>
        <v>130.79009700000097</v>
      </c>
      <c r="W357">
        <f>V357/(2*O357*P357)</f>
        <v>8.5755327088603214E-2</v>
      </c>
      <c r="X357">
        <f>W357*16.02</f>
        <v>1.3738003399594234</v>
      </c>
    </row>
    <row r="358" spans="10:25" x14ac:dyDescent="0.2">
      <c r="K358">
        <v>743.79384400000004</v>
      </c>
      <c r="L358">
        <v>-20351.43765</v>
      </c>
      <c r="M358">
        <v>105739.34923399999</v>
      </c>
      <c r="N358">
        <v>-0.71860900000000005</v>
      </c>
      <c r="O358">
        <v>27.601293999999999</v>
      </c>
      <c r="P358">
        <v>27.617353999999999</v>
      </c>
      <c r="Q358">
        <v>138.71613400000001</v>
      </c>
      <c r="R358">
        <v>4129</v>
      </c>
      <c r="S358">
        <v>543</v>
      </c>
      <c r="T358">
        <f t="shared" si="30"/>
        <v>0.11622431506849315</v>
      </c>
      <c r="U358">
        <f>-4.0888-2.5419*T358</f>
        <v>-4.3842305864726026</v>
      </c>
      <c r="V358">
        <f>L358-(SUM(R358:S358)*U358)</f>
        <v>131.68764999999985</v>
      </c>
      <c r="W358">
        <f>V358/(2*O358*P358)</f>
        <v>8.6378079153399706E-2</v>
      </c>
      <c r="X358">
        <f>W358*16.02</f>
        <v>1.3837768280374632</v>
      </c>
    </row>
    <row r="359" spans="10:25" x14ac:dyDescent="0.2">
      <c r="K359">
        <v>743.81111699999997</v>
      </c>
      <c r="L359">
        <v>-20347.938757</v>
      </c>
      <c r="M359">
        <v>105763.360333</v>
      </c>
      <c r="N359">
        <v>-0.67504699999999995</v>
      </c>
      <c r="O359">
        <v>27.586487999999999</v>
      </c>
      <c r="P359">
        <v>27.611491000000001</v>
      </c>
      <c r="Q359">
        <v>138.85150300000001</v>
      </c>
      <c r="R359">
        <v>4133</v>
      </c>
      <c r="S359">
        <v>539</v>
      </c>
      <c r="T359">
        <f t="shared" si="30"/>
        <v>0.1153681506849315</v>
      </c>
      <c r="U359">
        <f>-4.0888-2.5419*T359</f>
        <v>-4.3820543022260274</v>
      </c>
      <c r="V359">
        <f>L359-(SUM(R359:S359)*U359)</f>
        <v>125.01894299999913</v>
      </c>
      <c r="W359">
        <f>V359/(2*O359*P359)</f>
        <v>8.2065298534326425E-2</v>
      </c>
      <c r="X359">
        <f>W359*16.02</f>
        <v>1.3146860825199094</v>
      </c>
    </row>
    <row r="360" spans="10:25" x14ac:dyDescent="0.2">
      <c r="K360">
        <v>743.72508200000004</v>
      </c>
      <c r="L360">
        <v>-20294.551168999998</v>
      </c>
      <c r="M360">
        <v>106098.586455</v>
      </c>
      <c r="N360">
        <v>-0.85825600000000002</v>
      </c>
      <c r="O360">
        <v>27.630005000000001</v>
      </c>
      <c r="P360">
        <v>27.632131999999999</v>
      </c>
      <c r="Q360">
        <v>138.968197</v>
      </c>
      <c r="R360">
        <v>4151</v>
      </c>
      <c r="S360">
        <v>521</v>
      </c>
      <c r="T360">
        <f t="shared" si="30"/>
        <v>0.1115154109589041</v>
      </c>
      <c r="U360">
        <f>-4.0888-2.5419*T360</f>
        <v>-4.3722610231164385</v>
      </c>
      <c r="V360">
        <f>L360-(SUM(R360:S360)*U360)</f>
        <v>132.65233100000114</v>
      </c>
      <c r="W360">
        <f>V360/(2*O360*P360)</f>
        <v>8.6873942665139994E-2</v>
      </c>
      <c r="X360">
        <f>W360*16.02</f>
        <v>1.3917205614955426</v>
      </c>
    </row>
    <row r="361" spans="10:25" x14ac:dyDescent="0.2">
      <c r="X361" s="1">
        <f>AVERAGE(X356:X360)</f>
        <v>1.3723273572618797</v>
      </c>
      <c r="Y361">
        <f>STDEV(X356:X360)</f>
        <v>3.3441216565821413E-2</v>
      </c>
    </row>
    <row r="362" spans="10:25" x14ac:dyDescent="0.2">
      <c r="J362">
        <v>110</v>
      </c>
      <c r="K362">
        <v>693.94499900000005</v>
      </c>
      <c r="L362">
        <v>-7891.6029159999998</v>
      </c>
      <c r="M362">
        <v>40971.532103999998</v>
      </c>
      <c r="N362">
        <v>-1.3520239999999999</v>
      </c>
      <c r="O362">
        <v>97.505590999999995</v>
      </c>
      <c r="P362">
        <v>24.439671000000001</v>
      </c>
      <c r="Q362">
        <v>17.193325000000002</v>
      </c>
      <c r="R362">
        <v>1566</v>
      </c>
      <c r="S362">
        <v>234</v>
      </c>
      <c r="T362">
        <f t="shared" si="30"/>
        <v>0.13</v>
      </c>
      <c r="U362">
        <f>-4.0888-2.5419*T362</f>
        <v>-4.4192470000000004</v>
      </c>
      <c r="V362">
        <f>L362-(SUM(R362:S362)*U362)</f>
        <v>63.041684000000714</v>
      </c>
      <c r="W362">
        <f>V362/(2*Q362*P362)</f>
        <v>7.5014044577440653E-2</v>
      </c>
      <c r="X362">
        <f>W362*16.02</f>
        <v>1.2017249941305992</v>
      </c>
    </row>
    <row r="363" spans="10:25" x14ac:dyDescent="0.2">
      <c r="K363">
        <v>694.19031900000004</v>
      </c>
      <c r="L363">
        <v>-7807.4713119999997</v>
      </c>
      <c r="M363">
        <v>41473.644977000004</v>
      </c>
      <c r="N363">
        <v>-1.323053</v>
      </c>
      <c r="O363">
        <v>98.247895</v>
      </c>
      <c r="P363">
        <v>24.498453999999999</v>
      </c>
      <c r="Q363">
        <v>17.231085</v>
      </c>
      <c r="R363">
        <v>1599</v>
      </c>
      <c r="S363">
        <v>201</v>
      </c>
      <c r="T363">
        <f t="shared" si="30"/>
        <v>0.11166666666666666</v>
      </c>
      <c r="U363">
        <f>-4.0888-2.5419*T363</f>
        <v>-4.3726455</v>
      </c>
      <c r="V363">
        <f>L363-(SUM(R363:S363)*U363)</f>
        <v>63.290587999999843</v>
      </c>
      <c r="W363">
        <f>V363/(2*Q363*P363)</f>
        <v>7.4964876768835009E-2</v>
      </c>
      <c r="X363">
        <f>W363*16.02</f>
        <v>1.2009373258367368</v>
      </c>
    </row>
    <row r="364" spans="10:25" x14ac:dyDescent="0.2">
      <c r="K364">
        <v>693.98720600000001</v>
      </c>
      <c r="L364">
        <v>-7841.3604150000001</v>
      </c>
      <c r="M364">
        <v>41212.299572999997</v>
      </c>
      <c r="N364">
        <v>-1.391354</v>
      </c>
      <c r="O364">
        <v>97.902309000000002</v>
      </c>
      <c r="P364">
        <v>24.479116000000001</v>
      </c>
      <c r="Q364">
        <v>17.196515000000002</v>
      </c>
      <c r="R364">
        <v>1586</v>
      </c>
      <c r="S364">
        <v>214</v>
      </c>
      <c r="T364">
        <f t="shared" si="30"/>
        <v>0.11888888888888889</v>
      </c>
      <c r="U364">
        <f>-4.0888-2.5419*T364</f>
        <v>-4.3910036666666663</v>
      </c>
      <c r="V364">
        <f>L364-(SUM(R364:S364)*U364)</f>
        <v>62.446184999998877</v>
      </c>
      <c r="W364">
        <f>V364/(2*Q364*P364)</f>
        <v>7.4171957788700643E-2</v>
      </c>
      <c r="X364">
        <f>W364*16.02</f>
        <v>1.1882347637749844</v>
      </c>
    </row>
    <row r="365" spans="10:25" x14ac:dyDescent="0.2">
      <c r="K365">
        <v>693.79449899999997</v>
      </c>
      <c r="L365">
        <v>-7795.5824970000003</v>
      </c>
      <c r="M365">
        <v>41493.726481999998</v>
      </c>
      <c r="N365">
        <v>-1.5695349999999999</v>
      </c>
      <c r="O365">
        <v>98.273256000000003</v>
      </c>
      <c r="P365">
        <v>24.508299999999998</v>
      </c>
      <c r="Q365">
        <v>17.228059999999999</v>
      </c>
      <c r="R365">
        <v>1604</v>
      </c>
      <c r="S365">
        <v>196</v>
      </c>
      <c r="T365">
        <f t="shared" si="30"/>
        <v>0.10888888888888888</v>
      </c>
      <c r="U365">
        <f>-4.0888-2.5419*T365</f>
        <v>-4.3655846666666669</v>
      </c>
      <c r="V365">
        <f>L365-(SUM(R365:S365)*U365)</f>
        <v>62.469903000000158</v>
      </c>
      <c r="W365">
        <f>V365/(2*Q365*P365)</f>
        <v>7.3976072890661243E-2</v>
      </c>
      <c r="X365">
        <f>W365*16.02</f>
        <v>1.185096687708393</v>
      </c>
    </row>
    <row r="366" spans="10:25" x14ac:dyDescent="0.2">
      <c r="K366">
        <v>694.17108700000006</v>
      </c>
      <c r="L366">
        <v>-7812.4939800000002</v>
      </c>
      <c r="M366">
        <v>41362.421017000001</v>
      </c>
      <c r="N366">
        <v>-1.4886699999999999</v>
      </c>
      <c r="O366">
        <v>98.026595</v>
      </c>
      <c r="P366">
        <v>24.496175000000001</v>
      </c>
      <c r="Q366">
        <v>17.225244</v>
      </c>
      <c r="R366">
        <v>1597</v>
      </c>
      <c r="S366">
        <v>203</v>
      </c>
      <c r="T366">
        <f t="shared" si="30"/>
        <v>0.11277777777777778</v>
      </c>
      <c r="U366">
        <f>-4.0888-2.5419*T366</f>
        <v>-4.3754698333333337</v>
      </c>
      <c r="V366">
        <f>L366-(SUM(R366:S366)*U366)</f>
        <v>63.351720000000569</v>
      </c>
      <c r="W366">
        <f>V366/(2*Q366*P366)</f>
        <v>7.5069713144247499E-2</v>
      </c>
      <c r="X366">
        <f>W366*16.02</f>
        <v>1.202616804570845</v>
      </c>
    </row>
    <row r="367" spans="10:25" x14ac:dyDescent="0.2">
      <c r="X367" s="1">
        <f>AVERAGE(X362:X366)</f>
        <v>1.1957221152043118</v>
      </c>
      <c r="Y367">
        <f>STDEV(X362:X366)</f>
        <v>8.3625632987512806E-3</v>
      </c>
    </row>
    <row r="368" spans="10:25" x14ac:dyDescent="0.2">
      <c r="J368">
        <v>111</v>
      </c>
      <c r="K368">
        <v>693.99797000000001</v>
      </c>
      <c r="L368">
        <v>-11825.944202999999</v>
      </c>
      <c r="M368">
        <v>63276.397745000002</v>
      </c>
      <c r="N368">
        <v>-0.88486600000000004</v>
      </c>
      <c r="O368">
        <v>95.716836999999998</v>
      </c>
      <c r="P368">
        <v>19.529706999999998</v>
      </c>
      <c r="Q368">
        <v>33.849980000000002</v>
      </c>
      <c r="R368">
        <v>2374</v>
      </c>
      <c r="S368">
        <v>337</v>
      </c>
      <c r="T368">
        <f>S368/(S368+R368)</f>
        <v>0.12430837329398746</v>
      </c>
      <c r="U368">
        <f>-4.0888-2.5419*T368</f>
        <v>-4.404779454075987</v>
      </c>
      <c r="V368">
        <f>L368-(SUM(R368:S368)*U368)</f>
        <v>115.41289700000198</v>
      </c>
      <c r="W368">
        <f>V368/(2*P368*Q368)</f>
        <v>8.7291147510631675E-2</v>
      </c>
      <c r="X368">
        <f>W368*16.02</f>
        <v>1.3984041831203193</v>
      </c>
    </row>
    <row r="369" spans="10:25" x14ac:dyDescent="0.2">
      <c r="K369">
        <v>694.29112699999996</v>
      </c>
      <c r="L369">
        <v>-11750.437352999999</v>
      </c>
      <c r="M369">
        <v>63826.568827000003</v>
      </c>
      <c r="N369">
        <v>-0.88937500000000003</v>
      </c>
      <c r="O369">
        <v>96.166175999999993</v>
      </c>
      <c r="P369">
        <v>19.582008999999999</v>
      </c>
      <c r="Q369">
        <v>33.893977</v>
      </c>
      <c r="R369">
        <v>2401</v>
      </c>
      <c r="S369">
        <v>310</v>
      </c>
      <c r="T369">
        <f>S369/(S369+R369)</f>
        <v>0.11434894872740686</v>
      </c>
      <c r="U369">
        <f>-4.0888-2.5419*T369</f>
        <v>-4.379463592770195</v>
      </c>
      <c r="V369">
        <f>L369-(SUM(R369:S369)*U369)</f>
        <v>122.288446999999</v>
      </c>
      <c r="W369">
        <f>V369/(2*P369*Q369)</f>
        <v>9.212460903980893E-2</v>
      </c>
      <c r="X369">
        <f>W369*16.02</f>
        <v>1.4758362368177391</v>
      </c>
    </row>
    <row r="370" spans="10:25" x14ac:dyDescent="0.2">
      <c r="K370">
        <v>694.15073400000006</v>
      </c>
      <c r="L370">
        <v>-11800.038047</v>
      </c>
      <c r="M370">
        <v>63504.167064000001</v>
      </c>
      <c r="N370">
        <v>-0.88084399999999996</v>
      </c>
      <c r="O370">
        <v>95.924062000000006</v>
      </c>
      <c r="P370">
        <v>19.554546999999999</v>
      </c>
      <c r="Q370">
        <v>33.855378000000002</v>
      </c>
      <c r="R370">
        <v>2385</v>
      </c>
      <c r="S370">
        <v>326</v>
      </c>
      <c r="T370">
        <f>S370/(S370+R370)</f>
        <v>0.12025082995204721</v>
      </c>
      <c r="U370">
        <f>-4.0888-2.5419*T370</f>
        <v>-4.3944655846551086</v>
      </c>
      <c r="V370">
        <f>L370-(SUM(R370:S370)*U370)</f>
        <v>113.35815299999922</v>
      </c>
      <c r="W370">
        <f>V370/(2*P370*Q370)</f>
        <v>8.5614502780224977E-2</v>
      </c>
      <c r="X370">
        <f>W370*16.02</f>
        <v>1.371544334539204</v>
      </c>
    </row>
    <row r="371" spans="10:25" x14ac:dyDescent="0.2">
      <c r="K371">
        <v>694.18432299999995</v>
      </c>
      <c r="L371">
        <v>-11756.167014000001</v>
      </c>
      <c r="M371">
        <v>63633.83107</v>
      </c>
      <c r="N371">
        <v>-0.97336800000000001</v>
      </c>
      <c r="O371">
        <v>95.966023000000007</v>
      </c>
      <c r="P371">
        <v>19.569897999999998</v>
      </c>
      <c r="Q371">
        <v>33.883062000000002</v>
      </c>
      <c r="R371">
        <v>2402</v>
      </c>
      <c r="S371">
        <v>309</v>
      </c>
      <c r="T371">
        <f>S371/(S371+R371)</f>
        <v>0.11398008115086684</v>
      </c>
      <c r="U371">
        <f>-4.0888-2.5419*T371</f>
        <v>-4.3785259682773887</v>
      </c>
      <c r="V371">
        <f>L371-(SUM(R371:S371)*U371)</f>
        <v>114.01688599999943</v>
      </c>
      <c r="W371">
        <f>V371/(2*P371*Q371)</f>
        <v>8.5974165143566803E-2</v>
      </c>
      <c r="X371">
        <f>W371*16.02</f>
        <v>1.3773061255999401</v>
      </c>
    </row>
    <row r="372" spans="10:25" x14ac:dyDescent="0.2">
      <c r="K372">
        <v>694.04016000000001</v>
      </c>
      <c r="L372">
        <v>-11739.767475000001</v>
      </c>
      <c r="M372">
        <v>63808.169824999997</v>
      </c>
      <c r="N372">
        <v>-0.82178499999999999</v>
      </c>
      <c r="O372">
        <v>96.158921000000007</v>
      </c>
      <c r="P372">
        <v>19.56692</v>
      </c>
      <c r="Q372">
        <v>33.912896000000003</v>
      </c>
      <c r="R372">
        <v>2408</v>
      </c>
      <c r="S372">
        <v>303</v>
      </c>
      <c r="T372">
        <f>S372/(S372+R372)</f>
        <v>0.1117668756916267</v>
      </c>
      <c r="U372">
        <f>-4.0888-2.5419*T372</f>
        <v>-4.3729002213205455</v>
      </c>
      <c r="V372">
        <f>L372-(SUM(R372:S372)*U372)</f>
        <v>115.16502499999842</v>
      </c>
      <c r="W372">
        <f>V372/(2*P372*Q372)</f>
        <v>8.6776726502181947E-2</v>
      </c>
      <c r="X372">
        <f>W372*16.02</f>
        <v>1.3901631585649548</v>
      </c>
    </row>
    <row r="373" spans="10:25" x14ac:dyDescent="0.2">
      <c r="X373" s="1">
        <f>AVERAGE(X368:X372)</f>
        <v>1.4026508077284316</v>
      </c>
      <c r="Y373">
        <f>STDEV(X368:X372)</f>
        <v>4.2249401829034153E-2</v>
      </c>
    </row>
    <row r="375" spans="10:25" x14ac:dyDescent="0.2">
      <c r="J375" t="s">
        <v>34</v>
      </c>
      <c r="K375" t="s">
        <v>74</v>
      </c>
      <c r="W375" t="s">
        <v>25</v>
      </c>
      <c r="X375" t="s">
        <v>24</v>
      </c>
    </row>
    <row r="376" spans="10:25" x14ac:dyDescent="0.2">
      <c r="K376" t="s">
        <v>18</v>
      </c>
      <c r="L376" t="s">
        <v>5</v>
      </c>
      <c r="M376" t="s">
        <v>7</v>
      </c>
      <c r="N376" t="s">
        <v>19</v>
      </c>
      <c r="O376" t="s">
        <v>20</v>
      </c>
      <c r="P376" t="s">
        <v>21</v>
      </c>
      <c r="Q376" t="s">
        <v>22</v>
      </c>
      <c r="R376" t="s">
        <v>4</v>
      </c>
      <c r="S376" t="s">
        <v>10</v>
      </c>
      <c r="T376" t="s">
        <v>13</v>
      </c>
      <c r="U376" t="s">
        <v>26</v>
      </c>
      <c r="V376" t="s">
        <v>12</v>
      </c>
      <c r="W376" t="s">
        <v>23</v>
      </c>
      <c r="X376" t="s">
        <v>23</v>
      </c>
    </row>
    <row r="377" spans="10:25" x14ac:dyDescent="0.2">
      <c r="J377" t="s">
        <v>17</v>
      </c>
      <c r="K377">
        <v>867.38887999999997</v>
      </c>
      <c r="L377">
        <v>-8406.3811160000005</v>
      </c>
      <c r="M377">
        <v>79215.693813999998</v>
      </c>
      <c r="N377">
        <v>-1.043093</v>
      </c>
      <c r="O377">
        <v>30.965105000000001</v>
      </c>
      <c r="P377">
        <v>93.251024000000001</v>
      </c>
      <c r="Q377">
        <v>27.434037</v>
      </c>
      <c r="R377">
        <v>1706</v>
      </c>
      <c r="S377">
        <v>246</v>
      </c>
      <c r="T377">
        <f>S377/(S377+R377)</f>
        <v>0.12602459016393441</v>
      </c>
      <c r="U377">
        <f t="shared" ref="U377:U417" si="31">-4.0638-2.533*T377</f>
        <v>-4.3830202868852455</v>
      </c>
      <c r="V377">
        <f>L377-(SUM(R377:S377)*U377)</f>
        <v>149.27448399999957</v>
      </c>
      <c r="W377">
        <f>V377/(2*O377*Q377)</f>
        <v>8.7860426257162144E-2</v>
      </c>
      <c r="X377">
        <f>W377*16.02</f>
        <v>1.4075240286397375</v>
      </c>
    </row>
    <row r="378" spans="10:25" x14ac:dyDescent="0.2">
      <c r="K378">
        <v>867.60108400000001</v>
      </c>
      <c r="L378">
        <v>-8349.3123689999993</v>
      </c>
      <c r="M378">
        <v>79567.739340999993</v>
      </c>
      <c r="N378">
        <v>-0.96889499999999995</v>
      </c>
      <c r="O378">
        <v>31.041941999999999</v>
      </c>
      <c r="P378">
        <v>93.312810999999996</v>
      </c>
      <c r="Q378">
        <v>27.469497</v>
      </c>
      <c r="R378">
        <v>1727</v>
      </c>
      <c r="S378">
        <v>225</v>
      </c>
      <c r="T378">
        <f>S378/(S378+R378)</f>
        <v>0.11526639344262295</v>
      </c>
      <c r="U378">
        <f t="shared" si="31"/>
        <v>-4.3557697745901631</v>
      </c>
      <c r="V378">
        <f>L378-(SUM(R378:S378)*U378)</f>
        <v>153.15023099999962</v>
      </c>
      <c r="W378">
        <f>V378/(2*O378*Q378)</f>
        <v>8.9802426237590049E-2</v>
      </c>
      <c r="X378">
        <f>W378*16.02</f>
        <v>1.4386348683261925</v>
      </c>
    </row>
    <row r="379" spans="10:25" x14ac:dyDescent="0.2">
      <c r="K379">
        <v>867.479107</v>
      </c>
      <c r="L379">
        <v>-8372.2305849999993</v>
      </c>
      <c r="M379">
        <v>79218.667597000007</v>
      </c>
      <c r="N379">
        <v>-1.0484039999999999</v>
      </c>
      <c r="O379">
        <v>30.978968999999999</v>
      </c>
      <c r="P379">
        <v>92.974023000000003</v>
      </c>
      <c r="Q379">
        <v>27.504442999999998</v>
      </c>
      <c r="R379">
        <v>1721</v>
      </c>
      <c r="S379">
        <v>231</v>
      </c>
      <c r="T379">
        <f>S379/(S379+R379)</f>
        <v>0.11834016393442623</v>
      </c>
      <c r="U379">
        <f t="shared" si="31"/>
        <v>-4.3635556352459011</v>
      </c>
      <c r="V379">
        <f>L379-(SUM(R379:S379)*U379)</f>
        <v>145.43001499999991</v>
      </c>
      <c r="W379">
        <f>V379/(2*O379*Q379)</f>
        <v>8.5340314464458264E-2</v>
      </c>
      <c r="X379">
        <f>W379*16.02</f>
        <v>1.3671518377206213</v>
      </c>
    </row>
    <row r="380" spans="10:25" x14ac:dyDescent="0.2">
      <c r="K380">
        <v>867.39921700000002</v>
      </c>
      <c r="L380">
        <v>-8340.4004330000007</v>
      </c>
      <c r="M380">
        <v>79573.079693000007</v>
      </c>
      <c r="N380">
        <v>-0.96704100000000004</v>
      </c>
      <c r="O380">
        <v>31.015440000000002</v>
      </c>
      <c r="P380">
        <v>93.329262999999997</v>
      </c>
      <c r="Q380">
        <v>27.489936</v>
      </c>
      <c r="R380">
        <v>1733</v>
      </c>
      <c r="S380">
        <v>219</v>
      </c>
      <c r="T380">
        <f>S380/(S380+R380)</f>
        <v>0.11219262295081968</v>
      </c>
      <c r="U380">
        <f t="shared" si="31"/>
        <v>-4.3479839139344261</v>
      </c>
      <c r="V380">
        <f>L380-(SUM(R380:S380)*U380)</f>
        <v>146.86416699999972</v>
      </c>
      <c r="W380">
        <f>V380/(2*O380*Q380)</f>
        <v>8.6125979729764365E-2</v>
      </c>
      <c r="X380">
        <f>W380*16.02</f>
        <v>1.3797381952708252</v>
      </c>
    </row>
    <row r="381" spans="10:25" x14ac:dyDescent="0.2">
      <c r="K381">
        <v>867.55021299999999</v>
      </c>
      <c r="L381">
        <v>-8339.8246600000002</v>
      </c>
      <c r="M381">
        <v>79811.266210999995</v>
      </c>
      <c r="N381">
        <v>-0.959677</v>
      </c>
      <c r="O381">
        <v>31.006460000000001</v>
      </c>
      <c r="P381">
        <v>93.526488999999998</v>
      </c>
      <c r="Q381">
        <v>27.522027000000001</v>
      </c>
      <c r="R381">
        <v>1733</v>
      </c>
      <c r="S381">
        <v>219</v>
      </c>
      <c r="T381">
        <f>S381/(S381+R381)</f>
        <v>0.11219262295081968</v>
      </c>
      <c r="U381">
        <f t="shared" si="31"/>
        <v>-4.3479839139344261</v>
      </c>
      <c r="V381">
        <f>L381-(SUM(R381:S381)*U381)</f>
        <v>147.43994000000021</v>
      </c>
      <c r="W381">
        <f>V381/(2*O381*Q381)</f>
        <v>8.6387826517088817E-2</v>
      </c>
      <c r="X381">
        <f>W381*16.02</f>
        <v>1.3839329808037628</v>
      </c>
    </row>
    <row r="382" spans="10:25" x14ac:dyDescent="0.2">
      <c r="X382" s="1">
        <f>AVERAGE(X377:X381)</f>
        <v>1.3953963821522279</v>
      </c>
      <c r="Y382">
        <f>STDEV(X377:X381)</f>
        <v>2.8244420568406294E-2</v>
      </c>
    </row>
    <row r="383" spans="10:25" x14ac:dyDescent="0.2">
      <c r="J383" t="s">
        <v>27</v>
      </c>
      <c r="K383">
        <v>929.62316299999998</v>
      </c>
      <c r="L383">
        <v>-6331.740769</v>
      </c>
      <c r="M383">
        <v>59679.255101000002</v>
      </c>
      <c r="N383">
        <v>-1.5570200000000001</v>
      </c>
      <c r="O383">
        <v>32.821461999999997</v>
      </c>
      <c r="P383">
        <v>132.073183</v>
      </c>
      <c r="Q383">
        <v>13.767500999999999</v>
      </c>
      <c r="R383">
        <v>1280</v>
      </c>
      <c r="S383">
        <v>184</v>
      </c>
      <c r="T383">
        <f>S383/(S383+R383)</f>
        <v>0.12568306010928962</v>
      </c>
      <c r="U383">
        <f t="shared" si="31"/>
        <v>-4.38215519125683</v>
      </c>
      <c r="V383">
        <f>L383-(SUM(R383:S383)*U383)</f>
        <v>83.734430999998949</v>
      </c>
      <c r="W383">
        <f>V383/(2*O383*Q383)</f>
        <v>9.2653331303572034E-2</v>
      </c>
      <c r="X383">
        <f>W383*16.02</f>
        <v>1.484306367483224</v>
      </c>
    </row>
    <row r="384" spans="10:25" x14ac:dyDescent="0.2">
      <c r="K384">
        <v>929.47945000000004</v>
      </c>
      <c r="L384">
        <v>-6298.0734270000003</v>
      </c>
      <c r="M384">
        <v>59907.832395999998</v>
      </c>
      <c r="N384">
        <v>-1.450763</v>
      </c>
      <c r="O384">
        <v>32.853794000000001</v>
      </c>
      <c r="P384">
        <v>132.159325</v>
      </c>
      <c r="Q384">
        <v>13.797656999999999</v>
      </c>
      <c r="R384">
        <v>1294</v>
      </c>
      <c r="S384">
        <v>170</v>
      </c>
      <c r="T384">
        <f>S384/(S384+R384)</f>
        <v>0.11612021857923498</v>
      </c>
      <c r="U384">
        <f t="shared" si="31"/>
        <v>-4.3579325136612015</v>
      </c>
      <c r="V384">
        <f>L384-(SUM(R384:S384)*U384)</f>
        <v>81.93977299999915</v>
      </c>
      <c r="W384">
        <f>V384/(2*O384*Q384)</f>
        <v>9.0380322490880349E-2</v>
      </c>
      <c r="X384">
        <f>W384*16.02</f>
        <v>1.4478927663039032</v>
      </c>
    </row>
    <row r="385" spans="10:25" x14ac:dyDescent="0.2">
      <c r="K385">
        <v>929.32225700000004</v>
      </c>
      <c r="L385">
        <v>-6301.3041199999998</v>
      </c>
      <c r="M385">
        <v>59791.766265999999</v>
      </c>
      <c r="N385">
        <v>-1.3046800000000001</v>
      </c>
      <c r="O385">
        <v>32.846758000000001</v>
      </c>
      <c r="P385">
        <v>132.087582</v>
      </c>
      <c r="Q385">
        <v>13.781357</v>
      </c>
      <c r="R385">
        <v>1293</v>
      </c>
      <c r="S385">
        <v>171</v>
      </c>
      <c r="T385">
        <f>S385/(S385+R385)</f>
        <v>0.11680327868852459</v>
      </c>
      <c r="U385">
        <f t="shared" si="31"/>
        <v>-4.3596627049180325</v>
      </c>
      <c r="V385">
        <f>L385-(SUM(R385:S385)*U385)</f>
        <v>81.242079999999987</v>
      </c>
      <c r="W385">
        <f>V385/(2*O385*Q385)</f>
        <v>8.9735966419447949E-2</v>
      </c>
      <c r="X385">
        <f>W385*16.02</f>
        <v>1.4375701820395561</v>
      </c>
    </row>
    <row r="386" spans="10:25" x14ac:dyDescent="0.2">
      <c r="K386">
        <v>929.76595899999995</v>
      </c>
      <c r="L386">
        <v>-6284.4097229999998</v>
      </c>
      <c r="M386">
        <v>59876.283857000002</v>
      </c>
      <c r="N386">
        <v>-1.4668239999999999</v>
      </c>
      <c r="O386">
        <v>32.83822</v>
      </c>
      <c r="P386">
        <v>132.080702</v>
      </c>
      <c r="Q386">
        <v>13.805107</v>
      </c>
      <c r="R386">
        <v>1300</v>
      </c>
      <c r="S386">
        <v>164</v>
      </c>
      <c r="T386">
        <f>S386/(S386+R386)</f>
        <v>0.11202185792349727</v>
      </c>
      <c r="U386">
        <f t="shared" si="31"/>
        <v>-4.3475513661202179</v>
      </c>
      <c r="V386">
        <f>L386-(SUM(R386:S386)*U386)</f>
        <v>80.405476999999337</v>
      </c>
      <c r="W386">
        <f>V386/(2*O386*Q386)</f>
        <v>8.8682157818124482E-2</v>
      </c>
      <c r="X386">
        <f>W386*16.02</f>
        <v>1.4206881682463541</v>
      </c>
    </row>
    <row r="387" spans="10:25" x14ac:dyDescent="0.2">
      <c r="K387">
        <v>930.09448799999996</v>
      </c>
      <c r="L387">
        <v>-6276.3883239999996</v>
      </c>
      <c r="M387">
        <v>60018.699334999998</v>
      </c>
      <c r="N387">
        <v>-1.2710090000000001</v>
      </c>
      <c r="O387">
        <v>32.879640999999999</v>
      </c>
      <c r="P387">
        <v>132.40705700000001</v>
      </c>
      <c r="Q387">
        <v>13.786472</v>
      </c>
      <c r="R387">
        <v>1304</v>
      </c>
      <c r="S387">
        <v>160</v>
      </c>
      <c r="T387">
        <f>S387/(S387+R387)</f>
        <v>0.10928961748633879</v>
      </c>
      <c r="U387">
        <f t="shared" si="31"/>
        <v>-4.3406306010928954</v>
      </c>
      <c r="V387">
        <f>L387-(SUM(R387:S387)*U387)</f>
        <v>78.294875999999022</v>
      </c>
      <c r="W387">
        <f>V387/(2*O387*Q387)</f>
        <v>8.63620881989349E-2</v>
      </c>
      <c r="X387">
        <f>W387*16.02</f>
        <v>1.383520652946937</v>
      </c>
    </row>
    <row r="388" spans="10:25" x14ac:dyDescent="0.2">
      <c r="X388" s="1">
        <f>AVERAGE(X383:X387)</f>
        <v>1.4347956274039948</v>
      </c>
      <c r="Y388">
        <f>STDEV(X383:X387)</f>
        <v>3.6941473960301799E-2</v>
      </c>
    </row>
    <row r="389" spans="10:25" x14ac:dyDescent="0.2">
      <c r="J389" t="s">
        <v>28</v>
      </c>
      <c r="K389">
        <v>929.84321799999998</v>
      </c>
      <c r="L389">
        <v>-5472.7960489999996</v>
      </c>
      <c r="M389">
        <v>51471.332783999998</v>
      </c>
      <c r="N389">
        <v>-1.534186</v>
      </c>
      <c r="O389">
        <v>35.196300999999998</v>
      </c>
      <c r="P389">
        <v>141.79915500000001</v>
      </c>
      <c r="Q389">
        <v>10.31343</v>
      </c>
      <c r="R389">
        <v>1095</v>
      </c>
      <c r="S389">
        <v>165</v>
      </c>
      <c r="T389">
        <f>S389/(S389+R389)</f>
        <v>0.13095238095238096</v>
      </c>
      <c r="U389">
        <f t="shared" si="31"/>
        <v>-4.3955023809523803</v>
      </c>
      <c r="V389">
        <f>L389-(SUM(R389:S389)*U389)</f>
        <v>65.536951000000045</v>
      </c>
      <c r="W389">
        <f>V389/(2*O389*Q389)</f>
        <v>9.0272628594553275E-2</v>
      </c>
      <c r="X389">
        <f>W389*16.02</f>
        <v>1.4461675100847435</v>
      </c>
    </row>
    <row r="390" spans="10:25" x14ac:dyDescent="0.2">
      <c r="K390">
        <v>930.07999299999994</v>
      </c>
      <c r="L390">
        <v>-5436.3044280000004</v>
      </c>
      <c r="M390">
        <v>51792.242582999999</v>
      </c>
      <c r="N390">
        <v>-1.8040750000000001</v>
      </c>
      <c r="O390">
        <v>35.271920000000001</v>
      </c>
      <c r="P390">
        <v>142.36079699999999</v>
      </c>
      <c r="Q390">
        <v>10.314574</v>
      </c>
      <c r="R390">
        <v>1111</v>
      </c>
      <c r="S390">
        <v>149</v>
      </c>
      <c r="T390">
        <f>S390/(S390+R390)</f>
        <v>0.11825396825396825</v>
      </c>
      <c r="U390">
        <f t="shared" si="31"/>
        <v>-4.3633373015873014</v>
      </c>
      <c r="V390">
        <f>L390-(SUM(R390:S390)*U390)</f>
        <v>61.500571999999011</v>
      </c>
      <c r="W390">
        <f>V390/(2*O390*Q390)</f>
        <v>8.4521804918525109E-2</v>
      </c>
      <c r="X390">
        <f>W390*16.02</f>
        <v>1.3540393147947722</v>
      </c>
    </row>
    <row r="391" spans="10:25" x14ac:dyDescent="0.2">
      <c r="K391">
        <v>929.95651299999997</v>
      </c>
      <c r="L391">
        <v>-5422.1954320000004</v>
      </c>
      <c r="M391">
        <v>51886.490770999997</v>
      </c>
      <c r="N391">
        <v>-1.9523010000000001</v>
      </c>
      <c r="O391">
        <v>35.301672000000003</v>
      </c>
      <c r="P391">
        <v>142.10294099999999</v>
      </c>
      <c r="Q391">
        <v>10.343389999999999</v>
      </c>
      <c r="R391">
        <v>1115</v>
      </c>
      <c r="S391">
        <v>145</v>
      </c>
      <c r="T391">
        <f>S391/(S391+R391)</f>
        <v>0.11507936507936507</v>
      </c>
      <c r="U391">
        <f t="shared" si="31"/>
        <v>-4.3552960317460316</v>
      </c>
      <c r="V391">
        <f>L391-(SUM(R391:S391)*U391)</f>
        <v>65.477567999999337</v>
      </c>
      <c r="W391">
        <f>V391/(2*O391*Q391)</f>
        <v>8.9661163237857389E-2</v>
      </c>
      <c r="X391">
        <f>W391*16.02</f>
        <v>1.4363718350704753</v>
      </c>
    </row>
    <row r="392" spans="10:25" x14ac:dyDescent="0.2">
      <c r="K392">
        <v>929.81122100000005</v>
      </c>
      <c r="L392">
        <v>-5398.5667020000001</v>
      </c>
      <c r="M392">
        <v>52051.368475000003</v>
      </c>
      <c r="N392">
        <v>-1.7530829999999999</v>
      </c>
      <c r="O392">
        <v>35.256354000000002</v>
      </c>
      <c r="P392">
        <v>142.43794600000001</v>
      </c>
      <c r="Q392">
        <v>10.365152999999999</v>
      </c>
      <c r="R392">
        <v>1124</v>
      </c>
      <c r="S392">
        <v>136</v>
      </c>
      <c r="T392">
        <f>S392/(S392+R392)</f>
        <v>0.10793650793650794</v>
      </c>
      <c r="U392">
        <f t="shared" si="31"/>
        <v>-4.3372031746031743</v>
      </c>
      <c r="V392">
        <f>L392-(SUM(R392:S392)*U392)</f>
        <v>66.309297999999217</v>
      </c>
      <c r="W392">
        <f>V392/(2*O392*Q392)</f>
        <v>9.07259071349098E-2</v>
      </c>
      <c r="X392">
        <f>W392*16.02</f>
        <v>1.4534290323012549</v>
      </c>
    </row>
    <row r="393" spans="10:25" x14ac:dyDescent="0.2">
      <c r="K393">
        <v>929.26713099999995</v>
      </c>
      <c r="L393">
        <v>-5411.5178050000004</v>
      </c>
      <c r="M393">
        <v>51921.356844000002</v>
      </c>
      <c r="N393">
        <v>-1.713546</v>
      </c>
      <c r="O393">
        <v>35.257435000000001</v>
      </c>
      <c r="P393">
        <v>142.44411099999999</v>
      </c>
      <c r="Q393">
        <v>10.338495</v>
      </c>
      <c r="R393">
        <v>1119</v>
      </c>
      <c r="S393">
        <v>141</v>
      </c>
      <c r="T393">
        <f>S393/(S393+R393)</f>
        <v>0.11190476190476191</v>
      </c>
      <c r="U393">
        <f t="shared" si="31"/>
        <v>-4.3472547619047619</v>
      </c>
      <c r="V393">
        <f>L393-(SUM(R393:S393)*U393)</f>
        <v>66.02319499999976</v>
      </c>
      <c r="W393">
        <f>V393/(2*O393*Q393)</f>
        <v>9.0564606670241229E-2</v>
      </c>
      <c r="X393">
        <f>W393*16.02</f>
        <v>1.4508449988572645</v>
      </c>
    </row>
    <row r="394" spans="10:25" x14ac:dyDescent="0.2">
      <c r="X394" s="1">
        <f>AVERAGE(X389:X393)</f>
        <v>1.428170538221702</v>
      </c>
      <c r="Y394">
        <f>STDEV(X389:X393)</f>
        <v>4.194851976320102E-2</v>
      </c>
    </row>
    <row r="395" spans="10:25" x14ac:dyDescent="0.2">
      <c r="J395" t="s">
        <v>55</v>
      </c>
      <c r="K395">
        <v>867.48651600000005</v>
      </c>
      <c r="L395">
        <v>-8558.7569600000006</v>
      </c>
      <c r="M395">
        <v>81514.946798000004</v>
      </c>
      <c r="N395">
        <v>-1.113691</v>
      </c>
      <c r="O395">
        <v>31.245401000000001</v>
      </c>
      <c r="P395">
        <v>189.151015</v>
      </c>
      <c r="Q395">
        <v>13.792612999999999</v>
      </c>
      <c r="R395">
        <v>1737</v>
      </c>
      <c r="S395">
        <v>239</v>
      </c>
      <c r="T395">
        <f>S395/(S395+R395)</f>
        <v>0.12095141700404859</v>
      </c>
      <c r="U395">
        <f>-4.0638-2.533*T395</f>
        <v>-4.3701699392712543</v>
      </c>
      <c r="V395">
        <f>L395-(SUM(R395:S395)*U395)</f>
        <v>76.69883999999729</v>
      </c>
      <c r="W395">
        <f>V395/(2*O395*Q395)</f>
        <v>8.8986914112709606E-2</v>
      </c>
      <c r="X395">
        <f>W395*16.02</f>
        <v>1.4255703640856079</v>
      </c>
    </row>
    <row r="396" spans="10:25" x14ac:dyDescent="0.2">
      <c r="K396">
        <v>867.41074600000002</v>
      </c>
      <c r="L396">
        <v>-8477.1673250000003</v>
      </c>
      <c r="M396">
        <v>82041.128616999995</v>
      </c>
      <c r="N396">
        <v>-0.97716499999999995</v>
      </c>
      <c r="O396">
        <v>31.285619000000001</v>
      </c>
      <c r="P396">
        <v>189.50211400000001</v>
      </c>
      <c r="Q396">
        <v>13.838132999999999</v>
      </c>
      <c r="R396">
        <v>1769</v>
      </c>
      <c r="S396">
        <v>207</v>
      </c>
      <c r="T396">
        <f>S396/(S396+R396)</f>
        <v>0.10475708502024292</v>
      </c>
      <c r="U396">
        <f>-4.0638-2.533*T396</f>
        <v>-4.329149696356275</v>
      </c>
      <c r="V396">
        <f>L396-(SUM(R396:S396)*U396)</f>
        <v>77.232474999998885</v>
      </c>
      <c r="W396">
        <f>V396/(2*O396*Q396)</f>
        <v>8.9196477623583306E-2</v>
      </c>
      <c r="X396">
        <f>W396*16.02</f>
        <v>1.4289275715298044</v>
      </c>
    </row>
    <row r="397" spans="10:25" x14ac:dyDescent="0.2">
      <c r="K397">
        <v>867.60386900000003</v>
      </c>
      <c r="L397">
        <v>-8544.9661090000009</v>
      </c>
      <c r="M397">
        <v>81822.677645999996</v>
      </c>
      <c r="N397">
        <v>-0.94338699999999998</v>
      </c>
      <c r="O397">
        <v>31.243614000000001</v>
      </c>
      <c r="P397">
        <v>189.39417700000001</v>
      </c>
      <c r="Q397">
        <v>13.827712</v>
      </c>
      <c r="R397">
        <v>1741</v>
      </c>
      <c r="S397">
        <v>235</v>
      </c>
      <c r="T397">
        <f>S397/(S397+R397)</f>
        <v>0.11892712550607287</v>
      </c>
      <c r="U397">
        <f>-4.0638-2.533*T397</f>
        <v>-4.3650424089068824</v>
      </c>
      <c r="V397">
        <f>L397-(SUM(R397:S397)*U397)</f>
        <v>80.357690999999249</v>
      </c>
      <c r="W397">
        <f>V397/(2*O397*Q397)</f>
        <v>9.3000624382425831E-2</v>
      </c>
      <c r="X397">
        <f>W397*16.02</f>
        <v>1.4898700026064617</v>
      </c>
    </row>
    <row r="398" spans="10:25" x14ac:dyDescent="0.2">
      <c r="K398">
        <v>867.61717099999998</v>
      </c>
      <c r="L398">
        <v>-8551.3909469999999</v>
      </c>
      <c r="M398">
        <v>81773.107973000006</v>
      </c>
      <c r="N398">
        <v>-0.93055699999999997</v>
      </c>
      <c r="O398">
        <v>31.266241999999998</v>
      </c>
      <c r="P398">
        <v>189.809482</v>
      </c>
      <c r="Q398">
        <v>13.779127000000001</v>
      </c>
      <c r="R398">
        <v>1741</v>
      </c>
      <c r="S398">
        <v>235</v>
      </c>
      <c r="T398">
        <f>S398/(S398+R398)</f>
        <v>0.11892712550607287</v>
      </c>
      <c r="U398">
        <f>-4.0638-2.533*T398</f>
        <v>-4.3650424089068824</v>
      </c>
      <c r="V398">
        <f>L398-(SUM(R398:S398)*U398)</f>
        <v>73.93285300000025</v>
      </c>
      <c r="W398">
        <f>V398/(2*O398*Q398)</f>
        <v>8.580450335309657E-2</v>
      </c>
      <c r="X398">
        <f>W398*16.02</f>
        <v>1.374588143716607</v>
      </c>
    </row>
    <row r="399" spans="10:25" x14ac:dyDescent="0.2">
      <c r="K399">
        <v>867.74835199999995</v>
      </c>
      <c r="L399">
        <v>-8474.0830490000008</v>
      </c>
      <c r="M399">
        <v>82125.655822000001</v>
      </c>
      <c r="N399">
        <v>-1.0487470000000001</v>
      </c>
      <c r="O399">
        <v>31.329476</v>
      </c>
      <c r="P399">
        <v>189.41840400000001</v>
      </c>
      <c r="Q399">
        <v>13.839091</v>
      </c>
      <c r="R399">
        <v>1770</v>
      </c>
      <c r="S399">
        <v>206</v>
      </c>
      <c r="T399">
        <f>S399/(S399+R399)</f>
        <v>0.10425101214574899</v>
      </c>
      <c r="U399">
        <f>-4.0638-2.533*T399</f>
        <v>-4.3278678137651818</v>
      </c>
      <c r="V399">
        <f>L399-(SUM(R399:S399)*U399)</f>
        <v>77.783750999999029</v>
      </c>
      <c r="W399">
        <f>V399/(2*O399*Q399)</f>
        <v>8.9701187116015144E-2</v>
      </c>
      <c r="X399">
        <f>W399*16.02</f>
        <v>1.4370130175985625</v>
      </c>
    </row>
    <row r="400" spans="10:25" x14ac:dyDescent="0.2">
      <c r="X400" s="1">
        <f>AVERAGE(X395:X399)</f>
        <v>1.4311938199074086</v>
      </c>
      <c r="Y400">
        <f>STDEV(X395:X399)</f>
        <v>4.0980846721389304E-2</v>
      </c>
    </row>
    <row r="401" spans="10:25" x14ac:dyDescent="0.2">
      <c r="J401">
        <v>100</v>
      </c>
      <c r="K401">
        <v>929.596495</v>
      </c>
      <c r="L401">
        <v>-20274.178768000002</v>
      </c>
      <c r="M401">
        <v>106073.329547</v>
      </c>
      <c r="N401">
        <v>-1.111054</v>
      </c>
      <c r="O401">
        <v>27.59516</v>
      </c>
      <c r="P401">
        <v>27.665106999999999</v>
      </c>
      <c r="Q401">
        <v>138.94510299999999</v>
      </c>
      <c r="R401">
        <v>4110</v>
      </c>
      <c r="S401">
        <v>562</v>
      </c>
      <c r="T401">
        <f>S401/(S401+R401)</f>
        <v>0.12029109589041095</v>
      </c>
      <c r="U401">
        <f t="shared" si="31"/>
        <v>-4.3684973458904102</v>
      </c>
      <c r="V401">
        <f>L401-(SUM(R401:S401)*U401)</f>
        <v>135.44083199999295</v>
      </c>
      <c r="W401">
        <f>V401/(2*O401*P401)</f>
        <v>8.8706275816386237E-2</v>
      </c>
      <c r="X401">
        <f>W401*16.02</f>
        <v>1.4210745385785075</v>
      </c>
    </row>
    <row r="402" spans="10:25" x14ac:dyDescent="0.2">
      <c r="K402">
        <v>929.82660999999996</v>
      </c>
      <c r="L402">
        <v>-20225.47697</v>
      </c>
      <c r="M402">
        <v>106279.83801199999</v>
      </c>
      <c r="N402">
        <v>-0.71491199999999999</v>
      </c>
      <c r="O402">
        <v>27.653538999999999</v>
      </c>
      <c r="P402">
        <v>27.653255999999999</v>
      </c>
      <c r="Q402">
        <v>138.98108099999999</v>
      </c>
      <c r="R402">
        <v>4128</v>
      </c>
      <c r="S402">
        <v>544</v>
      </c>
      <c r="T402">
        <f>S402/(S402+R402)</f>
        <v>0.11643835616438356</v>
      </c>
      <c r="U402">
        <f t="shared" si="31"/>
        <v>-4.3587383561643831</v>
      </c>
      <c r="V402">
        <f>L402-(SUM(R402:S402)*U402)</f>
        <v>138.5486299999975</v>
      </c>
      <c r="W402">
        <f>V402/(2*O402*P402)</f>
        <v>9.0588954471381725E-2</v>
      </c>
      <c r="X402">
        <f>W402*16.02</f>
        <v>1.4512350506315352</v>
      </c>
    </row>
    <row r="403" spans="10:25" x14ac:dyDescent="0.2">
      <c r="K403">
        <v>929.51796999999999</v>
      </c>
      <c r="L403">
        <v>-20223.507632000001</v>
      </c>
      <c r="M403">
        <v>106300.254371</v>
      </c>
      <c r="N403">
        <v>-0.89316300000000004</v>
      </c>
      <c r="O403">
        <v>27.660081999999999</v>
      </c>
      <c r="P403">
        <v>27.640187999999998</v>
      </c>
      <c r="Q403">
        <v>139.04054600000001</v>
      </c>
      <c r="R403">
        <v>4129</v>
      </c>
      <c r="S403">
        <v>543</v>
      </c>
      <c r="T403">
        <f>S403/(S403+R403)</f>
        <v>0.11622431506849315</v>
      </c>
      <c r="U403">
        <f t="shared" si="31"/>
        <v>-4.3581961900684929</v>
      </c>
      <c r="V403">
        <f>L403-(SUM(R403:S403)*U403)</f>
        <v>137.98496799999702</v>
      </c>
      <c r="W403">
        <f>V403/(2*O403*P403)</f>
        <v>9.0241711954352863E-2</v>
      </c>
      <c r="X403">
        <f>W403*16.02</f>
        <v>1.4456722255087329</v>
      </c>
    </row>
    <row r="404" spans="10:25" x14ac:dyDescent="0.2">
      <c r="K404">
        <v>929.51541799999995</v>
      </c>
      <c r="L404">
        <v>-20222.643341999999</v>
      </c>
      <c r="M404">
        <v>106344.031049</v>
      </c>
      <c r="N404">
        <v>-0.84343699999999999</v>
      </c>
      <c r="O404">
        <v>27.657629</v>
      </c>
      <c r="P404">
        <v>27.635876</v>
      </c>
      <c r="Q404">
        <v>139.13182399999999</v>
      </c>
      <c r="R404">
        <v>4133</v>
      </c>
      <c r="S404">
        <v>539</v>
      </c>
      <c r="T404">
        <f>S404/(S404+R404)</f>
        <v>0.1153681506849315</v>
      </c>
      <c r="U404">
        <f t="shared" si="31"/>
        <v>-4.3560275256849312</v>
      </c>
      <c r="V404">
        <f>L404-(SUM(R404:S404)*U404)</f>
        <v>128.71725800000058</v>
      </c>
      <c r="W404">
        <f>V404/(2*O404*P404)</f>
        <v>8.4201262230849061E-2</v>
      </c>
      <c r="X404">
        <f>W404*16.02</f>
        <v>1.3489042209382018</v>
      </c>
    </row>
    <row r="405" spans="10:25" x14ac:dyDescent="0.2">
      <c r="K405">
        <v>929.84418000000005</v>
      </c>
      <c r="L405">
        <v>-20168.8436</v>
      </c>
      <c r="M405">
        <v>106676.229498</v>
      </c>
      <c r="N405">
        <v>-0.77759599999999995</v>
      </c>
      <c r="O405">
        <v>27.686896000000001</v>
      </c>
      <c r="P405">
        <v>27.657962000000001</v>
      </c>
      <c r="Q405">
        <v>139.30780899999999</v>
      </c>
      <c r="R405">
        <v>4151</v>
      </c>
      <c r="S405">
        <v>521</v>
      </c>
      <c r="T405">
        <f>S405/(S405+R405)</f>
        <v>0.1115154109589041</v>
      </c>
      <c r="U405">
        <f t="shared" si="31"/>
        <v>-4.3462685359589042</v>
      </c>
      <c r="V405">
        <f>L405-(SUM(R405:S405)*U405)</f>
        <v>136.92299999999886</v>
      </c>
      <c r="W405">
        <f>V405/(2*O405*P405)</f>
        <v>8.9402973894264923E-2</v>
      </c>
      <c r="X405">
        <f>W405*16.02</f>
        <v>1.4322356417861239</v>
      </c>
    </row>
    <row r="406" spans="10:25" x14ac:dyDescent="0.2">
      <c r="X406" s="1">
        <f>AVERAGE(X401:X405)</f>
        <v>1.4198243354886204</v>
      </c>
      <c r="Y406">
        <f>STDEV(X401:X405)</f>
        <v>4.1352184416007805E-2</v>
      </c>
    </row>
    <row r="407" spans="10:25" x14ac:dyDescent="0.2">
      <c r="J407">
        <v>110</v>
      </c>
      <c r="K407">
        <v>867.63226999999995</v>
      </c>
      <c r="L407">
        <v>-7843.0272619999996</v>
      </c>
      <c r="M407">
        <v>41276.839371000002</v>
      </c>
      <c r="N407">
        <v>-1.9687190000000001</v>
      </c>
      <c r="O407">
        <v>97.922321999999994</v>
      </c>
      <c r="P407">
        <v>24.484290999999999</v>
      </c>
      <c r="Q407">
        <v>17.216311999999999</v>
      </c>
      <c r="R407">
        <v>1566</v>
      </c>
      <c r="S407">
        <v>234</v>
      </c>
      <c r="T407">
        <f>S407/(S407+R407)</f>
        <v>0.13</v>
      </c>
      <c r="U407">
        <f t="shared" si="31"/>
        <v>-4.3930899999999999</v>
      </c>
      <c r="V407">
        <f>L407-(SUM(R407:S407)*U407)</f>
        <v>64.534738000000289</v>
      </c>
      <c r="W407">
        <f>V407/(2*Q407*P407)</f>
        <v>7.6548361392993119E-2</v>
      </c>
      <c r="X407">
        <f>W407*16.02</f>
        <v>1.2263047495157497</v>
      </c>
    </row>
    <row r="408" spans="10:25" x14ac:dyDescent="0.2">
      <c r="K408">
        <v>867.91016300000001</v>
      </c>
      <c r="L408">
        <v>-7758.8232360000002</v>
      </c>
      <c r="M408">
        <v>41625.406585999997</v>
      </c>
      <c r="N408">
        <v>-2.005585</v>
      </c>
      <c r="O408">
        <v>98.312312000000006</v>
      </c>
      <c r="P408">
        <v>24.545045000000002</v>
      </c>
      <c r="Q408">
        <v>17.250017</v>
      </c>
      <c r="R408">
        <v>1599</v>
      </c>
      <c r="S408">
        <v>201</v>
      </c>
      <c r="T408">
        <f>S408/(S408+R408)</f>
        <v>0.11166666666666666</v>
      </c>
      <c r="U408">
        <f t="shared" si="31"/>
        <v>-4.3466516666666664</v>
      </c>
      <c r="V408">
        <f>L408-(SUM(R408:S408)*U408)</f>
        <v>65.149763999998868</v>
      </c>
      <c r="W408">
        <f>V408/(2*Q408*P408)</f>
        <v>7.6935980174111906E-2</v>
      </c>
      <c r="X408">
        <f>W408*16.02</f>
        <v>1.2325144023892727</v>
      </c>
    </row>
    <row r="409" spans="10:25" x14ac:dyDescent="0.2">
      <c r="K409">
        <v>867.577988</v>
      </c>
      <c r="L409">
        <v>-7793.3088109999999</v>
      </c>
      <c r="M409">
        <v>41468.380148999997</v>
      </c>
      <c r="N409">
        <v>-1.794187</v>
      </c>
      <c r="O409">
        <v>98.159841</v>
      </c>
      <c r="P409">
        <v>24.525366000000002</v>
      </c>
      <c r="Q409">
        <v>17.225421000000001</v>
      </c>
      <c r="R409">
        <v>1586</v>
      </c>
      <c r="S409">
        <v>214</v>
      </c>
      <c r="T409">
        <f>S409/(S409+R409)</f>
        <v>0.11888888888888889</v>
      </c>
      <c r="U409">
        <f t="shared" si="31"/>
        <v>-4.364945555555555</v>
      </c>
      <c r="V409">
        <f>L409-(SUM(R409:S409)*U409)</f>
        <v>63.593188999999256</v>
      </c>
      <c r="W409">
        <f>V409/(2*Q409*P409)</f>
        <v>7.5265381279793486E-2</v>
      </c>
      <c r="X409">
        <f>W409*16.02</f>
        <v>1.2057514081022915</v>
      </c>
    </row>
    <row r="410" spans="10:25" x14ac:dyDescent="0.2">
      <c r="K410">
        <v>867.58291599999995</v>
      </c>
      <c r="L410">
        <v>-7745.7151199999998</v>
      </c>
      <c r="M410">
        <v>41674.198396</v>
      </c>
      <c r="N410">
        <v>-1.70814</v>
      </c>
      <c r="O410">
        <v>98.403882999999993</v>
      </c>
      <c r="P410">
        <v>24.558975</v>
      </c>
      <c r="Q410">
        <v>17.244392000000001</v>
      </c>
      <c r="R410">
        <v>1604</v>
      </c>
      <c r="S410">
        <v>196</v>
      </c>
      <c r="T410">
        <f>S410/(S410+R410)</f>
        <v>0.10888888888888888</v>
      </c>
      <c r="U410">
        <f t="shared" si="31"/>
        <v>-4.3396155555555556</v>
      </c>
      <c r="V410">
        <f>L410-(SUM(R410:S410)*U410)</f>
        <v>65.59288000000015</v>
      </c>
      <c r="W410">
        <f>V410/(2*Q410*P410)</f>
        <v>7.7440577075468059E-2</v>
      </c>
      <c r="X410">
        <f>W410*16.02</f>
        <v>1.2405980447489984</v>
      </c>
    </row>
    <row r="411" spans="10:25" x14ac:dyDescent="0.2">
      <c r="K411">
        <v>867.773234</v>
      </c>
      <c r="L411">
        <v>-7763.9837610000004</v>
      </c>
      <c r="M411">
        <v>41609.543322999998</v>
      </c>
      <c r="N411">
        <v>-1.6765000000000001</v>
      </c>
      <c r="O411">
        <v>98.296199999999999</v>
      </c>
      <c r="P411">
        <v>24.539823999999999</v>
      </c>
      <c r="Q411">
        <v>17.249946000000001</v>
      </c>
      <c r="R411">
        <v>1597</v>
      </c>
      <c r="S411">
        <v>203</v>
      </c>
      <c r="T411">
        <f>S411/(S411+R411)</f>
        <v>0.11277777777777778</v>
      </c>
      <c r="U411">
        <f t="shared" si="31"/>
        <v>-4.349466111111111</v>
      </c>
      <c r="V411">
        <f>L411-(SUM(R411:S411)*U411)</f>
        <v>65.055238999999347</v>
      </c>
      <c r="W411">
        <f>V411/(2*Q411*P411)</f>
        <v>7.6841015828009784E-2</v>
      </c>
      <c r="X411">
        <f>W411*16.02</f>
        <v>1.2309930735647168</v>
      </c>
    </row>
    <row r="412" spans="10:25" x14ac:dyDescent="0.2">
      <c r="X412" s="1">
        <f>AVERAGE(X407:X411)</f>
        <v>1.2272323356642059</v>
      </c>
      <c r="Y412">
        <f>STDEV(X407:X411)</f>
        <v>1.3066906890755754E-2</v>
      </c>
    </row>
    <row r="413" spans="10:25" x14ac:dyDescent="0.2">
      <c r="J413">
        <v>111</v>
      </c>
      <c r="K413">
        <v>867.48281199999997</v>
      </c>
      <c r="L413">
        <v>-11748.72781</v>
      </c>
      <c r="M413">
        <v>63634.895644999997</v>
      </c>
      <c r="N413">
        <v>-1.2301789999999999</v>
      </c>
      <c r="O413">
        <v>95.932168000000004</v>
      </c>
      <c r="P413">
        <v>19.573706000000001</v>
      </c>
      <c r="Q413">
        <v>33.889001</v>
      </c>
      <c r="R413">
        <v>2374</v>
      </c>
      <c r="S413">
        <v>337</v>
      </c>
      <c r="T413">
        <f>S413/(S413+R413)</f>
        <v>0.12430837329398746</v>
      </c>
      <c r="U413">
        <f t="shared" si="31"/>
        <v>-4.3786731095536702</v>
      </c>
      <c r="V413">
        <f>L413-(SUM(R413:S413)*U413)</f>
        <v>121.85498999999982</v>
      </c>
      <c r="W413">
        <f>V413/(2*P413*Q413)</f>
        <v>9.185049374605686E-2</v>
      </c>
      <c r="X413">
        <f>W413*16.02</f>
        <v>1.471444909811831</v>
      </c>
    </row>
    <row r="414" spans="10:25" x14ac:dyDescent="0.2">
      <c r="K414">
        <v>867.80629099999999</v>
      </c>
      <c r="L414">
        <v>-11675.256396999999</v>
      </c>
      <c r="M414">
        <v>64048.940586999997</v>
      </c>
      <c r="N414">
        <v>-1.1287879999999999</v>
      </c>
      <c r="O414">
        <v>96.222775999999996</v>
      </c>
      <c r="P414">
        <v>19.609998999999998</v>
      </c>
      <c r="Q414">
        <v>33.943568999999997</v>
      </c>
      <c r="R414">
        <v>2401</v>
      </c>
      <c r="S414">
        <v>310</v>
      </c>
      <c r="T414">
        <f>S414/(S414+R414)</f>
        <v>0.11434894872740686</v>
      </c>
      <c r="U414">
        <f t="shared" si="31"/>
        <v>-4.3534458871265214</v>
      </c>
      <c r="V414">
        <f>L414-(SUM(R414:S414)*U414)</f>
        <v>126.9354029999995</v>
      </c>
      <c r="W414">
        <f>V414/(2*P414*Q414)</f>
        <v>9.5349340751391592E-2</v>
      </c>
      <c r="X414">
        <f>W414*16.02</f>
        <v>1.5274964388372934</v>
      </c>
    </row>
    <row r="415" spans="10:25" x14ac:dyDescent="0.2">
      <c r="K415">
        <v>867.60486600000002</v>
      </c>
      <c r="L415">
        <v>-11725.130381000001</v>
      </c>
      <c r="M415">
        <v>63712.469420000001</v>
      </c>
      <c r="N415">
        <v>-1.1211329999999999</v>
      </c>
      <c r="O415">
        <v>95.971072000000007</v>
      </c>
      <c r="P415">
        <v>19.592399</v>
      </c>
      <c r="Q415">
        <v>33.884202999999999</v>
      </c>
      <c r="R415">
        <v>2385</v>
      </c>
      <c r="S415">
        <v>326</v>
      </c>
      <c r="T415">
        <f>S415/(S415+R415)</f>
        <v>0.12025082995204721</v>
      </c>
      <c r="U415">
        <f t="shared" si="31"/>
        <v>-4.3683953522685348</v>
      </c>
      <c r="V415">
        <f>L415-(SUM(R415:S415)*U415)</f>
        <v>117.58941899999627</v>
      </c>
      <c r="W415">
        <f>V415/(2*P415*Q415)</f>
        <v>8.856321163980406E-2</v>
      </c>
      <c r="X415">
        <f>W415*16.02</f>
        <v>1.418782650469661</v>
      </c>
    </row>
    <row r="416" spans="10:25" x14ac:dyDescent="0.2">
      <c r="K416">
        <v>867.62193100000002</v>
      </c>
      <c r="L416">
        <v>-11680.936078999999</v>
      </c>
      <c r="M416">
        <v>64027.161903</v>
      </c>
      <c r="N416">
        <v>-1.099755</v>
      </c>
      <c r="O416">
        <v>96.261540999999994</v>
      </c>
      <c r="P416">
        <v>19.596708</v>
      </c>
      <c r="Q416">
        <v>33.941367999999997</v>
      </c>
      <c r="R416">
        <v>2402</v>
      </c>
      <c r="S416">
        <v>309</v>
      </c>
      <c r="T416">
        <f>S416/(S416+R416)</f>
        <v>0.11398008115086684</v>
      </c>
      <c r="U416">
        <f t="shared" si="31"/>
        <v>-4.3525115455551457</v>
      </c>
      <c r="V416">
        <f>L416-(SUM(R416:S416)*U416)</f>
        <v>118.72272100000009</v>
      </c>
      <c r="W416">
        <f>V416/(2*P416*Q416)</f>
        <v>8.9246538776320203E-2</v>
      </c>
      <c r="X416">
        <f>W416*16.02</f>
        <v>1.4297295511966497</v>
      </c>
    </row>
    <row r="417" spans="10:25" x14ac:dyDescent="0.2">
      <c r="K417">
        <v>867.89164500000004</v>
      </c>
      <c r="L417">
        <v>-11662.96593</v>
      </c>
      <c r="M417">
        <v>64026.346333000001</v>
      </c>
      <c r="N417">
        <v>-1.175559</v>
      </c>
      <c r="O417">
        <v>96.158646000000005</v>
      </c>
      <c r="P417">
        <v>19.604796</v>
      </c>
      <c r="Q417">
        <v>33.963222999999999</v>
      </c>
      <c r="R417">
        <v>2408</v>
      </c>
      <c r="S417">
        <v>303</v>
      </c>
      <c r="T417">
        <f>S417/(S417+R417)</f>
        <v>0.1117668756916267</v>
      </c>
      <c r="U417">
        <f t="shared" si="31"/>
        <v>-4.3469054961268903</v>
      </c>
      <c r="V417">
        <f>L417-(SUM(R417:S417)*U417)</f>
        <v>121.49486999999863</v>
      </c>
      <c r="W417">
        <f>V417/(2*P417*Q417)</f>
        <v>9.1234000964697817E-2</v>
      </c>
      <c r="X417">
        <f>W417*16.02</f>
        <v>1.4615686954544589</v>
      </c>
    </row>
    <row r="418" spans="10:25" x14ac:dyDescent="0.2">
      <c r="X418" s="1">
        <f>AVERAGE(X413:X417)</f>
        <v>1.4618044491539786</v>
      </c>
      <c r="Y418">
        <f>STDEV(X413:X417)</f>
        <v>4.2685201800689028E-2</v>
      </c>
    </row>
    <row r="420" spans="10:25" x14ac:dyDescent="0.2">
      <c r="J420" t="s">
        <v>69</v>
      </c>
      <c r="K420" t="s">
        <v>74</v>
      </c>
      <c r="W420" t="s">
        <v>25</v>
      </c>
      <c r="X420" t="s">
        <v>24</v>
      </c>
    </row>
    <row r="421" spans="10:25" x14ac:dyDescent="0.2">
      <c r="K421" t="s">
        <v>18</v>
      </c>
      <c r="L421" t="s">
        <v>5</v>
      </c>
      <c r="M421" t="s">
        <v>7</v>
      </c>
      <c r="N421" t="s">
        <v>19</v>
      </c>
      <c r="O421" t="s">
        <v>20</v>
      </c>
      <c r="P421" t="s">
        <v>21</v>
      </c>
      <c r="Q421" t="s">
        <v>22</v>
      </c>
      <c r="R421" t="s">
        <v>4</v>
      </c>
      <c r="S421" t="s">
        <v>10</v>
      </c>
      <c r="T421" t="s">
        <v>13</v>
      </c>
      <c r="U421" t="s">
        <v>26</v>
      </c>
      <c r="V421" t="s">
        <v>12</v>
      </c>
      <c r="W421" t="s">
        <v>23</v>
      </c>
      <c r="X421" t="s">
        <v>23</v>
      </c>
    </row>
    <row r="422" spans="10:25" x14ac:dyDescent="0.2">
      <c r="J422" t="s">
        <v>17</v>
      </c>
      <c r="K422">
        <v>1040.8536099999999</v>
      </c>
      <c r="L422">
        <v>-8340.4176430000007</v>
      </c>
      <c r="M422">
        <v>79715.856788999998</v>
      </c>
      <c r="N422">
        <v>-1.2949059999999999</v>
      </c>
      <c r="O422">
        <v>31.040997000000001</v>
      </c>
      <c r="P422">
        <v>93.469055999999995</v>
      </c>
      <c r="Q422">
        <v>27.475455</v>
      </c>
      <c r="R422">
        <v>1706</v>
      </c>
      <c r="S422">
        <v>246</v>
      </c>
      <c r="T422">
        <f>S422/(S422+R422)</f>
        <v>0.12602459016393441</v>
      </c>
      <c r="U422">
        <f>-4.0355-2.538*T422</f>
        <v>-4.3553504098360651</v>
      </c>
      <c r="V422">
        <f>L422-(SUM(R422:S422)*U422)</f>
        <v>161.22635699999773</v>
      </c>
      <c r="W422">
        <f>V422/(2*O422*Q422)</f>
        <v>9.4520386820737864E-2</v>
      </c>
      <c r="X422">
        <f>W422*16.02</f>
        <v>1.5142165968682206</v>
      </c>
    </row>
    <row r="423" spans="10:25" x14ac:dyDescent="0.2">
      <c r="K423">
        <v>1040.8488070000001</v>
      </c>
      <c r="L423">
        <v>-8285.1887580000002</v>
      </c>
      <c r="M423">
        <v>79992.752062</v>
      </c>
      <c r="N423">
        <v>-1.1873419999999999</v>
      </c>
      <c r="O423">
        <v>31.077643999999999</v>
      </c>
      <c r="P423">
        <v>93.447942999999995</v>
      </c>
      <c r="Q423">
        <v>27.544711</v>
      </c>
      <c r="R423">
        <v>1727</v>
      </c>
      <c r="S423">
        <v>225</v>
      </c>
      <c r="T423">
        <f>S423/(S423+R423)</f>
        <v>0.11526639344262295</v>
      </c>
      <c r="U423">
        <f>-4.0355-2.538*T423</f>
        <v>-4.3280461065573768</v>
      </c>
      <c r="V423">
        <f>L423-(SUM(R423:S423)*U423)</f>
        <v>163.15724199999931</v>
      </c>
      <c r="W423">
        <f>V423/(2*O423*Q423)</f>
        <v>9.5299374950124111E-2</v>
      </c>
      <c r="X423">
        <f>W423*16.02</f>
        <v>1.5266959867009882</v>
      </c>
    </row>
    <row r="424" spans="10:25" x14ac:dyDescent="0.2">
      <c r="K424">
        <v>1040.80269</v>
      </c>
      <c r="L424">
        <v>-8309.5628469999992</v>
      </c>
      <c r="M424">
        <v>79686.406078999993</v>
      </c>
      <c r="N424">
        <v>-1.2137340000000001</v>
      </c>
      <c r="O424">
        <v>31.031241999999999</v>
      </c>
      <c r="P424">
        <v>93.262057999999996</v>
      </c>
      <c r="Q424">
        <v>27.534953000000002</v>
      </c>
      <c r="R424">
        <v>1721</v>
      </c>
      <c r="S424">
        <v>231</v>
      </c>
      <c r="T424">
        <f>S424/(S424+R424)</f>
        <v>0.11834016393442623</v>
      </c>
      <c r="U424">
        <f>-4.0355-2.538*T424</f>
        <v>-4.3358473360655738</v>
      </c>
      <c r="V424">
        <f>L424-(SUM(R424:S424)*U424)</f>
        <v>154.01115300000129</v>
      </c>
      <c r="W424">
        <f>V424/(2*O424*Q424)</f>
        <v>9.0123630601673749E-2</v>
      </c>
      <c r="X424">
        <f>W424*16.02</f>
        <v>1.4437805622388133</v>
      </c>
    </row>
    <row r="425" spans="10:25" x14ac:dyDescent="0.2">
      <c r="K425">
        <v>1041.0751210000001</v>
      </c>
      <c r="L425">
        <v>-8272.1420789999993</v>
      </c>
      <c r="M425">
        <v>80116.600214999999</v>
      </c>
      <c r="N425">
        <v>-1.136339</v>
      </c>
      <c r="O425">
        <v>31.062730999999999</v>
      </c>
      <c r="P425">
        <v>93.676908999999995</v>
      </c>
      <c r="Q425">
        <v>27.533132999999999</v>
      </c>
      <c r="R425">
        <v>1733</v>
      </c>
      <c r="S425">
        <v>219</v>
      </c>
      <c r="T425">
        <f>S425/(S425+R425)</f>
        <v>0.11219262295081968</v>
      </c>
      <c r="U425">
        <f>-4.0355-2.538*T425</f>
        <v>-4.3202448770491806</v>
      </c>
      <c r="V425">
        <f>L425-(SUM(R425:S425)*U425)</f>
        <v>160.97592100000111</v>
      </c>
      <c r="W425">
        <f>V425/(2*O425*Q425)</f>
        <v>9.4109974222566797E-2</v>
      </c>
      <c r="X425">
        <f>W425*16.02</f>
        <v>1.5076417870455201</v>
      </c>
    </row>
    <row r="426" spans="10:25" x14ac:dyDescent="0.2">
      <c r="K426">
        <v>1040.7893770000001</v>
      </c>
      <c r="L426">
        <v>-8276.9844190000003</v>
      </c>
      <c r="M426">
        <v>80005.999471999996</v>
      </c>
      <c r="N426">
        <v>-1.319345</v>
      </c>
      <c r="O426">
        <v>31.109248999999998</v>
      </c>
      <c r="P426">
        <v>93.380099000000001</v>
      </c>
      <c r="Q426">
        <v>27.541242</v>
      </c>
      <c r="R426">
        <v>1733</v>
      </c>
      <c r="S426">
        <v>219</v>
      </c>
      <c r="T426">
        <f>S426/(S426+R426)</f>
        <v>0.11219262295081968</v>
      </c>
      <c r="U426">
        <f>-4.0355-2.538*T426</f>
        <v>-4.3202448770491806</v>
      </c>
      <c r="V426">
        <f>L426-(SUM(R426:S426)*U426)</f>
        <v>156.13358100000005</v>
      </c>
      <c r="W426">
        <f>V426/(2*O426*Q426)</f>
        <v>9.1115712703979529E-2</v>
      </c>
      <c r="X426">
        <f>W426*16.02</f>
        <v>1.4596737175177521</v>
      </c>
    </row>
    <row r="427" spans="10:25" x14ac:dyDescent="0.2">
      <c r="X427" s="1">
        <f>AVERAGE(X422:X426)</f>
        <v>1.4904017300742587</v>
      </c>
      <c r="Y427">
        <f>STDEV(X422:X426)</f>
        <v>3.6398435937849638E-2</v>
      </c>
    </row>
    <row r="428" spans="10:25" x14ac:dyDescent="0.2">
      <c r="J428" t="s">
        <v>27</v>
      </c>
      <c r="K428">
        <v>1115.563091</v>
      </c>
      <c r="L428">
        <v>-6289.4519449999998</v>
      </c>
      <c r="M428">
        <v>60160.689391</v>
      </c>
      <c r="N428">
        <v>-1.999843</v>
      </c>
      <c r="O428">
        <v>32.867769000000003</v>
      </c>
      <c r="P428">
        <v>132.495026</v>
      </c>
      <c r="Q428">
        <v>13.814956</v>
      </c>
      <c r="R428">
        <v>1280</v>
      </c>
      <c r="S428">
        <v>184</v>
      </c>
      <c r="T428">
        <f>S428/(S428+R428)</f>
        <v>0.12568306010928962</v>
      </c>
      <c r="U428">
        <f>-4.0355-2.538*T428</f>
        <v>-4.3544836065573769</v>
      </c>
      <c r="V428">
        <f>L428-(SUM(R428:S428)*U428)</f>
        <v>85.512055000000146</v>
      </c>
      <c r="W428">
        <f>V428/(2*O428*Q428)</f>
        <v>9.4162420909955066E-2</v>
      </c>
      <c r="X428">
        <f>W428*16.02</f>
        <v>1.50848198297748</v>
      </c>
    </row>
    <row r="429" spans="10:25" x14ac:dyDescent="0.2">
      <c r="K429">
        <v>1115.89474</v>
      </c>
      <c r="L429">
        <v>-6249.579017</v>
      </c>
      <c r="M429">
        <v>60292.277097999999</v>
      </c>
      <c r="N429">
        <v>-1.9450590000000001</v>
      </c>
      <c r="O429">
        <v>32.870432000000001</v>
      </c>
      <c r="P429">
        <v>132.87590599999999</v>
      </c>
      <c r="Q429">
        <v>13.804358000000001</v>
      </c>
      <c r="R429">
        <v>1294</v>
      </c>
      <c r="S429">
        <v>170</v>
      </c>
      <c r="T429">
        <f>S429/(S429+R429)</f>
        <v>0.11612021857923498</v>
      </c>
      <c r="U429">
        <f>-4.0355-2.538*T429</f>
        <v>-4.3302131147540983</v>
      </c>
      <c r="V429">
        <f>L429-(SUM(R429:S429)*U429)</f>
        <v>89.852982999999767</v>
      </c>
      <c r="W429">
        <f>V429/(2*O429*Q429)</f>
        <v>9.9010414462606652E-2</v>
      </c>
      <c r="X429">
        <f>W429*16.02</f>
        <v>1.5861468396909586</v>
      </c>
    </row>
    <row r="430" spans="10:25" x14ac:dyDescent="0.2">
      <c r="K430">
        <v>1116.3467599999999</v>
      </c>
      <c r="L430">
        <v>-6253.2510249999996</v>
      </c>
      <c r="M430">
        <v>60146.184047000002</v>
      </c>
      <c r="N430">
        <v>-2.0124849999999999</v>
      </c>
      <c r="O430">
        <v>32.896019000000003</v>
      </c>
      <c r="P430">
        <v>132.46270699999999</v>
      </c>
      <c r="Q430">
        <v>13.803089999999999</v>
      </c>
      <c r="R430">
        <v>1293</v>
      </c>
      <c r="S430">
        <v>171</v>
      </c>
      <c r="T430">
        <f>S430/(S430+R430)</f>
        <v>0.11680327868852459</v>
      </c>
      <c r="U430">
        <f>-4.0355-2.538*T430</f>
        <v>-4.3319467213114748</v>
      </c>
      <c r="V430">
        <f>L430-(SUM(R430:S430)*U430)</f>
        <v>88.718974999999773</v>
      </c>
      <c r="W430">
        <f>V430/(2*O430*Q430)</f>
        <v>9.7693767094710643E-2</v>
      </c>
      <c r="X430">
        <f>W430*16.02</f>
        <v>1.5650541488572645</v>
      </c>
    </row>
    <row r="431" spans="10:25" x14ac:dyDescent="0.2">
      <c r="K431">
        <v>1115.9498510000001</v>
      </c>
      <c r="L431">
        <v>-6236.832703</v>
      </c>
      <c r="M431">
        <v>60337.161026000002</v>
      </c>
      <c r="N431">
        <v>-1.7686630000000001</v>
      </c>
      <c r="O431">
        <v>32.896644999999999</v>
      </c>
      <c r="P431">
        <v>132.69305800000001</v>
      </c>
      <c r="Q431">
        <v>13.822772000000001</v>
      </c>
      <c r="R431">
        <v>1300</v>
      </c>
      <c r="S431">
        <v>164</v>
      </c>
      <c r="T431">
        <f>S431/(S431+R431)</f>
        <v>0.11202185792349727</v>
      </c>
      <c r="U431">
        <f>-4.0355-2.538*T431</f>
        <v>-4.3198114754098356</v>
      </c>
      <c r="V431">
        <f>L431-(SUM(R431:S431)*U431)</f>
        <v>87.371296999999686</v>
      </c>
      <c r="W431">
        <f>V431/(2*O431*Q431)</f>
        <v>9.6070938716830645E-2</v>
      </c>
      <c r="X431">
        <f>W431*16.02</f>
        <v>1.5390564382436269</v>
      </c>
    </row>
    <row r="432" spans="10:25" x14ac:dyDescent="0.2">
      <c r="K432">
        <v>1116.1220860000001</v>
      </c>
      <c r="L432">
        <v>-6228.3157940000001</v>
      </c>
      <c r="M432">
        <v>60427.848216999999</v>
      </c>
      <c r="N432">
        <v>-1.606905</v>
      </c>
      <c r="O432">
        <v>32.969867999999998</v>
      </c>
      <c r="P432">
        <v>132.718807</v>
      </c>
      <c r="Q432">
        <v>13.810013</v>
      </c>
      <c r="R432">
        <v>1304</v>
      </c>
      <c r="S432">
        <v>160</v>
      </c>
      <c r="T432">
        <f>S432/(S432+R432)</f>
        <v>0.10928961748633879</v>
      </c>
      <c r="U432">
        <f>-4.0355-2.538*T432</f>
        <v>-4.3128770491803277</v>
      </c>
      <c r="V432">
        <f>L432-(SUM(R432:S432)*U432)</f>
        <v>85.736205999999584</v>
      </c>
      <c r="W432">
        <f>V432/(2*O432*Q432)</f>
        <v>9.4150573492738074E-2</v>
      </c>
      <c r="X432">
        <f>W432*16.02</f>
        <v>1.5082921873536639</v>
      </c>
    </row>
    <row r="433" spans="2:25" x14ac:dyDescent="0.2">
      <c r="B433" t="s">
        <v>5</v>
      </c>
      <c r="C433" t="s">
        <v>7</v>
      </c>
      <c r="D433" t="s">
        <v>6</v>
      </c>
      <c r="E433" t="s">
        <v>8</v>
      </c>
      <c r="F433" t="s">
        <v>12</v>
      </c>
      <c r="G433" t="s">
        <v>14</v>
      </c>
      <c r="H433" t="s">
        <v>13</v>
      </c>
      <c r="X433" s="1">
        <f>AVERAGE(X428:X432)</f>
        <v>1.5414063194245986</v>
      </c>
      <c r="Y433">
        <f>STDEV(X428:X432)</f>
        <v>3.4449287385373006E-2</v>
      </c>
    </row>
    <row r="434" spans="2:25" x14ac:dyDescent="0.2">
      <c r="B434">
        <v>-8930.2369049999998</v>
      </c>
      <c r="C434">
        <v>40893.056328999999</v>
      </c>
      <c r="D434">
        <f>B434/2000</f>
        <v>-4.4651184524999996</v>
      </c>
      <c r="E434">
        <f>C434/2000</f>
        <v>20.446528164499998</v>
      </c>
      <c r="H434">
        <f>237/2000</f>
        <v>0.11849999999999999</v>
      </c>
      <c r="J434" t="s">
        <v>28</v>
      </c>
      <c r="K434">
        <v>1115.759597</v>
      </c>
      <c r="L434">
        <v>-5433.4133890000003</v>
      </c>
      <c r="M434">
        <v>51958.124364000003</v>
      </c>
      <c r="N434">
        <v>-2.0800559999999999</v>
      </c>
      <c r="O434">
        <v>35.190531999999997</v>
      </c>
      <c r="P434">
        <v>142.30830399999999</v>
      </c>
      <c r="Q434">
        <v>10.375413999999999</v>
      </c>
      <c r="R434">
        <v>1095</v>
      </c>
      <c r="S434">
        <v>165</v>
      </c>
      <c r="T434">
        <f>S434/(S434+R434)</f>
        <v>0.13095238095238096</v>
      </c>
      <c r="U434">
        <f>-4.0355-2.538*T434</f>
        <v>-4.3678571428571429</v>
      </c>
      <c r="V434">
        <f>L434-(SUM(R434:S434)*U434)</f>
        <v>70.086610999999721</v>
      </c>
      <c r="W434">
        <f>V434/(2*O434*Q434)</f>
        <v>9.597846444084418E-2</v>
      </c>
      <c r="X434">
        <f>W434*16.02</f>
        <v>1.5375750003423236</v>
      </c>
    </row>
    <row r="435" spans="2:25" x14ac:dyDescent="0.2">
      <c r="B435">
        <v>-8915.2475599999998</v>
      </c>
      <c r="C435">
        <v>40998.038368000001</v>
      </c>
      <c r="D435">
        <f t="shared" ref="D435:D443" si="32">B435/2000</f>
        <v>-4.4576237799999996</v>
      </c>
      <c r="E435">
        <f t="shared" ref="E435:E443" si="33">C435/2000</f>
        <v>20.499019184000002</v>
      </c>
      <c r="H435">
        <f>228/2000</f>
        <v>0.114</v>
      </c>
      <c r="K435">
        <v>1116.0268799999999</v>
      </c>
      <c r="L435">
        <v>-5395.093261</v>
      </c>
      <c r="M435">
        <v>52108.025277000001</v>
      </c>
      <c r="N435">
        <v>-2.0829780000000002</v>
      </c>
      <c r="O435">
        <v>35.301667000000002</v>
      </c>
      <c r="P435">
        <v>142.403479</v>
      </c>
      <c r="Q435">
        <v>10.365671000000001</v>
      </c>
      <c r="R435">
        <v>1111</v>
      </c>
      <c r="S435">
        <v>149</v>
      </c>
      <c r="T435">
        <f>S435/(S435+R435)</f>
        <v>0.11825396825396825</v>
      </c>
      <c r="U435">
        <f>-4.0355-2.538*T435</f>
        <v>-4.3356285714285709</v>
      </c>
      <c r="V435">
        <f>L435-(SUM(R435:S435)*U435)</f>
        <v>67.798738999999841</v>
      </c>
      <c r="W435">
        <f>V435/(2*O435*Q435)</f>
        <v>9.2640093848274568E-2</v>
      </c>
      <c r="X435">
        <f>W435*16.02</f>
        <v>1.4840943034493586</v>
      </c>
    </row>
    <row r="436" spans="2:25" x14ac:dyDescent="0.2">
      <c r="B436">
        <v>-8940.0806759999996</v>
      </c>
      <c r="C436">
        <v>40982.030737000001</v>
      </c>
      <c r="D436">
        <f t="shared" si="32"/>
        <v>-4.4700403379999996</v>
      </c>
      <c r="E436">
        <f t="shared" si="33"/>
        <v>20.491015368500001</v>
      </c>
      <c r="H436">
        <f>236/2000</f>
        <v>0.11799999999999999</v>
      </c>
      <c r="K436">
        <v>1116.138467</v>
      </c>
      <c r="L436">
        <v>-5384.565278</v>
      </c>
      <c r="M436">
        <v>52229.984195999998</v>
      </c>
      <c r="N436">
        <v>-2.0585119999999999</v>
      </c>
      <c r="O436">
        <v>35.350005000000003</v>
      </c>
      <c r="P436">
        <v>142.84879000000001</v>
      </c>
      <c r="Q436">
        <v>10.34341</v>
      </c>
      <c r="R436">
        <v>1115</v>
      </c>
      <c r="S436">
        <v>145</v>
      </c>
      <c r="T436">
        <f>S436/(S436+R436)</f>
        <v>0.11507936507936507</v>
      </c>
      <c r="U436">
        <f>-4.0355-2.538*T436</f>
        <v>-4.327571428571428</v>
      </c>
      <c r="V436">
        <f>L436-(SUM(R436:S436)*U436)</f>
        <v>68.174721999998837</v>
      </c>
      <c r="W436">
        <f>V436/(2*O436*Q436)</f>
        <v>9.3226667587148399E-2</v>
      </c>
      <c r="X436">
        <f>W436*16.02</f>
        <v>1.4934912147461172</v>
      </c>
    </row>
    <row r="437" spans="2:25" x14ac:dyDescent="0.2">
      <c r="B437">
        <v>-8975.4925390000008</v>
      </c>
      <c r="C437">
        <v>40815.845823000003</v>
      </c>
      <c r="D437">
        <f t="shared" si="32"/>
        <v>-4.4877462695000006</v>
      </c>
      <c r="E437">
        <f t="shared" si="33"/>
        <v>20.407922911500002</v>
      </c>
      <c r="H437">
        <f>253/2000</f>
        <v>0.1265</v>
      </c>
      <c r="K437">
        <v>1116.0039389999999</v>
      </c>
      <c r="L437">
        <v>-5359.121341</v>
      </c>
      <c r="M437">
        <v>52372.740082999997</v>
      </c>
      <c r="N437">
        <v>-2.1162100000000001</v>
      </c>
      <c r="O437">
        <v>35.33567</v>
      </c>
      <c r="P437">
        <v>142.83666099999999</v>
      </c>
      <c r="Q437">
        <v>10.376777000000001</v>
      </c>
      <c r="R437">
        <v>1124</v>
      </c>
      <c r="S437">
        <v>136</v>
      </c>
      <c r="T437">
        <f>S437/(S437+R437)</f>
        <v>0.10793650793650794</v>
      </c>
      <c r="U437">
        <f>-4.0355-2.538*T437</f>
        <v>-4.3094428571428569</v>
      </c>
      <c r="V437">
        <f>L437-(SUM(R437:S437)*U437)</f>
        <v>70.776659000000109</v>
      </c>
      <c r="W437">
        <f>V437/(2*O437*Q437)</f>
        <v>9.6512651727338278E-2</v>
      </c>
      <c r="X437">
        <f>W437*16.02</f>
        <v>1.5461326806719591</v>
      </c>
    </row>
    <row r="438" spans="2:25" x14ac:dyDescent="0.2">
      <c r="B438">
        <v>-8921.9994719999995</v>
      </c>
      <c r="C438">
        <v>40944.048925000003</v>
      </c>
      <c r="D438">
        <f t="shared" si="32"/>
        <v>-4.4609997359999998</v>
      </c>
      <c r="E438">
        <f t="shared" si="33"/>
        <v>20.472024462500002</v>
      </c>
      <c r="H438">
        <f>232/2000</f>
        <v>0.11600000000000001</v>
      </c>
      <c r="K438">
        <v>1115.301784</v>
      </c>
      <c r="L438">
        <v>-5377.9332219999997</v>
      </c>
      <c r="M438">
        <v>52311.666277999997</v>
      </c>
      <c r="N438">
        <v>-1.9372879999999999</v>
      </c>
      <c r="O438">
        <v>35.322124000000002</v>
      </c>
      <c r="P438">
        <v>142.789278</v>
      </c>
      <c r="Q438">
        <v>10.372078999999999</v>
      </c>
      <c r="R438">
        <v>1119</v>
      </c>
      <c r="S438">
        <v>141</v>
      </c>
      <c r="T438">
        <f>S438/(S438+R438)</f>
        <v>0.11190476190476191</v>
      </c>
      <c r="U438">
        <f>-4.0355-2.538*T438</f>
        <v>-4.3195142857142859</v>
      </c>
      <c r="V438">
        <f>L438-(SUM(R438:S438)*U438)</f>
        <v>64.654778000000078</v>
      </c>
      <c r="W438">
        <f>V438/(2*O438*Q438)</f>
        <v>8.8238476767857718E-2</v>
      </c>
      <c r="X438">
        <f>W438*16.02</f>
        <v>1.4135803978210806</v>
      </c>
    </row>
    <row r="439" spans="2:25" x14ac:dyDescent="0.2">
      <c r="B439">
        <v>-8934.6550509999997</v>
      </c>
      <c r="C439">
        <v>40933.048158999998</v>
      </c>
      <c r="D439">
        <f t="shared" si="32"/>
        <v>-4.4673275255</v>
      </c>
      <c r="E439">
        <f t="shared" si="33"/>
        <v>20.466524079499997</v>
      </c>
      <c r="H439">
        <f>237/2000</f>
        <v>0.11849999999999999</v>
      </c>
      <c r="X439" s="1">
        <f>AVERAGE(X434:X438)</f>
        <v>1.4949747194061678</v>
      </c>
      <c r="Y439">
        <f>STDEV(X434:X438)</f>
        <v>5.2861944630513212E-2</v>
      </c>
    </row>
    <row r="440" spans="2:25" x14ac:dyDescent="0.2">
      <c r="B440">
        <v>-8919.9320759999991</v>
      </c>
      <c r="C440">
        <v>40931.699830999998</v>
      </c>
      <c r="D440">
        <f t="shared" si="32"/>
        <v>-4.4599660379999992</v>
      </c>
      <c r="E440">
        <f t="shared" si="33"/>
        <v>20.465849915499998</v>
      </c>
      <c r="H440">
        <f>232/2000</f>
        <v>0.11600000000000001</v>
      </c>
      <c r="J440" t="s">
        <v>55</v>
      </c>
      <c r="K440">
        <v>1041.198398</v>
      </c>
      <c r="L440">
        <v>-8491.1051189999998</v>
      </c>
      <c r="M440">
        <v>81931.596285000007</v>
      </c>
      <c r="N440">
        <v>-1.168018</v>
      </c>
      <c r="O440">
        <v>31.285263</v>
      </c>
      <c r="P440">
        <v>189.55883900000001</v>
      </c>
      <c r="Q440">
        <v>13.81574</v>
      </c>
      <c r="R440">
        <v>1737</v>
      </c>
      <c r="S440">
        <v>239</v>
      </c>
      <c r="T440">
        <f>S440/(S440+R440)</f>
        <v>0.12095141700404859</v>
      </c>
      <c r="U440">
        <f>-4.0355-2.538*T440</f>
        <v>-4.342474696356275</v>
      </c>
      <c r="V440">
        <f>L440-(SUM(R440:S440)*U440)</f>
        <v>89.624880999999732</v>
      </c>
      <c r="W440">
        <f>V440/(2*O440*Q440)</f>
        <v>0.10367752820251992</v>
      </c>
      <c r="X440">
        <f>W440*16.02</f>
        <v>1.6609140018043691</v>
      </c>
    </row>
    <row r="441" spans="2:25" x14ac:dyDescent="0.2">
      <c r="B441">
        <v>-8929.2816330000005</v>
      </c>
      <c r="C441">
        <v>40929.537920000002</v>
      </c>
      <c r="D441">
        <f t="shared" si="32"/>
        <v>-4.4646408165000002</v>
      </c>
      <c r="E441">
        <f t="shared" si="33"/>
        <v>20.464768960000001</v>
      </c>
      <c r="H441">
        <f>234/2000</f>
        <v>0.11700000000000001</v>
      </c>
      <c r="K441">
        <v>1040.8733890000001</v>
      </c>
      <c r="L441">
        <v>-8415.6681499999995</v>
      </c>
      <c r="M441">
        <v>82566.591077999998</v>
      </c>
      <c r="N441">
        <v>-1.238912</v>
      </c>
      <c r="O441">
        <v>31.359290999999999</v>
      </c>
      <c r="P441">
        <v>190.057018</v>
      </c>
      <c r="Q441">
        <v>13.853524999999999</v>
      </c>
      <c r="R441">
        <v>1769</v>
      </c>
      <c r="S441">
        <v>207</v>
      </c>
      <c r="T441">
        <f>S441/(S441+R441)</f>
        <v>0.10475708502024292</v>
      </c>
      <c r="U441">
        <f>-4.0355-2.538*T441</f>
        <v>-4.3013734817813765</v>
      </c>
      <c r="V441">
        <f>L441-(SUM(R441:S441)*U441)</f>
        <v>83.8458499999997</v>
      </c>
      <c r="W441">
        <f>V441/(2*O441*Q441)</f>
        <v>9.6499496684812919E-2</v>
      </c>
      <c r="X441">
        <f>W441*16.02</f>
        <v>1.5459219368907029</v>
      </c>
    </row>
    <row r="442" spans="2:25" x14ac:dyDescent="0.2">
      <c r="B442">
        <v>-8917.9329579999994</v>
      </c>
      <c r="C442">
        <v>40995.515404999998</v>
      </c>
      <c r="D442">
        <f t="shared" si="32"/>
        <v>-4.4589664789999999</v>
      </c>
      <c r="E442">
        <f t="shared" si="33"/>
        <v>20.4977577025</v>
      </c>
      <c r="H442">
        <f>229/2000</f>
        <v>0.1145</v>
      </c>
      <c r="K442">
        <v>1040.6408550000001</v>
      </c>
      <c r="L442">
        <v>-8486.9465779999991</v>
      </c>
      <c r="M442">
        <v>82341.979804000002</v>
      </c>
      <c r="N442">
        <v>-1.1712990000000001</v>
      </c>
      <c r="O442">
        <v>31.299192999999999</v>
      </c>
      <c r="P442">
        <v>190.04868300000001</v>
      </c>
      <c r="Q442">
        <v>13.842992000000001</v>
      </c>
      <c r="R442">
        <v>1741</v>
      </c>
      <c r="S442">
        <v>235</v>
      </c>
      <c r="T442">
        <f>S442/(S442+R442)</f>
        <v>0.11892712550607287</v>
      </c>
      <c r="U442">
        <f>-4.0355-2.538*T442</f>
        <v>-4.3373370445344124</v>
      </c>
      <c r="V442">
        <f>L442-(SUM(R442:S442)*U442)</f>
        <v>83.631422000000384</v>
      </c>
      <c r="W442">
        <f>V442/(2*O442*Q442)</f>
        <v>9.6510902658153708E-2</v>
      </c>
      <c r="X442">
        <f>W442*16.02</f>
        <v>1.5461046605836224</v>
      </c>
    </row>
    <row r="443" spans="2:25" x14ac:dyDescent="0.2">
      <c r="B443">
        <v>-8927.2191629999998</v>
      </c>
      <c r="C443">
        <v>40971.567829</v>
      </c>
      <c r="D443">
        <f t="shared" si="32"/>
        <v>-4.4636095815000001</v>
      </c>
      <c r="E443">
        <f t="shared" si="33"/>
        <v>20.485783914500001</v>
      </c>
      <c r="H443">
        <f>233/2000</f>
        <v>0.11650000000000001</v>
      </c>
      <c r="K443">
        <v>1041.151873</v>
      </c>
      <c r="L443">
        <v>-8490.8454459999994</v>
      </c>
      <c r="M443">
        <v>82208.706412</v>
      </c>
      <c r="N443">
        <v>-1.294205</v>
      </c>
      <c r="O443">
        <v>31.302593999999999</v>
      </c>
      <c r="P443">
        <v>190.045478</v>
      </c>
      <c r="Q443">
        <v>13.819271000000001</v>
      </c>
      <c r="R443">
        <v>1741</v>
      </c>
      <c r="S443">
        <v>235</v>
      </c>
      <c r="T443">
        <f>S443/(S443+R443)</f>
        <v>0.11892712550607287</v>
      </c>
      <c r="U443">
        <f>-4.0355-2.538*T443</f>
        <v>-4.3373370445344124</v>
      </c>
      <c r="V443">
        <f>L443-(SUM(R443:S443)*U443)</f>
        <v>79.732554000000164</v>
      </c>
      <c r="W443">
        <f>V443/(2*O443*Q443)</f>
        <v>9.2159522959529477E-2</v>
      </c>
      <c r="X443">
        <f>W443*16.02</f>
        <v>1.4763955578116621</v>
      </c>
    </row>
    <row r="444" spans="2:25" x14ac:dyDescent="0.2">
      <c r="K444">
        <v>1040.8875840000001</v>
      </c>
      <c r="L444">
        <v>-8415.1394710000004</v>
      </c>
      <c r="M444">
        <v>82779.709879999995</v>
      </c>
      <c r="N444">
        <v>-1.21149</v>
      </c>
      <c r="O444">
        <v>31.394454</v>
      </c>
      <c r="P444">
        <v>190.42110099999999</v>
      </c>
      <c r="Q444">
        <v>13.847339</v>
      </c>
      <c r="R444">
        <v>1770</v>
      </c>
      <c r="S444">
        <v>206</v>
      </c>
      <c r="T444">
        <f>S444/(S444+R444)</f>
        <v>0.10425101214574899</v>
      </c>
      <c r="U444">
        <f>-4.0355-2.538*T444</f>
        <v>-4.300089068825911</v>
      </c>
      <c r="V444">
        <f>L444-(SUM(R444:S444)*U444)</f>
        <v>81.836529000000155</v>
      </c>
      <c r="W444">
        <f>V444/(2*O444*Q444)</f>
        <v>9.4123473653327974E-2</v>
      </c>
      <c r="X444">
        <f>W444*16.02</f>
        <v>1.5078580479263142</v>
      </c>
    </row>
    <row r="445" spans="2:25" x14ac:dyDescent="0.2">
      <c r="X445" s="1">
        <f>AVERAGE(X440:X444)</f>
        <v>1.547438841003334</v>
      </c>
      <c r="Y445">
        <f>STDEV(X440:X444)</f>
        <v>6.9811317888931856E-2</v>
      </c>
    </row>
    <row r="446" spans="2:25" x14ac:dyDescent="0.2">
      <c r="J446">
        <v>100</v>
      </c>
      <c r="K446">
        <v>1115.6528060000001</v>
      </c>
      <c r="L446">
        <v>-20141.405583</v>
      </c>
      <c r="M446">
        <v>106743.56633099999</v>
      </c>
      <c r="N446">
        <v>-1.159556</v>
      </c>
      <c r="O446">
        <v>27.666239000000001</v>
      </c>
      <c r="P446">
        <v>27.693549000000001</v>
      </c>
      <c r="Q446">
        <v>139.32069799999999</v>
      </c>
      <c r="R446">
        <v>4110</v>
      </c>
      <c r="S446">
        <v>562</v>
      </c>
      <c r="T446">
        <f>S446/(S446+R446)</f>
        <v>0.12029109589041095</v>
      </c>
      <c r="U446">
        <f>-4.0355-2.538*T446</f>
        <v>-4.3407988013698624</v>
      </c>
      <c r="V446">
        <f>L446-(SUM(R446:S446)*U446)</f>
        <v>138.80641699999615</v>
      </c>
      <c r="W446">
        <f>V446/(2*O446*P446)</f>
        <v>9.0583856989829264E-2</v>
      </c>
      <c r="X446">
        <f>W446*16.02</f>
        <v>1.4511533889770647</v>
      </c>
    </row>
    <row r="447" spans="2:25" x14ac:dyDescent="0.2">
      <c r="K447">
        <v>1115.7725190000001</v>
      </c>
      <c r="L447">
        <v>-20090.502927000001</v>
      </c>
      <c r="M447">
        <v>107003.76231599999</v>
      </c>
      <c r="N447">
        <v>-1.1033520000000001</v>
      </c>
      <c r="O447">
        <v>27.730239999999998</v>
      </c>
      <c r="P447">
        <v>27.688116000000001</v>
      </c>
      <c r="Q447">
        <v>139.36532199999999</v>
      </c>
      <c r="R447">
        <v>4128</v>
      </c>
      <c r="S447">
        <v>544</v>
      </c>
      <c r="T447">
        <f>S447/(S447+R447)</f>
        <v>0.11643835616438356</v>
      </c>
      <c r="U447">
        <f>-4.0355-2.538*T447</f>
        <v>-4.3310205479452053</v>
      </c>
      <c r="V447">
        <f>L447-(SUM(R447:S447)*U447)</f>
        <v>144.02507299999706</v>
      </c>
      <c r="W447">
        <f>V447/(2*O447*P447)</f>
        <v>9.3790980113865385E-2</v>
      </c>
      <c r="X447">
        <f>W447*16.02</f>
        <v>1.5025315014241234</v>
      </c>
    </row>
    <row r="448" spans="2:25" x14ac:dyDescent="0.2">
      <c r="K448">
        <v>1115.553332</v>
      </c>
      <c r="L448">
        <v>-20082.441381000001</v>
      </c>
      <c r="M448">
        <v>107003.82177</v>
      </c>
      <c r="N448">
        <v>-1.147491</v>
      </c>
      <c r="O448">
        <v>27.703287</v>
      </c>
      <c r="P448">
        <v>27.678398999999999</v>
      </c>
      <c r="Q448">
        <v>139.55000200000001</v>
      </c>
      <c r="R448">
        <v>4129</v>
      </c>
      <c r="S448">
        <v>543</v>
      </c>
      <c r="T448">
        <f>S448/(S448+R448)</f>
        <v>0.11622431506849315</v>
      </c>
      <c r="U448">
        <f>-4.0355-2.538*T448</f>
        <v>-4.3304773116438353</v>
      </c>
      <c r="V448">
        <f>L448-(SUM(R448:S448)*U448)</f>
        <v>149.54861899999742</v>
      </c>
      <c r="W448">
        <f>V448/(2*O448*P448)</f>
        <v>9.7516957815307947E-2</v>
      </c>
      <c r="X448">
        <f>W448*16.02</f>
        <v>1.5622216642012332</v>
      </c>
    </row>
    <row r="449" spans="1:29" x14ac:dyDescent="0.2">
      <c r="K449">
        <v>1115.298626</v>
      </c>
      <c r="L449">
        <v>-20085.766555999999</v>
      </c>
      <c r="M449">
        <v>107065.42603</v>
      </c>
      <c r="N449">
        <v>-1.1705099999999999</v>
      </c>
      <c r="O449">
        <v>27.703448999999999</v>
      </c>
      <c r="P449">
        <v>27.697292999999998</v>
      </c>
      <c r="Q449">
        <v>139.53407100000001</v>
      </c>
      <c r="R449">
        <v>4133</v>
      </c>
      <c r="S449">
        <v>539</v>
      </c>
      <c r="T449">
        <f>S449/(S449+R449)</f>
        <v>0.1153681506849315</v>
      </c>
      <c r="U449">
        <f>-4.0355-2.538*T449</f>
        <v>-4.3283043664383563</v>
      </c>
      <c r="V449">
        <f>L449-(SUM(R449:S449)*U449)</f>
        <v>136.07144400000107</v>
      </c>
      <c r="W449">
        <f>V449/(2*O449*P449)</f>
        <v>8.8667779331812607E-2</v>
      </c>
      <c r="X449">
        <f>W449*16.02</f>
        <v>1.4204578248956379</v>
      </c>
    </row>
    <row r="450" spans="1:29" x14ac:dyDescent="0.2">
      <c r="K450">
        <v>1115.5268530000001</v>
      </c>
      <c r="L450">
        <v>-20033.035528</v>
      </c>
      <c r="M450">
        <v>107275.95927000001</v>
      </c>
      <c r="N450">
        <v>-1.022724</v>
      </c>
      <c r="O450">
        <v>27.719826999999999</v>
      </c>
      <c r="P450">
        <v>27.720464</v>
      </c>
      <c r="Q450">
        <v>139.60917699999999</v>
      </c>
      <c r="R450">
        <v>4151</v>
      </c>
      <c r="S450">
        <v>521</v>
      </c>
      <c r="T450">
        <f>S450/(S450+R450)</f>
        <v>0.1115154109589041</v>
      </c>
      <c r="U450">
        <f>-4.0355-2.538*T450</f>
        <v>-4.3185261130136983</v>
      </c>
      <c r="V450">
        <f>L450-(SUM(R450:S450)*U450)</f>
        <v>143.11847199999829</v>
      </c>
      <c r="W450">
        <f>V450/(2*O450*P450)</f>
        <v>9.3126800886457778E-2</v>
      </c>
      <c r="X450">
        <f>W450*16.02</f>
        <v>1.4918913502010536</v>
      </c>
      <c r="AC450">
        <v>300</v>
      </c>
    </row>
    <row r="451" spans="1:29" x14ac:dyDescent="0.2">
      <c r="X451" s="1">
        <f>AVERAGE(X446:X450)</f>
        <v>1.4856511459398227</v>
      </c>
      <c r="Y451">
        <f>STDEV(X446:X450)</f>
        <v>5.3914736300827153E-2</v>
      </c>
      <c r="AB451">
        <v>600</v>
      </c>
      <c r="AC451" s="20">
        <v>0.42087263802782304</v>
      </c>
    </row>
    <row r="452" spans="1:29" x14ac:dyDescent="0.2">
      <c r="J452">
        <v>110</v>
      </c>
      <c r="K452">
        <v>1041.242606</v>
      </c>
      <c r="L452">
        <v>-7786.7616099999996</v>
      </c>
      <c r="M452">
        <v>41456.691787000003</v>
      </c>
      <c r="N452">
        <v>-2.3110550000000001</v>
      </c>
      <c r="O452">
        <v>98.044669999999996</v>
      </c>
      <c r="P452">
        <v>24.53773</v>
      </c>
      <c r="Q452">
        <v>17.232189999999999</v>
      </c>
      <c r="R452">
        <v>1566</v>
      </c>
      <c r="S452">
        <v>234</v>
      </c>
      <c r="T452">
        <f>S452/(S452+R452)</f>
        <v>0.13</v>
      </c>
      <c r="U452">
        <f>-4.0355-2.538*T452</f>
        <v>-4.3654399999999995</v>
      </c>
      <c r="V452">
        <f>L452-(SUM(R452:S452)*U452)</f>
        <v>71.030389999999898</v>
      </c>
      <c r="W452">
        <f>V452/(2*Q452*P452)</f>
        <v>8.3992275202243394E-2</v>
      </c>
      <c r="X452">
        <f>W452*16.02</f>
        <v>1.3455562487399391</v>
      </c>
      <c r="AB452" s="20">
        <v>0.42028864761672791</v>
      </c>
      <c r="AC452" s="20">
        <v>0.40288646784162302</v>
      </c>
    </row>
    <row r="453" spans="1:29" x14ac:dyDescent="0.2">
      <c r="K453">
        <v>1041.2849160000001</v>
      </c>
      <c r="L453">
        <v>-7709.4128549999996</v>
      </c>
      <c r="M453">
        <v>41948.521610999996</v>
      </c>
      <c r="N453">
        <v>-2.1807789999999998</v>
      </c>
      <c r="O453">
        <v>98.750913999999995</v>
      </c>
      <c r="P453">
        <v>24.616160000000001</v>
      </c>
      <c r="Q453">
        <v>17.25675</v>
      </c>
      <c r="R453">
        <v>1599</v>
      </c>
      <c r="S453">
        <v>201</v>
      </c>
      <c r="T453">
        <f>S453/(S453+R453)</f>
        <v>0.11166666666666666</v>
      </c>
      <c r="U453">
        <f>-4.0355-2.538*T453</f>
        <v>-4.3189099999999998</v>
      </c>
      <c r="V453">
        <f>L453-(SUM(R453:S453)*U453)</f>
        <v>64.625144999999975</v>
      </c>
      <c r="W453">
        <f>V453/(2*Q453*P453)</f>
        <v>7.6066287633526714E-2</v>
      </c>
      <c r="X453">
        <f>W453*16.02</f>
        <v>1.2185819278890979</v>
      </c>
      <c r="AB453" s="20">
        <v>0.40709714188681073</v>
      </c>
      <c r="AC453" s="20">
        <v>0.49917983657298343</v>
      </c>
    </row>
    <row r="454" spans="1:29" x14ac:dyDescent="0.2">
      <c r="K454">
        <v>1041.3874410000001</v>
      </c>
      <c r="L454">
        <v>-7740.089172</v>
      </c>
      <c r="M454">
        <v>41729.453834</v>
      </c>
      <c r="N454">
        <v>-2.4367860000000001</v>
      </c>
      <c r="O454">
        <v>98.404106999999996</v>
      </c>
      <c r="P454">
        <v>24.585221000000001</v>
      </c>
      <c r="Q454">
        <v>17.248809999999999</v>
      </c>
      <c r="R454">
        <v>1586</v>
      </c>
      <c r="S454">
        <v>214</v>
      </c>
      <c r="T454">
        <f>S454/(S454+R454)</f>
        <v>0.11888888888888889</v>
      </c>
      <c r="U454">
        <f>-4.0355-2.538*T454</f>
        <v>-4.3372399999999995</v>
      </c>
      <c r="V454">
        <f>L454-(SUM(R454:S454)*U454)</f>
        <v>66.942827999999281</v>
      </c>
      <c r="W454">
        <f>V454/(2*Q454*P454)</f>
        <v>7.8929764058515969E-2</v>
      </c>
      <c r="X454">
        <f>W454*16.02</f>
        <v>1.2644548202174257</v>
      </c>
      <c r="AB454" s="20">
        <v>0.44679845600478929</v>
      </c>
      <c r="AC454" s="20">
        <v>0.44465985394754454</v>
      </c>
    </row>
    <row r="455" spans="1:29" x14ac:dyDescent="0.2">
      <c r="K455">
        <v>1041.132376</v>
      </c>
      <c r="L455">
        <v>-7693.7702090000002</v>
      </c>
      <c r="M455">
        <v>41962.864176000003</v>
      </c>
      <c r="N455">
        <v>-2.445449</v>
      </c>
      <c r="O455">
        <v>98.809068999999994</v>
      </c>
      <c r="P455">
        <v>24.618693</v>
      </c>
      <c r="Q455">
        <v>17.250726</v>
      </c>
      <c r="R455">
        <v>1604</v>
      </c>
      <c r="S455">
        <v>196</v>
      </c>
      <c r="T455">
        <f>S455/(S455+R455)</f>
        <v>0.10888888888888888</v>
      </c>
      <c r="U455">
        <f>-4.0355-2.538*T455</f>
        <v>-4.3118599999999994</v>
      </c>
      <c r="V455">
        <f>L455-(SUM(R455:S455)*U455)</f>
        <v>67.577790999998797</v>
      </c>
      <c r="W455">
        <f>V455/(2*Q455*P455)</f>
        <v>7.9561255150731799E-2</v>
      </c>
      <c r="X455">
        <f>W455*16.02</f>
        <v>1.2745713075147234</v>
      </c>
      <c r="AB455" s="20">
        <v>0.41757721597053088</v>
      </c>
      <c r="AC455" s="20">
        <v>0.37046110164540352</v>
      </c>
    </row>
    <row r="456" spans="1:29" x14ac:dyDescent="0.2">
      <c r="K456">
        <v>1041.1822790000001</v>
      </c>
      <c r="L456">
        <v>-7711.3180160000002</v>
      </c>
      <c r="M456">
        <v>41792.464175000001</v>
      </c>
      <c r="N456">
        <v>-2.186213</v>
      </c>
      <c r="O456">
        <v>98.421572999999995</v>
      </c>
      <c r="P456">
        <v>24.589528000000001</v>
      </c>
      <c r="Q456">
        <v>17.268778000000001</v>
      </c>
      <c r="R456">
        <v>1597</v>
      </c>
      <c r="S456">
        <v>203</v>
      </c>
      <c r="T456">
        <f>S456/(S456+R456)</f>
        <v>0.11277777777777778</v>
      </c>
      <c r="U456">
        <f>-4.0355-2.538*T456</f>
        <v>-4.3217299999999996</v>
      </c>
      <c r="V456">
        <f>L456-(SUM(R456:S456)*U456)</f>
        <v>67.795983999999407</v>
      </c>
      <c r="W456">
        <f>V456/(2*Q456*P456)</f>
        <v>7.9829272955946343E-2</v>
      </c>
      <c r="X456">
        <f>W456*16.02</f>
        <v>1.2788649527542604</v>
      </c>
      <c r="AB456" s="20">
        <v>0.48821843838832873</v>
      </c>
    </row>
    <row r="457" spans="1:29" x14ac:dyDescent="0.2">
      <c r="X457" s="1">
        <f>AVERAGE(X452:X456)</f>
        <v>1.2764058514230894</v>
      </c>
      <c r="Y457">
        <f>STDEV(X452:X456)</f>
        <v>4.5490722844142906E-2</v>
      </c>
    </row>
    <row r="458" spans="1:29" x14ac:dyDescent="0.2">
      <c r="J458">
        <v>111</v>
      </c>
      <c r="K458">
        <v>1041.052633</v>
      </c>
      <c r="L458">
        <v>-11665.054835999999</v>
      </c>
      <c r="M458">
        <v>64002.066262</v>
      </c>
      <c r="N458">
        <v>-1.6422490000000001</v>
      </c>
      <c r="O458">
        <v>96.132701999999995</v>
      </c>
      <c r="P458">
        <v>19.606183999999999</v>
      </c>
      <c r="Q458">
        <v>33.957135999999998</v>
      </c>
      <c r="R458">
        <v>2374</v>
      </c>
      <c r="S458">
        <v>337</v>
      </c>
      <c r="T458">
        <f>S458/(S458+R458)</f>
        <v>0.12430837329398746</v>
      </c>
      <c r="U458">
        <f>-4.0355-2.538*T458</f>
        <v>-4.3509946514201401</v>
      </c>
      <c r="V458">
        <f>L458-(SUM(R458:S458)*U458)</f>
        <v>130.49166400000104</v>
      </c>
      <c r="W458">
        <f>V458/(2*P458*Q458)</f>
        <v>9.8000579870284585E-2</v>
      </c>
      <c r="X458">
        <f>W458*16.02</f>
        <v>1.569969289521959</v>
      </c>
    </row>
    <row r="459" spans="1:29" x14ac:dyDescent="0.2">
      <c r="A459" t="s">
        <v>171</v>
      </c>
      <c r="K459">
        <v>1041.1191550000001</v>
      </c>
      <c r="L459">
        <v>-11593.895417</v>
      </c>
      <c r="M459">
        <v>64506.322057999998</v>
      </c>
      <c r="N459">
        <v>-1.439316</v>
      </c>
      <c r="O459">
        <v>96.605428000000003</v>
      </c>
      <c r="P459">
        <v>19.632473000000001</v>
      </c>
      <c r="Q459">
        <v>34.011589000000001</v>
      </c>
      <c r="R459">
        <v>2401</v>
      </c>
      <c r="S459">
        <v>310</v>
      </c>
      <c r="T459">
        <f>S459/(S459+R459)</f>
        <v>0.11434894872740686</v>
      </c>
      <c r="U459">
        <f>-4.0355-2.538*T459</f>
        <v>-4.3257176318701589</v>
      </c>
      <c r="V459">
        <f>L459-(SUM(R459:S459)*U459)</f>
        <v>133.12508300000081</v>
      </c>
      <c r="W459">
        <f>V459/(2*P459*Q459)</f>
        <v>9.9684575700628344E-2</v>
      </c>
      <c r="X459">
        <f>W459*16.02</f>
        <v>1.5969469027240661</v>
      </c>
    </row>
    <row r="460" spans="1:29" x14ac:dyDescent="0.2">
      <c r="K460">
        <v>1041.2330440000001</v>
      </c>
      <c r="L460">
        <v>-11640.647290000001</v>
      </c>
      <c r="M460">
        <v>64174.276838999998</v>
      </c>
      <c r="N460">
        <v>-1.607556</v>
      </c>
      <c r="O460">
        <v>96.345200000000006</v>
      </c>
      <c r="P460">
        <v>19.630237000000001</v>
      </c>
      <c r="Q460">
        <v>33.931809000000001</v>
      </c>
      <c r="R460">
        <v>2385</v>
      </c>
      <c r="S460">
        <v>326</v>
      </c>
      <c r="T460">
        <f>S460/(S460+R460)</f>
        <v>0.12025082995204721</v>
      </c>
      <c r="U460">
        <f>-4.0355-2.538*T460</f>
        <v>-4.3406966064182955</v>
      </c>
      <c r="V460">
        <f>L460-(SUM(R460:S460)*U460)</f>
        <v>126.9812099999981</v>
      </c>
      <c r="W460">
        <f>V460/(2*P460*Q460)</f>
        <v>9.5318436226351486E-2</v>
      </c>
      <c r="X460">
        <f>W460*16.02</f>
        <v>1.5270013483461509</v>
      </c>
    </row>
    <row r="461" spans="1:29" x14ac:dyDescent="0.2">
      <c r="K461">
        <v>1041.0271</v>
      </c>
      <c r="L461">
        <v>-11600.545436</v>
      </c>
      <c r="M461">
        <v>64383.183483000001</v>
      </c>
      <c r="N461">
        <v>-1.6321380000000001</v>
      </c>
      <c r="O461">
        <v>96.504041999999998</v>
      </c>
      <c r="P461">
        <v>19.636330000000001</v>
      </c>
      <c r="Q461">
        <v>33.975661000000002</v>
      </c>
      <c r="R461">
        <v>2402</v>
      </c>
      <c r="S461">
        <v>309</v>
      </c>
      <c r="T461">
        <f>S461/(S461+R461)</f>
        <v>0.11398008115086684</v>
      </c>
      <c r="U461">
        <f>-4.0355-2.538*T461</f>
        <v>-4.3247814459609</v>
      </c>
      <c r="V461">
        <f>L461-(SUM(R461:S461)*U461)</f>
        <v>123.93706399999974</v>
      </c>
      <c r="W461">
        <f>V461/(2*P461*Q461)</f>
        <v>9.2884440898927167E-2</v>
      </c>
      <c r="X461">
        <f>W461*16.02</f>
        <v>1.4880087432008131</v>
      </c>
    </row>
    <row r="462" spans="1:29" x14ac:dyDescent="0.2">
      <c r="K462">
        <v>1041.1074840000001</v>
      </c>
      <c r="L462">
        <v>-11578.573340999999</v>
      </c>
      <c r="M462">
        <v>64458.697156000002</v>
      </c>
      <c r="N462">
        <v>-1.552119</v>
      </c>
      <c r="O462">
        <v>96.553792999999999</v>
      </c>
      <c r="P462">
        <v>19.621744</v>
      </c>
      <c r="Q462">
        <v>34.023242000000003</v>
      </c>
      <c r="R462">
        <v>2408</v>
      </c>
      <c r="S462">
        <v>303</v>
      </c>
      <c r="T462">
        <f>S462/(S462+R462)</f>
        <v>0.1117668756916267</v>
      </c>
      <c r="U462">
        <f>-4.0355-2.538*T462</f>
        <v>-4.3191643305053482</v>
      </c>
      <c r="V462">
        <f>L462-(SUM(R462:S462)*U462)</f>
        <v>130.68115899999975</v>
      </c>
      <c r="W462">
        <f>V462/(2*P462*Q462)</f>
        <v>9.787452838169465E-2</v>
      </c>
      <c r="X462">
        <f>W462*16.02</f>
        <v>1.5679499446747482</v>
      </c>
    </row>
    <row r="463" spans="1:29" x14ac:dyDescent="0.2">
      <c r="X463" s="1">
        <f>AVERAGE(X458:X462)</f>
        <v>1.5499752456935476</v>
      </c>
      <c r="Y463">
        <f>STDEV(X458:X462)</f>
        <v>4.2710758442050252E-2</v>
      </c>
    </row>
    <row r="464" spans="1:29" x14ac:dyDescent="0.2">
      <c r="J464" s="3"/>
    </row>
    <row r="465" spans="10:25" x14ac:dyDescent="0.2">
      <c r="J465" t="s">
        <v>60</v>
      </c>
      <c r="K465" t="s">
        <v>74</v>
      </c>
      <c r="W465" t="s">
        <v>25</v>
      </c>
      <c r="X465" t="s">
        <v>24</v>
      </c>
    </row>
    <row r="466" spans="10:25" x14ac:dyDescent="0.2">
      <c r="K466" t="s">
        <v>18</v>
      </c>
      <c r="L466" t="s">
        <v>5</v>
      </c>
      <c r="M466" t="s">
        <v>7</v>
      </c>
      <c r="N466" t="s">
        <v>19</v>
      </c>
      <c r="O466" t="s">
        <v>20</v>
      </c>
      <c r="P466" t="s">
        <v>21</v>
      </c>
      <c r="Q466" t="s">
        <v>22</v>
      </c>
      <c r="R466" t="s">
        <v>4</v>
      </c>
      <c r="S466" t="s">
        <v>10</v>
      </c>
      <c r="T466" t="s">
        <v>13</v>
      </c>
      <c r="U466" t="s">
        <v>26</v>
      </c>
      <c r="V466" t="s">
        <v>12</v>
      </c>
      <c r="W466" t="s">
        <v>23</v>
      </c>
      <c r="X466" t="s">
        <v>23</v>
      </c>
    </row>
    <row r="467" spans="10:25" x14ac:dyDescent="0.2">
      <c r="J467" t="s">
        <v>17</v>
      </c>
      <c r="K467">
        <v>433.80208499999998</v>
      </c>
      <c r="L467">
        <v>-8552.5435080000007</v>
      </c>
      <c r="M467">
        <v>78412.871878999998</v>
      </c>
      <c r="N467">
        <v>-0.414103</v>
      </c>
      <c r="O467">
        <v>31.188860999999999</v>
      </c>
      <c r="P467">
        <v>93.931921000000003</v>
      </c>
      <c r="Q467">
        <v>26.766352999999999</v>
      </c>
      <c r="R467">
        <v>1711</v>
      </c>
      <c r="S467">
        <v>241</v>
      </c>
      <c r="T467">
        <f>S467/(S467+R467)</f>
        <v>0.12346311475409837</v>
      </c>
      <c r="U467">
        <f t="shared" ref="U467:U501" si="34">-4.136-2.4913*T467</f>
        <v>-4.4435836577868857</v>
      </c>
      <c r="V467">
        <f>L467-(SUM(R467:S467)*U467)</f>
        <v>121.33179200000086</v>
      </c>
      <c r="W467">
        <f>V467/(2*O467*Q467)</f>
        <v>7.2670123821518495E-2</v>
      </c>
      <c r="X467">
        <f>W467*16.02</f>
        <v>1.1641753836207263</v>
      </c>
    </row>
    <row r="468" spans="10:25" x14ac:dyDescent="0.2">
      <c r="K468">
        <v>433.69673299999999</v>
      </c>
      <c r="L468">
        <v>-8471.1830699999991</v>
      </c>
      <c r="M468">
        <v>78956.932084999993</v>
      </c>
      <c r="N468">
        <v>-0.43234299999999998</v>
      </c>
      <c r="O468">
        <v>31.434857999999998</v>
      </c>
      <c r="P468">
        <v>94.429094000000006</v>
      </c>
      <c r="Q468">
        <v>26.599532</v>
      </c>
      <c r="R468">
        <v>1749</v>
      </c>
      <c r="S468">
        <v>203</v>
      </c>
      <c r="T468">
        <f>S468/(S468+R468)</f>
        <v>0.10399590163934426</v>
      </c>
      <c r="U468">
        <f t="shared" si="34"/>
        <v>-4.395084989754098</v>
      </c>
      <c r="V468">
        <f>L468-(SUM(R468:S468)*U468)</f>
        <v>108.02282999999989</v>
      </c>
      <c r="W468">
        <f>V468/(2*O468*Q468)</f>
        <v>6.459517165941546E-2</v>
      </c>
      <c r="X468">
        <f>W468*16.02</f>
        <v>1.0348146499838355</v>
      </c>
    </row>
    <row r="469" spans="10:25" x14ac:dyDescent="0.2">
      <c r="K469">
        <v>433.70012600000001</v>
      </c>
      <c r="L469">
        <v>-8535.4788790000002</v>
      </c>
      <c r="M469">
        <v>79015.885672000004</v>
      </c>
      <c r="N469">
        <v>-0.45528099999999999</v>
      </c>
      <c r="O469">
        <v>31.321104999999999</v>
      </c>
      <c r="P469">
        <v>94.578891999999996</v>
      </c>
      <c r="Q469">
        <v>26.673836999999999</v>
      </c>
      <c r="R469">
        <v>1718</v>
      </c>
      <c r="S469">
        <v>234</v>
      </c>
      <c r="T469">
        <f>S469/(S469+R469)</f>
        <v>0.11987704918032786</v>
      </c>
      <c r="U469">
        <f t="shared" si="34"/>
        <v>-4.4346496926229513</v>
      </c>
      <c r="V469">
        <f>L469-(SUM(R469:S469)*U469)</f>
        <v>120.95732099999987</v>
      </c>
      <c r="W469">
        <f>V469/(2*O469*Q469)</f>
        <v>7.2390169802002455E-2</v>
      </c>
      <c r="X469">
        <f>W469*16.02</f>
        <v>1.1596905202280794</v>
      </c>
    </row>
    <row r="470" spans="10:25" x14ac:dyDescent="0.2">
      <c r="K470">
        <v>433.83511900000002</v>
      </c>
      <c r="L470">
        <v>-8507.4734910000006</v>
      </c>
      <c r="M470">
        <v>78989.946249999994</v>
      </c>
      <c r="N470">
        <v>-0.48488199999999998</v>
      </c>
      <c r="O470">
        <v>30.956652999999999</v>
      </c>
      <c r="P470">
        <v>93.579543000000001</v>
      </c>
      <c r="Q470">
        <v>27.267289000000002</v>
      </c>
      <c r="R470">
        <v>1720</v>
      </c>
      <c r="S470">
        <v>232</v>
      </c>
      <c r="T470">
        <f>S470/(S470+R470)</f>
        <v>0.11885245901639344</v>
      </c>
      <c r="U470">
        <f t="shared" si="34"/>
        <v>-4.4320971311475414</v>
      </c>
      <c r="V470">
        <f>L470-(SUM(R470:S470)*U470)</f>
        <v>143.98010900000008</v>
      </c>
      <c r="W470">
        <f>V470/(2*O470*Q470)</f>
        <v>8.5285763571658721E-2</v>
      </c>
      <c r="X470">
        <f>W470*16.02</f>
        <v>1.3662779324179726</v>
      </c>
    </row>
    <row r="471" spans="10:25" x14ac:dyDescent="0.2">
      <c r="K471">
        <v>433.68014699999998</v>
      </c>
      <c r="L471">
        <v>-8485.9211849999992</v>
      </c>
      <c r="M471">
        <v>79305.629786000005</v>
      </c>
      <c r="N471">
        <v>-0.41243200000000002</v>
      </c>
      <c r="O471">
        <v>31.460711</v>
      </c>
      <c r="P471">
        <v>94.955268000000004</v>
      </c>
      <c r="Q471">
        <v>26.54712</v>
      </c>
      <c r="R471">
        <v>1746</v>
      </c>
      <c r="S471">
        <v>206</v>
      </c>
      <c r="T471">
        <f>S471/(S471+R471)</f>
        <v>0.10553278688524591</v>
      </c>
      <c r="U471">
        <f t="shared" si="34"/>
        <v>-4.3989138319672136</v>
      </c>
      <c r="V471">
        <f>L471-(SUM(R471:S471)*U471)</f>
        <v>100.75861500000246</v>
      </c>
      <c r="W471">
        <f>V471/(2*O471*Q471)</f>
        <v>6.0320682575857328E-2</v>
      </c>
      <c r="X471">
        <f>W471*16.02</f>
        <v>0.96633733486523432</v>
      </c>
    </row>
    <row r="472" spans="10:25" x14ac:dyDescent="0.2">
      <c r="X472" s="1">
        <f>AVERAGE(X467:X471)</f>
        <v>1.1382591642231696</v>
      </c>
      <c r="Y472">
        <f>STDEV(X467:X471)</f>
        <v>0.15279184781356694</v>
      </c>
    </row>
    <row r="473" spans="10:25" x14ac:dyDescent="0.2">
      <c r="J473" t="s">
        <v>27</v>
      </c>
      <c r="K473">
        <v>464.82899099999997</v>
      </c>
      <c r="L473">
        <v>-6436.6004700000003</v>
      </c>
      <c r="M473">
        <v>58823.361621999997</v>
      </c>
      <c r="N473">
        <v>-0.65036499999999997</v>
      </c>
      <c r="O473">
        <v>33.125492999999999</v>
      </c>
      <c r="P473">
        <v>132.72775999999999</v>
      </c>
      <c r="Q473">
        <v>13.379248</v>
      </c>
      <c r="R473">
        <v>1287</v>
      </c>
      <c r="S473">
        <v>177</v>
      </c>
      <c r="T473">
        <f>S473/(S473+R473)</f>
        <v>0.12090163934426229</v>
      </c>
      <c r="U473">
        <f t="shared" si="34"/>
        <v>-4.4372022540983611</v>
      </c>
      <c r="V473">
        <f>L473-(SUM(R473:S473)*U473)</f>
        <v>59.463630000000194</v>
      </c>
      <c r="W473">
        <f>V473/(2*O473*Q473)</f>
        <v>6.7085300171473891E-2</v>
      </c>
      <c r="X473">
        <f>W473*16.02</f>
        <v>1.0747065087470118</v>
      </c>
    </row>
    <row r="474" spans="10:25" x14ac:dyDescent="0.2">
      <c r="K474">
        <v>464.85832699999997</v>
      </c>
      <c r="L474">
        <v>-6329.2000310000003</v>
      </c>
      <c r="M474">
        <v>59589.348673</v>
      </c>
      <c r="N474">
        <v>-0.87403399999999998</v>
      </c>
      <c r="O474">
        <v>33.02946</v>
      </c>
      <c r="P474">
        <v>132.73082199999999</v>
      </c>
      <c r="Q474">
        <v>13.592941</v>
      </c>
      <c r="R474">
        <v>1325</v>
      </c>
      <c r="S474">
        <v>139</v>
      </c>
      <c r="T474">
        <f>S474/(S474+R474)</f>
        <v>9.4945355191256825E-2</v>
      </c>
      <c r="U474">
        <f t="shared" si="34"/>
        <v>-4.3725373633879778</v>
      </c>
      <c r="V474">
        <f>L474-(SUM(R474:S474)*U474)</f>
        <v>72.194668999999521</v>
      </c>
      <c r="W474">
        <f>V474/(2*O474*Q474)</f>
        <v>8.0400773811541842E-2</v>
      </c>
      <c r="X474">
        <f>W474*16.02</f>
        <v>1.2880203964609003</v>
      </c>
    </row>
    <row r="475" spans="10:25" x14ac:dyDescent="0.2">
      <c r="K475">
        <v>464.83101799999997</v>
      </c>
      <c r="L475">
        <v>-6433.1832690000001</v>
      </c>
      <c r="M475">
        <v>59363.931768000002</v>
      </c>
      <c r="N475">
        <v>-0.69311299999999998</v>
      </c>
      <c r="O475">
        <v>33.296335999999997</v>
      </c>
      <c r="P475">
        <v>133.96</v>
      </c>
      <c r="Q475">
        <v>13.309206</v>
      </c>
      <c r="R475">
        <v>1290</v>
      </c>
      <c r="S475">
        <v>174</v>
      </c>
      <c r="T475">
        <f>S475/(S475+R475)</f>
        <v>0.11885245901639344</v>
      </c>
      <c r="U475">
        <f t="shared" si="34"/>
        <v>-4.4320971311475414</v>
      </c>
      <c r="V475">
        <f>L475-(SUM(R475:S475)*U475)</f>
        <v>55.406931000000441</v>
      </c>
      <c r="W475">
        <f>V475/(2*O475*Q475)</f>
        <v>6.2515183017386358E-2</v>
      </c>
      <c r="X475">
        <f>W475*16.02</f>
        <v>1.0014932319385295</v>
      </c>
    </row>
    <row r="476" spans="10:25" x14ac:dyDescent="0.2">
      <c r="K476">
        <v>464.66208699999999</v>
      </c>
      <c r="L476">
        <v>-6426.4195099999997</v>
      </c>
      <c r="M476">
        <v>59058.63005</v>
      </c>
      <c r="N476">
        <v>-0.67982399999999998</v>
      </c>
      <c r="O476">
        <v>33.007159999999999</v>
      </c>
      <c r="P476">
        <v>132.75456500000001</v>
      </c>
      <c r="Q476">
        <v>13.478676</v>
      </c>
      <c r="R476">
        <v>1288</v>
      </c>
      <c r="S476">
        <v>176</v>
      </c>
      <c r="T476">
        <f>S476/(S476+R476)</f>
        <v>0.12021857923497267</v>
      </c>
      <c r="U476">
        <f t="shared" si="34"/>
        <v>-4.4355005464480879</v>
      </c>
      <c r="V476">
        <f>L476-(SUM(R476:S476)*U476)</f>
        <v>67.153290000001107</v>
      </c>
      <c r="W476">
        <f>V476/(2*O476*Q476)</f>
        <v>7.5471313187734132E-2</v>
      </c>
      <c r="X476">
        <f>W476*16.02</f>
        <v>1.2090504372675008</v>
      </c>
    </row>
    <row r="477" spans="10:25" x14ac:dyDescent="0.2">
      <c r="K477">
        <v>464.90512699999999</v>
      </c>
      <c r="L477">
        <v>-6380.7635399999999</v>
      </c>
      <c r="M477">
        <v>59525.631690000002</v>
      </c>
      <c r="N477">
        <v>-0.76814700000000002</v>
      </c>
      <c r="O477">
        <v>33.338180999999999</v>
      </c>
      <c r="P477">
        <v>134.255742</v>
      </c>
      <c r="Q477">
        <v>13.299346999999999</v>
      </c>
      <c r="R477">
        <v>1313</v>
      </c>
      <c r="S477">
        <v>151</v>
      </c>
      <c r="T477">
        <f>S477/(S477+R477)</f>
        <v>0.10314207650273224</v>
      </c>
      <c r="U477">
        <f t="shared" si="34"/>
        <v>-4.3929578551912574</v>
      </c>
      <c r="V477">
        <f>L477-(SUM(R477:S477)*U477)</f>
        <v>50.52676000000065</v>
      </c>
      <c r="W477">
        <f>V477/(2*O477*Q477)</f>
        <v>5.6979579104643588E-2</v>
      </c>
      <c r="X477">
        <f>W477*16.02</f>
        <v>0.91281285725639028</v>
      </c>
    </row>
    <row r="478" spans="10:25" x14ac:dyDescent="0.2">
      <c r="X478" s="1">
        <f>AVERAGE(X473:X477)</f>
        <v>1.0972166863340664</v>
      </c>
      <c r="Y478">
        <f>STDEV(X473:X477)</f>
        <v>0.15214080948329661</v>
      </c>
    </row>
    <row r="479" spans="10:25" x14ac:dyDescent="0.2">
      <c r="J479" t="s">
        <v>28</v>
      </c>
      <c r="K479">
        <v>464.69158299999998</v>
      </c>
      <c r="L479">
        <v>-5534.3075580000004</v>
      </c>
      <c r="M479">
        <v>50959.469860999998</v>
      </c>
      <c r="N479">
        <v>-0.69604200000000005</v>
      </c>
      <c r="O479">
        <v>35.614705999999998</v>
      </c>
      <c r="P479">
        <v>143.00120000000001</v>
      </c>
      <c r="Q479">
        <v>10.005931</v>
      </c>
      <c r="R479">
        <v>1111</v>
      </c>
      <c r="S479">
        <v>149</v>
      </c>
      <c r="T479">
        <f>S479/(S479+R479)</f>
        <v>0.11825396825396825</v>
      </c>
      <c r="U479">
        <f t="shared" si="34"/>
        <v>-4.4306061111111115</v>
      </c>
      <c r="V479">
        <f>L479-(SUM(R479:S479)*U479)</f>
        <v>48.256142000000182</v>
      </c>
      <c r="W479">
        <f>V479/(2*O479*Q479)</f>
        <v>6.770733731041588E-2</v>
      </c>
      <c r="X479">
        <f>W479*16.02</f>
        <v>1.0846715437128625</v>
      </c>
    </row>
    <row r="480" spans="10:25" x14ac:dyDescent="0.2">
      <c r="K480">
        <v>464.93875000000003</v>
      </c>
      <c r="L480">
        <v>-5475.7818129999996</v>
      </c>
      <c r="M480">
        <v>51548.952641999997</v>
      </c>
      <c r="N480">
        <v>-0.79783000000000004</v>
      </c>
      <c r="O480">
        <v>35.929825999999998</v>
      </c>
      <c r="P480">
        <v>144.27954299999999</v>
      </c>
      <c r="Q480">
        <v>9.9440050000000006</v>
      </c>
      <c r="R480">
        <v>1138</v>
      </c>
      <c r="S480">
        <v>122</v>
      </c>
      <c r="T480">
        <f>S480/(S480+R480)</f>
        <v>9.6825396825396828E-2</v>
      </c>
      <c r="U480">
        <f t="shared" si="34"/>
        <v>-4.377221111111111</v>
      </c>
      <c r="V480">
        <f>L480-(SUM(R480:S480)*U480)</f>
        <v>39.516787000000477</v>
      </c>
      <c r="W480">
        <f>V480/(2*O480*Q480)</f>
        <v>5.5301279848881231E-2</v>
      </c>
      <c r="X480">
        <f>W480*16.02</f>
        <v>0.88592650317907728</v>
      </c>
    </row>
    <row r="481" spans="10:25" x14ac:dyDescent="0.2">
      <c r="K481">
        <v>464.80983700000002</v>
      </c>
      <c r="L481">
        <v>-5551.1691369999999</v>
      </c>
      <c r="M481">
        <v>51296.610589999997</v>
      </c>
      <c r="N481">
        <v>-0.73682199999999998</v>
      </c>
      <c r="O481">
        <v>35.760201000000002</v>
      </c>
      <c r="P481">
        <v>143.96321</v>
      </c>
      <c r="Q481">
        <v>9.964124</v>
      </c>
      <c r="R481">
        <v>1105</v>
      </c>
      <c r="S481">
        <v>155</v>
      </c>
      <c r="T481">
        <f>S481/(S481+R481)</f>
        <v>0.12301587301587301</v>
      </c>
      <c r="U481">
        <f t="shared" si="34"/>
        <v>-4.4424694444444448</v>
      </c>
      <c r="V481">
        <f>L481-(SUM(R481:S481)*U481)</f>
        <v>46.34236300000066</v>
      </c>
      <c r="W481">
        <f>V481/(2*O481*Q481)</f>
        <v>6.5029303772358563E-2</v>
      </c>
      <c r="X481">
        <f>W481*16.02</f>
        <v>1.0417694464331841</v>
      </c>
    </row>
    <row r="482" spans="10:25" x14ac:dyDescent="0.2">
      <c r="K482">
        <v>464.78111799999999</v>
      </c>
      <c r="L482">
        <v>-5524.2822699999997</v>
      </c>
      <c r="M482">
        <v>51361.691647</v>
      </c>
      <c r="N482">
        <v>-0.79487799999999997</v>
      </c>
      <c r="O482">
        <v>35.746727999999997</v>
      </c>
      <c r="P482">
        <v>144.04594399999999</v>
      </c>
      <c r="Q482">
        <v>9.9747819999999994</v>
      </c>
      <c r="R482">
        <v>1116</v>
      </c>
      <c r="S482">
        <v>144</v>
      </c>
      <c r="T482">
        <f>S482/(S482+R482)</f>
        <v>0.11428571428571428</v>
      </c>
      <c r="U482">
        <f t="shared" si="34"/>
        <v>-4.4207200000000002</v>
      </c>
      <c r="V482">
        <f>L482-(SUM(R482:S482)*U482)</f>
        <v>45.824930000000677</v>
      </c>
      <c r="W482">
        <f>V482/(2*O482*Q482)</f>
        <v>6.4258725256965701E-2</v>
      </c>
      <c r="X482">
        <f>W482*16.02</f>
        <v>1.0294247786165904</v>
      </c>
    </row>
    <row r="483" spans="10:25" x14ac:dyDescent="0.2">
      <c r="K483">
        <v>464.89866799999999</v>
      </c>
      <c r="L483">
        <v>-5497.6901699999999</v>
      </c>
      <c r="M483">
        <v>51499.745578000002</v>
      </c>
      <c r="N483">
        <v>-0.78476299999999999</v>
      </c>
      <c r="O483">
        <v>35.761868</v>
      </c>
      <c r="P483">
        <v>144.368854</v>
      </c>
      <c r="Q483">
        <v>9.9750219999999992</v>
      </c>
      <c r="R483">
        <v>1128</v>
      </c>
      <c r="S483">
        <v>132</v>
      </c>
      <c r="T483">
        <f>S483/(S483+R483)</f>
        <v>0.10476190476190476</v>
      </c>
      <c r="U483">
        <f t="shared" si="34"/>
        <v>-4.3969933333333335</v>
      </c>
      <c r="V483">
        <f>L483-(SUM(R483:S483)*U483)</f>
        <v>42.521430000000692</v>
      </c>
      <c r="W483">
        <f>V483/(2*O483*Q483)</f>
        <v>5.959966350690412E-2</v>
      </c>
      <c r="X483">
        <f>W483*16.02</f>
        <v>0.954786609380604</v>
      </c>
    </row>
    <row r="484" spans="10:25" x14ac:dyDescent="0.2">
      <c r="X484" s="1">
        <f>AVERAGE(X479:X483)</f>
        <v>0.99931577626446377</v>
      </c>
      <c r="Y484">
        <f>STDEV(X479:X483)</f>
        <v>7.8794744628596536E-2</v>
      </c>
    </row>
    <row r="485" spans="10:25" x14ac:dyDescent="0.2">
      <c r="J485">
        <v>100</v>
      </c>
      <c r="R485">
        <v>4110</v>
      </c>
      <c r="S485">
        <v>562</v>
      </c>
      <c r="T485">
        <f>S485/(S485+R485)</f>
        <v>0.12029109589041095</v>
      </c>
      <c r="U485">
        <f t="shared" si="34"/>
        <v>-4.4356812071917808</v>
      </c>
      <c r="V485">
        <f>L485-(SUM(R485:S485)*U485)</f>
        <v>20723.5026</v>
      </c>
      <c r="W485" t="e">
        <f>V485/(2*O485*P485)</f>
        <v>#DIV/0!</v>
      </c>
      <c r="X485" t="e">
        <f>W485*16.02</f>
        <v>#DIV/0!</v>
      </c>
    </row>
    <row r="486" spans="10:25" x14ac:dyDescent="0.2">
      <c r="R486">
        <v>4128</v>
      </c>
      <c r="S486">
        <v>544</v>
      </c>
      <c r="T486">
        <f>S486/(S486+R486)</f>
        <v>0.11643835616438356</v>
      </c>
      <c r="U486">
        <f t="shared" si="34"/>
        <v>-4.4260828767123286</v>
      </c>
      <c r="V486">
        <f>L486-(SUM(R486:S486)*U486)</f>
        <v>20678.659199999998</v>
      </c>
      <c r="W486" t="e">
        <f>V486/(2*O486*P486)</f>
        <v>#DIV/0!</v>
      </c>
      <c r="X486" t="e">
        <f>W486*16.02</f>
        <v>#DIV/0!</v>
      </c>
    </row>
    <row r="487" spans="10:25" x14ac:dyDescent="0.2">
      <c r="R487">
        <v>4129</v>
      </c>
      <c r="S487">
        <v>543</v>
      </c>
      <c r="T487">
        <f>S487/(S487+R487)</f>
        <v>0.11622431506849315</v>
      </c>
      <c r="U487">
        <f t="shared" si="34"/>
        <v>-4.4255496361301372</v>
      </c>
      <c r="V487">
        <f>L487-(SUM(R487:S487)*U487)</f>
        <v>20676.1679</v>
      </c>
      <c r="W487" t="e">
        <f>V487/(2*O487*P487)</f>
        <v>#DIV/0!</v>
      </c>
      <c r="X487" t="e">
        <f>W487*16.02</f>
        <v>#DIV/0!</v>
      </c>
    </row>
    <row r="488" spans="10:25" x14ac:dyDescent="0.2">
      <c r="R488">
        <v>4133</v>
      </c>
      <c r="S488">
        <v>539</v>
      </c>
      <c r="T488">
        <f>S488/(S488+R488)</f>
        <v>0.1153681506849315</v>
      </c>
      <c r="U488">
        <f t="shared" si="34"/>
        <v>-4.4234166738013698</v>
      </c>
      <c r="V488">
        <f>L488-(SUM(R488:S488)*U488)</f>
        <v>20666.202700000002</v>
      </c>
      <c r="W488" t="e">
        <f>V488/(2*O488*P488)</f>
        <v>#DIV/0!</v>
      </c>
      <c r="X488" t="e">
        <f>W488*16.02</f>
        <v>#DIV/0!</v>
      </c>
    </row>
    <row r="489" spans="10:25" x14ac:dyDescent="0.2">
      <c r="R489">
        <v>4151</v>
      </c>
      <c r="S489">
        <v>521</v>
      </c>
      <c r="T489">
        <f>S489/(S489+R489)</f>
        <v>0.1115154109589041</v>
      </c>
      <c r="U489">
        <f t="shared" si="34"/>
        <v>-4.4138183433219176</v>
      </c>
      <c r="V489">
        <f>L489-(SUM(R489:S489)*U489)</f>
        <v>20621.3593</v>
      </c>
      <c r="W489" t="e">
        <f>V489/(2*O489*P489)</f>
        <v>#DIV/0!</v>
      </c>
      <c r="X489" t="e">
        <f>W489*16.02</f>
        <v>#DIV/0!</v>
      </c>
    </row>
    <row r="490" spans="10:25" x14ac:dyDescent="0.2">
      <c r="X490" s="1" t="e">
        <f>AVERAGE(X485:X489)</f>
        <v>#DIV/0!</v>
      </c>
      <c r="Y490" t="e">
        <f>STDEV(X485:X489)</f>
        <v>#DIV/0!</v>
      </c>
    </row>
    <row r="491" spans="10:25" x14ac:dyDescent="0.2">
      <c r="J491">
        <v>110</v>
      </c>
      <c r="R491">
        <v>1566</v>
      </c>
      <c r="S491">
        <v>234</v>
      </c>
      <c r="T491">
        <f>S491/(S491+R491)</f>
        <v>0.13</v>
      </c>
      <c r="U491">
        <f t="shared" si="34"/>
        <v>-4.4598690000000003</v>
      </c>
      <c r="V491">
        <f>L491-(SUM(R491:S491)*U491)</f>
        <v>8027.7642000000005</v>
      </c>
      <c r="W491" t="e">
        <f>V491/(2*Q491*P491)</f>
        <v>#DIV/0!</v>
      </c>
      <c r="X491" t="e">
        <f>W491*16.02</f>
        <v>#DIV/0!</v>
      </c>
    </row>
    <row r="492" spans="10:25" x14ac:dyDescent="0.2">
      <c r="R492">
        <v>1599</v>
      </c>
      <c r="S492">
        <v>201</v>
      </c>
      <c r="T492">
        <f>S492/(S492+R492)</f>
        <v>0.11166666666666666</v>
      </c>
      <c r="U492">
        <f t="shared" si="34"/>
        <v>-4.4141951666666666</v>
      </c>
      <c r="V492">
        <f>L492-(SUM(R492:S492)*U492)</f>
        <v>7945.5513000000001</v>
      </c>
      <c r="W492" t="e">
        <f>V492/(2*Q492*P492)</f>
        <v>#DIV/0!</v>
      </c>
      <c r="X492" t="e">
        <f>W492*16.02</f>
        <v>#DIV/0!</v>
      </c>
    </row>
    <row r="493" spans="10:25" x14ac:dyDescent="0.2">
      <c r="R493">
        <v>1586</v>
      </c>
      <c r="S493">
        <v>214</v>
      </c>
      <c r="T493">
        <f>S493/(S493+R493)</f>
        <v>0.11888888888888889</v>
      </c>
      <c r="U493">
        <f t="shared" si="34"/>
        <v>-4.4321878888888886</v>
      </c>
      <c r="V493">
        <f>L493-(SUM(R493:S493)*U493)</f>
        <v>7977.9381999999996</v>
      </c>
      <c r="W493" t="e">
        <f>V493/(2*Q493*P493)</f>
        <v>#DIV/0!</v>
      </c>
      <c r="X493" t="e">
        <f>W493*16.02</f>
        <v>#DIV/0!</v>
      </c>
    </row>
    <row r="494" spans="10:25" x14ac:dyDescent="0.2">
      <c r="R494">
        <v>1604</v>
      </c>
      <c r="S494">
        <v>196</v>
      </c>
      <c r="T494">
        <f>S494/(S494+R494)</f>
        <v>0.10888888888888888</v>
      </c>
      <c r="U494">
        <f t="shared" si="34"/>
        <v>-4.4072748888888889</v>
      </c>
      <c r="V494">
        <f>L494-(SUM(R494:S494)*U494)</f>
        <v>7933.0947999999999</v>
      </c>
      <c r="W494" t="e">
        <f>V494/(2*Q494*P494)</f>
        <v>#DIV/0!</v>
      </c>
      <c r="X494" t="e">
        <f>W494*16.02</f>
        <v>#DIV/0!</v>
      </c>
    </row>
    <row r="495" spans="10:25" x14ac:dyDescent="0.2">
      <c r="R495">
        <v>1597</v>
      </c>
      <c r="S495">
        <v>203</v>
      </c>
      <c r="T495">
        <f>S495/(S495+R495)</f>
        <v>0.11277777777777778</v>
      </c>
      <c r="U495">
        <f t="shared" si="34"/>
        <v>-4.4169632777777776</v>
      </c>
      <c r="V495">
        <f>L495-(SUM(R495:S495)*U495)</f>
        <v>7950.5338999999994</v>
      </c>
      <c r="W495" t="e">
        <f>V495/(2*Q495*P495)</f>
        <v>#DIV/0!</v>
      </c>
      <c r="X495" t="e">
        <f>W495*16.02</f>
        <v>#DIV/0!</v>
      </c>
    </row>
    <row r="496" spans="10:25" x14ac:dyDescent="0.2">
      <c r="X496" s="1" t="e">
        <f>AVERAGE(X491:X495)</f>
        <v>#DIV/0!</v>
      </c>
      <c r="Y496" t="e">
        <f>STDEV(X491:X495)</f>
        <v>#DIV/0!</v>
      </c>
    </row>
    <row r="497" spans="10:25" x14ac:dyDescent="0.2">
      <c r="J497">
        <v>111</v>
      </c>
      <c r="R497">
        <v>2374</v>
      </c>
      <c r="S497">
        <v>337</v>
      </c>
      <c r="T497">
        <f>S497/(S497+R497)</f>
        <v>0.12430837329398746</v>
      </c>
      <c r="U497">
        <f t="shared" si="34"/>
        <v>-4.4456894503873112</v>
      </c>
      <c r="V497">
        <f>L497-(SUM(R497:S497)*U497)</f>
        <v>12052.2641</v>
      </c>
      <c r="W497" t="e">
        <f>V497/(2*P497*Q497)</f>
        <v>#DIV/0!</v>
      </c>
      <c r="X497" t="e">
        <f>W497*16.02</f>
        <v>#DIV/0!</v>
      </c>
    </row>
    <row r="498" spans="10:25" x14ac:dyDescent="0.2">
      <c r="R498">
        <v>2401</v>
      </c>
      <c r="S498">
        <v>310</v>
      </c>
      <c r="T498">
        <f>S498/(S498+R498)</f>
        <v>0.11434894872740686</v>
      </c>
      <c r="U498">
        <f t="shared" si="34"/>
        <v>-4.4208775359645891</v>
      </c>
      <c r="V498">
        <f>L498-(SUM(R498:S498)*U498)</f>
        <v>11984.999000000002</v>
      </c>
      <c r="W498" t="e">
        <f>V498/(2*P498*Q498)</f>
        <v>#DIV/0!</v>
      </c>
      <c r="X498" t="e">
        <f>W498*16.02</f>
        <v>#DIV/0!</v>
      </c>
    </row>
    <row r="499" spans="10:25" x14ac:dyDescent="0.2">
      <c r="R499">
        <v>2385</v>
      </c>
      <c r="S499">
        <v>326</v>
      </c>
      <c r="T499">
        <f>S499/(S499+R499)</f>
        <v>0.12025082995204721</v>
      </c>
      <c r="U499">
        <f t="shared" si="34"/>
        <v>-4.4355808926595355</v>
      </c>
      <c r="V499">
        <f>L499-(SUM(R499:S499)*U499)</f>
        <v>12024.8598</v>
      </c>
      <c r="W499" t="e">
        <f>V499/(2*P499*Q499)</f>
        <v>#DIV/0!</v>
      </c>
      <c r="X499" t="e">
        <f>W499*16.02</f>
        <v>#DIV/0!</v>
      </c>
    </row>
    <row r="500" spans="10:25" x14ac:dyDescent="0.2">
      <c r="R500">
        <v>2402</v>
      </c>
      <c r="S500">
        <v>309</v>
      </c>
      <c r="T500">
        <f>S500/(S500+R500)</f>
        <v>0.11398008115086684</v>
      </c>
      <c r="U500">
        <f t="shared" si="34"/>
        <v>-4.4199585761711546</v>
      </c>
      <c r="V500">
        <f>L500-(SUM(R500:S500)*U500)</f>
        <v>11982.5077</v>
      </c>
      <c r="W500" t="e">
        <f>V500/(2*P500*Q500)</f>
        <v>#DIV/0!</v>
      </c>
      <c r="X500" t="e">
        <f>W500*16.02</f>
        <v>#DIV/0!</v>
      </c>
    </row>
    <row r="501" spans="10:25" x14ac:dyDescent="0.2">
      <c r="R501">
        <v>2408</v>
      </c>
      <c r="S501">
        <v>303</v>
      </c>
      <c r="T501">
        <f>S501/(S501+R501)</f>
        <v>0.1117668756916267</v>
      </c>
      <c r="U501">
        <f t="shared" si="34"/>
        <v>-4.4144448174105495</v>
      </c>
      <c r="V501">
        <f>L501-(SUM(R501:S501)*U501)</f>
        <v>11967.5599</v>
      </c>
      <c r="W501" t="e">
        <f>V501/(2*P501*Q501)</f>
        <v>#DIV/0!</v>
      </c>
      <c r="X501" t="e">
        <f>W501*16.02</f>
        <v>#DIV/0!</v>
      </c>
    </row>
    <row r="502" spans="10:25" x14ac:dyDescent="0.2">
      <c r="X502" s="1" t="e">
        <f>AVERAGE(X497:X501)</f>
        <v>#DIV/0!</v>
      </c>
      <c r="Y502" t="e">
        <f>STDEV(X497:X501)</f>
        <v>#DIV/0!</v>
      </c>
    </row>
    <row r="504" spans="10:25" x14ac:dyDescent="0.2">
      <c r="J504" t="s">
        <v>79</v>
      </c>
      <c r="K504" t="s">
        <v>74</v>
      </c>
      <c r="W504" t="s">
        <v>25</v>
      </c>
      <c r="X504" t="s">
        <v>24</v>
      </c>
    </row>
    <row r="505" spans="10:25" x14ac:dyDescent="0.2">
      <c r="K505" t="s">
        <v>18</v>
      </c>
      <c r="L505" t="s">
        <v>5</v>
      </c>
      <c r="M505" t="s">
        <v>7</v>
      </c>
      <c r="N505" t="s">
        <v>19</v>
      </c>
      <c r="O505" t="s">
        <v>20</v>
      </c>
      <c r="P505" t="s">
        <v>21</v>
      </c>
      <c r="Q505" t="s">
        <v>22</v>
      </c>
      <c r="R505" t="s">
        <v>4</v>
      </c>
      <c r="S505" t="s">
        <v>10</v>
      </c>
      <c r="T505" t="s">
        <v>13</v>
      </c>
      <c r="U505" t="s">
        <v>26</v>
      </c>
      <c r="V505" t="s">
        <v>12</v>
      </c>
      <c r="W505" t="s">
        <v>23</v>
      </c>
      <c r="X505" t="s">
        <v>23</v>
      </c>
    </row>
    <row r="506" spans="10:25" x14ac:dyDescent="0.2">
      <c r="J506" t="s">
        <v>17</v>
      </c>
      <c r="K506">
        <v>520.72750199999996</v>
      </c>
      <c r="L506">
        <v>-8505.1335060000001</v>
      </c>
      <c r="M506">
        <v>78478.711968999996</v>
      </c>
      <c r="N506">
        <v>-0.54291400000000001</v>
      </c>
      <c r="O506">
        <v>30.875986000000001</v>
      </c>
      <c r="P506">
        <v>92.936839000000006</v>
      </c>
      <c r="Q506">
        <v>27.349212000000001</v>
      </c>
      <c r="R506">
        <v>1711</v>
      </c>
      <c r="S506">
        <v>241</v>
      </c>
      <c r="T506">
        <f>S506/(S506+R506)</f>
        <v>0.12346311475409837</v>
      </c>
      <c r="U506">
        <f>-4.1122-2.5608*T506</f>
        <v>-4.4283643442622944</v>
      </c>
      <c r="V506">
        <f>L506-(SUM(R506:S506)*U506)</f>
        <v>139.03369399999792</v>
      </c>
      <c r="W506">
        <f>V506/(2*O506*Q506)</f>
        <v>8.2323611220220499E-2</v>
      </c>
      <c r="X506">
        <f>W506*16.02</f>
        <v>1.3188242517479323</v>
      </c>
    </row>
    <row r="507" spans="10:25" x14ac:dyDescent="0.2">
      <c r="K507">
        <v>520.55347200000006</v>
      </c>
      <c r="L507">
        <v>-8412.5900070000007</v>
      </c>
      <c r="M507">
        <v>79114.020034999994</v>
      </c>
      <c r="N507">
        <v>-0.57326600000000005</v>
      </c>
      <c r="O507">
        <v>30.941178000000001</v>
      </c>
      <c r="P507">
        <v>93.174943999999996</v>
      </c>
      <c r="Q507">
        <v>27.442274000000001</v>
      </c>
      <c r="R507">
        <v>1749</v>
      </c>
      <c r="S507">
        <v>203</v>
      </c>
      <c r="T507">
        <f>S507/(S507+R507)</f>
        <v>0.10399590163934426</v>
      </c>
      <c r="U507">
        <f>-4.1122-2.5608*T507</f>
        <v>-4.3785127049180321</v>
      </c>
      <c r="V507">
        <f>L507-(SUM(R507:S507)*U507)</f>
        <v>134.26679299999887</v>
      </c>
      <c r="W507">
        <f>V507/(2*O507*Q507)</f>
        <v>7.9064527452130967E-2</v>
      </c>
      <c r="X507">
        <f>W507*16.02</f>
        <v>1.2666137297831381</v>
      </c>
    </row>
    <row r="508" spans="10:25" x14ac:dyDescent="0.2">
      <c r="K508">
        <v>520.56278999999995</v>
      </c>
      <c r="L508">
        <v>-8481.6802250000001</v>
      </c>
      <c r="M508">
        <v>78873.317634000006</v>
      </c>
      <c r="N508">
        <v>-0.58326199999999995</v>
      </c>
      <c r="O508">
        <v>30.877749000000001</v>
      </c>
      <c r="P508">
        <v>93.180246999999994</v>
      </c>
      <c r="Q508">
        <v>27.413376</v>
      </c>
      <c r="R508">
        <v>1718</v>
      </c>
      <c r="S508">
        <v>234</v>
      </c>
      <c r="T508">
        <f>S508/(S508+R508)</f>
        <v>0.11987704918032786</v>
      </c>
      <c r="U508">
        <f>-4.1122-2.5608*T508</f>
        <v>-4.419181147540983</v>
      </c>
      <c r="V508">
        <f>L508-(SUM(R508:S508)*U508)</f>
        <v>144.56137499999932</v>
      </c>
      <c r="W508">
        <f>V508/(2*O508*Q508)</f>
        <v>8.5391397118482842E-2</v>
      </c>
      <c r="X508">
        <f>W508*16.02</f>
        <v>1.3679701818380952</v>
      </c>
    </row>
    <row r="509" spans="10:25" x14ac:dyDescent="0.2">
      <c r="K509">
        <v>520.47667100000001</v>
      </c>
      <c r="L509">
        <v>-8477.6907530000008</v>
      </c>
      <c r="M509">
        <v>78859.320745999998</v>
      </c>
      <c r="N509">
        <v>-0.58193499999999998</v>
      </c>
      <c r="O509">
        <v>30.901945000000001</v>
      </c>
      <c r="P509">
        <v>93.152122000000006</v>
      </c>
      <c r="Q509">
        <v>27.395309999999998</v>
      </c>
      <c r="R509">
        <v>1720</v>
      </c>
      <c r="S509">
        <v>232</v>
      </c>
      <c r="T509">
        <f>S509/(S509+R509)</f>
        <v>0.11885245901639344</v>
      </c>
      <c r="U509">
        <f>-4.1122-2.5608*T509</f>
        <v>-4.4165573770491804</v>
      </c>
      <c r="V509">
        <f>L509-(SUM(R509:S509)*U509)</f>
        <v>143.42924700000003</v>
      </c>
      <c r="W509">
        <f>V509/(2*O509*Q509)</f>
        <v>8.4712146879907829E-2</v>
      </c>
      <c r="X509">
        <f>W509*16.02</f>
        <v>1.3570885930161234</v>
      </c>
    </row>
    <row r="510" spans="10:25" x14ac:dyDescent="0.2">
      <c r="K510">
        <v>520.79951600000004</v>
      </c>
      <c r="L510">
        <v>-8421.8011879999995</v>
      </c>
      <c r="M510">
        <v>79285.121390999993</v>
      </c>
      <c r="N510">
        <v>-0.61832399999999998</v>
      </c>
      <c r="O510">
        <v>30.905211999999999</v>
      </c>
      <c r="P510">
        <v>93.414652000000004</v>
      </c>
      <c r="Q510">
        <v>27.462948000000001</v>
      </c>
      <c r="R510">
        <v>1746</v>
      </c>
      <c r="S510">
        <v>206</v>
      </c>
      <c r="T510">
        <f>S510/(S510+R510)</f>
        <v>0.10553278688524591</v>
      </c>
      <c r="U510">
        <f>-4.1122-2.5608*T510</f>
        <v>-4.3824483606557374</v>
      </c>
      <c r="V510">
        <f>L510-(SUM(R510:S510)*U510)</f>
        <v>132.7380119999998</v>
      </c>
      <c r="W510">
        <f>V510/(2*O510*Q510)</f>
        <v>7.8196340973052864E-2</v>
      </c>
      <c r="X510">
        <f>W510*16.02</f>
        <v>1.2527053823883068</v>
      </c>
    </row>
    <row r="511" spans="10:25" x14ac:dyDescent="0.2">
      <c r="X511" s="1">
        <f>AVERAGE(X506:X510)</f>
        <v>1.3126404277547192</v>
      </c>
      <c r="Y511">
        <f>STDEV(X506:X510)</f>
        <v>5.1927659658538572E-2</v>
      </c>
    </row>
    <row r="512" spans="10:25" x14ac:dyDescent="0.2">
      <c r="J512" t="s">
        <v>27</v>
      </c>
      <c r="K512">
        <v>557.82182399999999</v>
      </c>
      <c r="L512">
        <v>-6399.9849459999996</v>
      </c>
      <c r="M512">
        <v>58870.320912000003</v>
      </c>
      <c r="N512">
        <v>-0.97213499999999997</v>
      </c>
      <c r="O512">
        <v>32.760911999999998</v>
      </c>
      <c r="P512">
        <v>131.327459</v>
      </c>
      <c r="Q512">
        <v>13.68318</v>
      </c>
      <c r="R512">
        <v>1287</v>
      </c>
      <c r="S512">
        <v>177</v>
      </c>
      <c r="T512">
        <f>S512/(S512+R512)</f>
        <v>0.12090163934426229</v>
      </c>
      <c r="U512">
        <f>-4.1122-2.5608*T512</f>
        <v>-4.4218049180327865</v>
      </c>
      <c r="V512">
        <f>L512-(SUM(R512:S512)*U512)</f>
        <v>73.537454000000253</v>
      </c>
      <c r="W512">
        <f>V512/(2*O512*Q512)</f>
        <v>8.2022985120649705E-2</v>
      </c>
      <c r="X512">
        <f>W512*16.02</f>
        <v>1.3140082216328082</v>
      </c>
    </row>
    <row r="513" spans="10:27" x14ac:dyDescent="0.2">
      <c r="K513">
        <v>557.80733199999997</v>
      </c>
      <c r="L513">
        <v>-6302.7644280000004</v>
      </c>
      <c r="M513">
        <v>59648.971772999997</v>
      </c>
      <c r="N513">
        <v>-0.96481099999999997</v>
      </c>
      <c r="O513">
        <v>32.756456999999997</v>
      </c>
      <c r="P513">
        <v>131.86253500000001</v>
      </c>
      <c r="Q513">
        <v>13.809797</v>
      </c>
      <c r="R513">
        <v>1325</v>
      </c>
      <c r="S513">
        <v>139</v>
      </c>
      <c r="T513">
        <f>S513/(S513+R513)</f>
        <v>9.4945355191256825E-2</v>
      </c>
      <c r="U513">
        <f>-4.1122-2.5608*T513</f>
        <v>-4.3553360655737698</v>
      </c>
      <c r="V513">
        <f>L513-(SUM(R513:S513)*U513)</f>
        <v>73.447571999998218</v>
      </c>
      <c r="W513">
        <f>V513/(2*O513*Q513)</f>
        <v>8.1182651529102048E-2</v>
      </c>
      <c r="X513">
        <f>W513*16.02</f>
        <v>1.3005460774962148</v>
      </c>
    </row>
    <row r="514" spans="10:27" x14ac:dyDescent="0.2">
      <c r="K514">
        <v>558.05468099999996</v>
      </c>
      <c r="L514">
        <v>-6387.5589330000003</v>
      </c>
      <c r="M514">
        <v>59267.927678</v>
      </c>
      <c r="N514">
        <v>-0.88889899999999999</v>
      </c>
      <c r="O514">
        <v>32.785952000000002</v>
      </c>
      <c r="P514">
        <v>131.8638</v>
      </c>
      <c r="Q514">
        <v>13.709139</v>
      </c>
      <c r="R514">
        <v>1290</v>
      </c>
      <c r="S514">
        <v>174</v>
      </c>
      <c r="T514">
        <f>S514/(S514+R514)</f>
        <v>0.11885245901639344</v>
      </c>
      <c r="U514">
        <f>-4.1122-2.5608*T514</f>
        <v>-4.4165573770491804</v>
      </c>
      <c r="V514">
        <f>L514-(SUM(R514:S514)*U514)</f>
        <v>78.281066999999894</v>
      </c>
      <c r="W514">
        <f>V514/(2*O514*Q514)</f>
        <v>8.7082073691839415E-2</v>
      </c>
      <c r="X514">
        <f>W514*16.02</f>
        <v>1.3950548205432673</v>
      </c>
    </row>
    <row r="515" spans="10:27" x14ac:dyDescent="0.2">
      <c r="K515">
        <v>557.68965100000003</v>
      </c>
      <c r="L515">
        <v>-6395.1730299999999</v>
      </c>
      <c r="M515">
        <v>59290.034204000003</v>
      </c>
      <c r="N515">
        <v>-0.93359800000000004</v>
      </c>
      <c r="O515">
        <v>32.715164000000001</v>
      </c>
      <c r="P515">
        <v>131.69753</v>
      </c>
      <c r="Q515">
        <v>13.761260999999999</v>
      </c>
      <c r="R515">
        <v>1288</v>
      </c>
      <c r="S515">
        <v>176</v>
      </c>
      <c r="T515">
        <f>S515/(S515+R515)</f>
        <v>0.12021857923497267</v>
      </c>
      <c r="U515">
        <f>-4.1122-2.5608*T515</f>
        <v>-4.4200557377049172</v>
      </c>
      <c r="V515">
        <f>L515-(SUM(R515:S515)*U515)</f>
        <v>75.788569999998799</v>
      </c>
      <c r="W515">
        <f>V515/(2*O515*Q515)</f>
        <v>8.4171755204522664E-2</v>
      </c>
      <c r="X515">
        <f>W515*16.02</f>
        <v>1.348431518376453</v>
      </c>
    </row>
    <row r="516" spans="10:27" x14ac:dyDescent="0.2">
      <c r="K516">
        <v>558.08025799999996</v>
      </c>
      <c r="L516">
        <v>-6334.8588069999996</v>
      </c>
      <c r="M516">
        <v>59644.602031000002</v>
      </c>
      <c r="N516">
        <v>-0.86506000000000005</v>
      </c>
      <c r="O516">
        <v>32.83399</v>
      </c>
      <c r="P516">
        <v>132.233172</v>
      </c>
      <c r="Q516">
        <v>13.737579999999999</v>
      </c>
      <c r="R516">
        <v>1313</v>
      </c>
      <c r="S516">
        <v>151</v>
      </c>
      <c r="T516">
        <f>S516/(S516+R516)</f>
        <v>0.10314207650273224</v>
      </c>
      <c r="U516">
        <f>-4.1122-2.5608*T516</f>
        <v>-4.3763262295081962</v>
      </c>
      <c r="V516">
        <f>L516-(SUM(R516:S516)*U516)</f>
        <v>72.082792999999583</v>
      </c>
      <c r="W516">
        <f>V516/(2*O516*Q516)</f>
        <v>7.9903851617470378E-2</v>
      </c>
      <c r="X516">
        <f>W516*16.02</f>
        <v>1.2800597029118754</v>
      </c>
    </row>
    <row r="517" spans="10:27" x14ac:dyDescent="0.2">
      <c r="X517" s="1">
        <f>AVERAGE(X512:X516)</f>
        <v>1.327620068192124</v>
      </c>
      <c r="Y517">
        <f>STDEV(X512:X516)</f>
        <v>4.5168667148760472E-2</v>
      </c>
    </row>
    <row r="518" spans="10:27" x14ac:dyDescent="0.2">
      <c r="J518" t="s">
        <v>28</v>
      </c>
      <c r="K518">
        <v>557.91746999999998</v>
      </c>
      <c r="L518">
        <v>-5503.8897319999996</v>
      </c>
      <c r="M518">
        <v>50942.022670999999</v>
      </c>
      <c r="N518">
        <v>-1.0239659999999999</v>
      </c>
      <c r="O518">
        <v>35.282300999999997</v>
      </c>
      <c r="P518">
        <v>141.62833699999999</v>
      </c>
      <c r="Q518">
        <v>10.194692999999999</v>
      </c>
      <c r="R518">
        <v>1111</v>
      </c>
      <c r="S518">
        <v>149</v>
      </c>
      <c r="T518">
        <f>S518/(S518+R518)</f>
        <v>0.11825396825396825</v>
      </c>
      <c r="U518">
        <f>-4.1122-2.5608*T518</f>
        <v>-4.4150247619047613</v>
      </c>
      <c r="V518">
        <f>L518-(SUM(R518:S518)*U518)</f>
        <v>59.041467999999441</v>
      </c>
      <c r="W518">
        <f>V518/(2*O518*Q518)</f>
        <v>8.2072204461769022E-2</v>
      </c>
      <c r="X518">
        <f>W518*16.02</f>
        <v>1.3147967154775397</v>
      </c>
    </row>
    <row r="519" spans="10:27" x14ac:dyDescent="0.2">
      <c r="K519">
        <v>558.13722600000006</v>
      </c>
      <c r="L519">
        <v>-5441.4059299999999</v>
      </c>
      <c r="M519">
        <v>51595.821068999998</v>
      </c>
      <c r="N519">
        <v>-1.0326679999999999</v>
      </c>
      <c r="O519">
        <v>35.662140000000001</v>
      </c>
      <c r="P519">
        <v>143.17854800000001</v>
      </c>
      <c r="Q519">
        <v>10.104994</v>
      </c>
      <c r="R519">
        <v>1138</v>
      </c>
      <c r="S519">
        <v>122</v>
      </c>
      <c r="T519">
        <f>S519/(S519+R519)</f>
        <v>9.6825396825396828E-2</v>
      </c>
      <c r="U519">
        <f>-4.1122-2.5608*T519</f>
        <v>-4.3601504761904755</v>
      </c>
      <c r="V519">
        <f>L519-(SUM(R519:S519)*U519)</f>
        <v>52.383669999999256</v>
      </c>
      <c r="W519">
        <f>V519/(2*O519*Q519)</f>
        <v>7.2681263006818056E-2</v>
      </c>
      <c r="X519">
        <f>W519*16.02</f>
        <v>1.1643538333692252</v>
      </c>
    </row>
    <row r="520" spans="10:27" x14ac:dyDescent="0.2">
      <c r="K520">
        <v>557.75466200000005</v>
      </c>
      <c r="L520">
        <v>-5513.9832530000003</v>
      </c>
      <c r="M520">
        <v>51345.372345000003</v>
      </c>
      <c r="N520">
        <v>-0.96392599999999995</v>
      </c>
      <c r="O520">
        <v>35.202506</v>
      </c>
      <c r="P520">
        <v>142.00588200000001</v>
      </c>
      <c r="Q520">
        <v>10.271328</v>
      </c>
      <c r="R520">
        <v>1105</v>
      </c>
      <c r="S520">
        <v>155</v>
      </c>
      <c r="T520">
        <f>S520/(S520+R520)</f>
        <v>0.12301587301587301</v>
      </c>
      <c r="U520">
        <f>-4.1122-2.5608*T520</f>
        <v>-4.4272190476190474</v>
      </c>
      <c r="V520">
        <f>L520-(SUM(R520:S520)*U520)</f>
        <v>64.312746999999035</v>
      </c>
      <c r="W520">
        <f>V520/(2*O520*Q520)</f>
        <v>8.8933807327837261E-2</v>
      </c>
      <c r="X520">
        <f>W520*16.02</f>
        <v>1.424719593391953</v>
      </c>
    </row>
    <row r="521" spans="10:27" x14ac:dyDescent="0.2">
      <c r="K521">
        <v>557.61544900000001</v>
      </c>
      <c r="L521">
        <v>-5488.4836720000003</v>
      </c>
      <c r="M521">
        <v>51449.288135000003</v>
      </c>
      <c r="N521">
        <v>-0.93630400000000003</v>
      </c>
      <c r="O521">
        <v>35.340656000000003</v>
      </c>
      <c r="P521">
        <v>142.18664999999999</v>
      </c>
      <c r="Q521">
        <v>10.238839</v>
      </c>
      <c r="R521">
        <v>1116</v>
      </c>
      <c r="S521">
        <v>144</v>
      </c>
      <c r="T521">
        <f>S521/(S521+R521)</f>
        <v>0.11428571428571428</v>
      </c>
      <c r="U521">
        <f>-4.1122-2.5608*T521</f>
        <v>-4.4048628571428567</v>
      </c>
      <c r="V521">
        <f>L521-(SUM(R521:S521)*U521)</f>
        <v>61.643527999999606</v>
      </c>
      <c r="W521">
        <f>V521/(2*O521*Q521)</f>
        <v>8.5178927996904352E-2</v>
      </c>
      <c r="X521">
        <f>W521*16.02</f>
        <v>1.3645664265104076</v>
      </c>
    </row>
    <row r="522" spans="10:27" x14ac:dyDescent="0.2">
      <c r="K522">
        <v>558.00920299999996</v>
      </c>
      <c r="L522">
        <v>-5468.0526280000004</v>
      </c>
      <c r="M522">
        <v>51524.717078000001</v>
      </c>
      <c r="N522">
        <v>-0.91151800000000005</v>
      </c>
      <c r="O522">
        <v>35.500839999999997</v>
      </c>
      <c r="P522">
        <v>143.61416500000001</v>
      </c>
      <c r="Q522">
        <v>10.106191000000001</v>
      </c>
      <c r="R522">
        <v>1128</v>
      </c>
      <c r="S522">
        <v>132</v>
      </c>
      <c r="T522">
        <f>S522/(S522+R522)</f>
        <v>0.10476190476190476</v>
      </c>
      <c r="U522">
        <f>-4.1122-2.5608*T522</f>
        <v>-4.3804742857142855</v>
      </c>
      <c r="V522">
        <f>L522-(SUM(R522:S522)*U522)</f>
        <v>51.344971999999871</v>
      </c>
      <c r="W522">
        <f>V522/(2*O522*Q522)</f>
        <v>7.1555297987905012E-2</v>
      </c>
      <c r="X522">
        <f>W522*16.02</f>
        <v>1.1463158737662382</v>
      </c>
    </row>
    <row r="523" spans="10:27" x14ac:dyDescent="0.2">
      <c r="X523" s="1">
        <f>AVERAGE(X518:X522)</f>
        <v>1.2829504885030727</v>
      </c>
      <c r="Y523">
        <f>STDEV(X518:X522)</f>
        <v>0.12299187693049153</v>
      </c>
      <c r="AA523" s="10"/>
    </row>
    <row r="524" spans="10:27" x14ac:dyDescent="0.2">
      <c r="J524" t="s">
        <v>55</v>
      </c>
      <c r="K524">
        <v>520.42553399999997</v>
      </c>
      <c r="L524">
        <v>-8666.0403650000007</v>
      </c>
      <c r="M524">
        <v>80649.172902999999</v>
      </c>
      <c r="N524">
        <v>-0.52675000000000005</v>
      </c>
      <c r="O524">
        <v>31.185105</v>
      </c>
      <c r="P524">
        <v>188.299072</v>
      </c>
      <c r="Q524">
        <v>13.734351999999999</v>
      </c>
      <c r="R524">
        <v>1737</v>
      </c>
      <c r="S524">
        <v>239</v>
      </c>
      <c r="T524">
        <f>S524/(S524+R524)</f>
        <v>0.12095141700404859</v>
      </c>
      <c r="U524">
        <f>-4.1122-2.5608*T524</f>
        <v>-4.4219323886639677</v>
      </c>
      <c r="V524">
        <f>L524-(SUM(R524:S524)*U524)</f>
        <v>71.698034999999436</v>
      </c>
      <c r="W524">
        <f>V524/(2*O524*Q524)</f>
        <v>8.3699309112033479E-2</v>
      </c>
      <c r="X524">
        <f>W524*16.02</f>
        <v>1.3408629319747762</v>
      </c>
      <c r="AA524" t="s">
        <v>17</v>
      </c>
    </row>
    <row r="525" spans="10:27" x14ac:dyDescent="0.2">
      <c r="K525">
        <v>520.53834199999994</v>
      </c>
      <c r="L525">
        <v>-8584.8221020000001</v>
      </c>
      <c r="M525">
        <v>81253.218095000004</v>
      </c>
      <c r="N525">
        <v>-0.60665100000000005</v>
      </c>
      <c r="O525">
        <v>31.213749</v>
      </c>
      <c r="P525">
        <v>188.64372299999999</v>
      </c>
      <c r="Q525">
        <v>13.799239</v>
      </c>
      <c r="R525">
        <v>1769</v>
      </c>
      <c r="S525">
        <v>207</v>
      </c>
      <c r="T525">
        <f>S525/(S525+R525)</f>
        <v>0.10475708502024292</v>
      </c>
      <c r="U525">
        <f>-4.1122-2.5608*T525</f>
        <v>-4.3804619433198377</v>
      </c>
      <c r="V525">
        <f>L525-(SUM(R525:S525)*U525)</f>
        <v>70.970697999999174</v>
      </c>
      <c r="W525">
        <f>V525/(2*O525*Q525)</f>
        <v>8.2384974296159236E-2</v>
      </c>
      <c r="X525">
        <f>W525*16.02</f>
        <v>1.3198072882244709</v>
      </c>
      <c r="AA525" t="s">
        <v>27</v>
      </c>
    </row>
    <row r="526" spans="10:27" x14ac:dyDescent="0.2">
      <c r="K526">
        <v>520.62926500000003</v>
      </c>
      <c r="L526">
        <v>-8653.4100629999994</v>
      </c>
      <c r="M526">
        <v>81087.033614</v>
      </c>
      <c r="N526">
        <v>-0.57277</v>
      </c>
      <c r="O526">
        <v>31.188143</v>
      </c>
      <c r="P526">
        <v>188.523335</v>
      </c>
      <c r="Q526">
        <v>13.791112999999999</v>
      </c>
      <c r="R526">
        <v>1741</v>
      </c>
      <c r="S526">
        <v>235</v>
      </c>
      <c r="T526">
        <f>S526/(S526+R526)</f>
        <v>0.11892712550607287</v>
      </c>
      <c r="U526">
        <f>-4.1122-2.5608*T526</f>
        <v>-4.4167485829959512</v>
      </c>
      <c r="V526">
        <f>L526-(SUM(R526:S526)*U526)</f>
        <v>74.085137000000032</v>
      </c>
      <c r="W526">
        <f>V526/(2*O526*Q526)</f>
        <v>8.6121633545715739E-2</v>
      </c>
      <c r="X526">
        <f>W526*16.02</f>
        <v>1.379668569402366</v>
      </c>
      <c r="AA526" t="s">
        <v>28</v>
      </c>
    </row>
    <row r="527" spans="10:27" x14ac:dyDescent="0.2">
      <c r="K527">
        <v>520.72296600000004</v>
      </c>
      <c r="L527">
        <v>-8657.3984130000008</v>
      </c>
      <c r="M527">
        <v>80978.437011999995</v>
      </c>
      <c r="N527">
        <v>-0.66828299999999996</v>
      </c>
      <c r="O527">
        <v>31.226915999999999</v>
      </c>
      <c r="P527">
        <v>188.62341799999999</v>
      </c>
      <c r="Q527">
        <v>13.748291999999999</v>
      </c>
      <c r="R527">
        <v>1741</v>
      </c>
      <c r="S527">
        <v>235</v>
      </c>
      <c r="T527">
        <f>S527/(S527+R527)</f>
        <v>0.11892712550607287</v>
      </c>
      <c r="U527">
        <f>-4.1122-2.5608*T527</f>
        <v>-4.4167485829959512</v>
      </c>
      <c r="V527">
        <f>L527-(SUM(R527:S527)*U527)</f>
        <v>70.096786999998585</v>
      </c>
      <c r="W527">
        <f>V527/(2*O527*Q527)</f>
        <v>8.1637608433314163E-2</v>
      </c>
      <c r="X527">
        <f>W527*16.02</f>
        <v>1.3078344871016929</v>
      </c>
      <c r="AA527" s="10" t="s">
        <v>55</v>
      </c>
    </row>
    <row r="528" spans="10:27" x14ac:dyDescent="0.2">
      <c r="K528">
        <v>520.47069399999998</v>
      </c>
      <c r="L528">
        <v>-8580.4531279999992</v>
      </c>
      <c r="M528">
        <v>81567.392279000007</v>
      </c>
      <c r="N528">
        <v>-0.55179500000000004</v>
      </c>
      <c r="O528">
        <v>31.255748000000001</v>
      </c>
      <c r="P528">
        <v>189.09091599999999</v>
      </c>
      <c r="Q528">
        <v>13.801256</v>
      </c>
      <c r="R528">
        <v>1770</v>
      </c>
      <c r="S528">
        <v>206</v>
      </c>
      <c r="T528">
        <f>S528/(S528+R528)</f>
        <v>0.10425101214574899</v>
      </c>
      <c r="U528">
        <f>-4.1122-2.5608*T528</f>
        <v>-4.3791659919028341</v>
      </c>
      <c r="V528">
        <f>L528-(SUM(R528:S528)*U528)</f>
        <v>72.778872000000774</v>
      </c>
      <c r="W528">
        <f>V528/(2*O528*Q528)</f>
        <v>8.435810515476036E-2</v>
      </c>
      <c r="X528">
        <f>W528*16.02</f>
        <v>1.3514168445792609</v>
      </c>
      <c r="AA528" s="39" t="s">
        <v>110</v>
      </c>
    </row>
    <row r="529" spans="10:25" x14ac:dyDescent="0.2">
      <c r="X529" s="1">
        <f>AVERAGE(X524:X528)</f>
        <v>1.3399180242565134</v>
      </c>
      <c r="Y529">
        <f>STDEV(X524:X528)</f>
        <v>2.8049138217236601E-2</v>
      </c>
    </row>
    <row r="530" spans="10:25" x14ac:dyDescent="0.2">
      <c r="J530">
        <v>100</v>
      </c>
      <c r="K530">
        <v>557.72392600000001</v>
      </c>
      <c r="L530">
        <v>-20568.743026</v>
      </c>
      <c r="M530">
        <v>104720.601177</v>
      </c>
      <c r="N530">
        <v>-0.49206299999999997</v>
      </c>
      <c r="O530">
        <v>27.546054999999999</v>
      </c>
      <c r="P530">
        <v>27.526454000000001</v>
      </c>
      <c r="Q530">
        <v>138.1096</v>
      </c>
      <c r="R530">
        <v>4094</v>
      </c>
      <c r="S530">
        <v>578</v>
      </c>
      <c r="T530">
        <f>S530/(S530+R530)</f>
        <v>0.12371575342465753</v>
      </c>
      <c r="U530">
        <f>-4.1122-2.5608*T530</f>
        <v>-4.4290113013698624</v>
      </c>
      <c r="V530">
        <f>L530-(SUM(R530:S530)*U530)</f>
        <v>123.59777399999803</v>
      </c>
      <c r="W530">
        <f>V530/(2*O530*P530)</f>
        <v>8.1502508303492358E-2</v>
      </c>
      <c r="X530">
        <f>W530*16.02</f>
        <v>1.3056701830219475</v>
      </c>
    </row>
    <row r="531" spans="10:25" x14ac:dyDescent="0.2">
      <c r="K531">
        <v>557.68278399999997</v>
      </c>
      <c r="L531">
        <v>-20438.915014999999</v>
      </c>
      <c r="M531">
        <v>105353.45344300001</v>
      </c>
      <c r="N531">
        <v>-0.57260500000000003</v>
      </c>
      <c r="O531">
        <v>27.56711</v>
      </c>
      <c r="P531">
        <v>27.614657000000001</v>
      </c>
      <c r="Q531">
        <v>138.39457400000001</v>
      </c>
      <c r="R531">
        <v>4144</v>
      </c>
      <c r="S531">
        <v>528</v>
      </c>
      <c r="T531">
        <f>S531/(S531+R531)</f>
        <v>0.11301369863013698</v>
      </c>
      <c r="U531">
        <f>-4.1122-2.5608*T531</f>
        <v>-4.401605479452054</v>
      </c>
      <c r="V531">
        <f>L531-(SUM(R531:S531)*U531)</f>
        <v>125.38578499999858</v>
      </c>
      <c r="W531">
        <f>V531/(2*O531*P531)</f>
        <v>8.2354515239870335E-2</v>
      </c>
      <c r="X531">
        <f>W531*16.02</f>
        <v>1.3193193341427227</v>
      </c>
    </row>
    <row r="532" spans="10:25" x14ac:dyDescent="0.2">
      <c r="K532">
        <v>557.90338799999995</v>
      </c>
      <c r="L532">
        <v>-20486.082671</v>
      </c>
      <c r="M532">
        <v>105302.945328</v>
      </c>
      <c r="N532">
        <v>-0.59531100000000003</v>
      </c>
      <c r="O532">
        <v>27.565747999999999</v>
      </c>
      <c r="P532">
        <v>27.563068999999999</v>
      </c>
      <c r="Q532">
        <v>138.59388200000001</v>
      </c>
      <c r="R532">
        <v>4126</v>
      </c>
      <c r="S532">
        <v>546</v>
      </c>
      <c r="T532">
        <f>S532/(S532+R532)</f>
        <v>0.11686643835616438</v>
      </c>
      <c r="U532">
        <f>-4.1122-2.5608*T532</f>
        <v>-4.4114715753424658</v>
      </c>
      <c r="V532">
        <f>L532-(SUM(R532:S532)*U532)</f>
        <v>124.3125289999989</v>
      </c>
      <c r="W532">
        <f>V532/(2*O532*P532)</f>
        <v>8.1806451018035672E-2</v>
      </c>
      <c r="X532">
        <f>W532*16.02</f>
        <v>1.3105393453089313</v>
      </c>
    </row>
    <row r="533" spans="10:25" x14ac:dyDescent="0.2">
      <c r="K533">
        <v>557.79600400000004</v>
      </c>
      <c r="L533">
        <v>-20433.543651</v>
      </c>
      <c r="M533">
        <v>105566.11635</v>
      </c>
      <c r="N533">
        <v>-0.49035800000000002</v>
      </c>
      <c r="O533">
        <v>27.601445999999999</v>
      </c>
      <c r="P533">
        <v>27.589682</v>
      </c>
      <c r="Q533">
        <v>138.62680599999999</v>
      </c>
      <c r="R533">
        <v>4147</v>
      </c>
      <c r="S533">
        <v>525</v>
      </c>
      <c r="T533">
        <f>S533/(S533+R533)</f>
        <v>0.11237157534246575</v>
      </c>
      <c r="U533">
        <f>-4.1122-2.5608*T533</f>
        <v>-4.3999611301369859</v>
      </c>
      <c r="V533">
        <f>L533-(SUM(R533:S533)*U533)</f>
        <v>123.07474899999943</v>
      </c>
      <c r="W533">
        <f>V533/(2*O533*P533)</f>
        <v>8.0809130449440283E-2</v>
      </c>
      <c r="X533">
        <f>W533*16.02</f>
        <v>1.2945622698000334</v>
      </c>
    </row>
    <row r="534" spans="10:25" x14ac:dyDescent="0.2">
      <c r="K534">
        <v>557.78536999999994</v>
      </c>
      <c r="L534">
        <v>-20432.769338999999</v>
      </c>
      <c r="M534">
        <v>105381.75677000001</v>
      </c>
      <c r="N534">
        <v>-0.53254000000000001</v>
      </c>
      <c r="O534">
        <v>27.611525</v>
      </c>
      <c r="P534">
        <v>27.579021000000001</v>
      </c>
      <c r="Q534">
        <v>138.387753</v>
      </c>
      <c r="R534">
        <v>4146</v>
      </c>
      <c r="S534">
        <v>526</v>
      </c>
      <c r="T534">
        <f>S534/(S534+R534)</f>
        <v>0.11258561643835617</v>
      </c>
      <c r="U534">
        <f>-4.1122-2.5608*T534</f>
        <v>-4.4005092465753419</v>
      </c>
      <c r="V534">
        <f>L534-(SUM(R534:S534)*U534)</f>
        <v>126.40986100000009</v>
      </c>
      <c r="W534">
        <f>V534/(2*O534*P534)</f>
        <v>8.3000693095206052E-2</v>
      </c>
      <c r="X534">
        <f>W534*16.02</f>
        <v>1.3296711033852009</v>
      </c>
    </row>
    <row r="535" spans="10:25" x14ac:dyDescent="0.2">
      <c r="X535" s="1">
        <f>AVERAGE(X530:X534)</f>
        <v>1.3119524471317674</v>
      </c>
      <c r="Y535">
        <f>STDEV(X530:X534)</f>
        <v>1.3342636268705566E-2</v>
      </c>
    </row>
    <row r="536" spans="10:25" x14ac:dyDescent="0.2">
      <c r="J536">
        <v>110</v>
      </c>
      <c r="K536">
        <v>520.62904700000001</v>
      </c>
      <c r="L536">
        <v>-7931.0403699999997</v>
      </c>
      <c r="M536">
        <v>40850.895478999999</v>
      </c>
      <c r="N536">
        <v>-0.85190200000000005</v>
      </c>
      <c r="O536">
        <v>97.502308999999997</v>
      </c>
      <c r="P536">
        <v>24.393069000000001</v>
      </c>
      <c r="Q536">
        <v>17.175992999999998</v>
      </c>
      <c r="R536">
        <v>1571</v>
      </c>
      <c r="S536">
        <v>229</v>
      </c>
      <c r="T536">
        <f>S536/(S536+R536)</f>
        <v>0.12722222222222221</v>
      </c>
      <c r="U536">
        <f>-4.1122-2.5608*T536</f>
        <v>-4.437990666666666</v>
      </c>
      <c r="V536">
        <f>L536-(SUM(R536:S536)*U536)</f>
        <v>57.342829999998685</v>
      </c>
      <c r="W536">
        <f>V536/(2*Q536*P536)</f>
        <v>6.8432251371725691E-2</v>
      </c>
      <c r="X536">
        <f>W536*16.02</f>
        <v>1.0962846669750455</v>
      </c>
    </row>
    <row r="537" spans="10:25" x14ac:dyDescent="0.2">
      <c r="K537">
        <v>520.55591600000002</v>
      </c>
      <c r="L537">
        <v>-7849.6351260000001</v>
      </c>
      <c r="M537">
        <v>41261.706441000002</v>
      </c>
      <c r="N537">
        <v>-1.1106830000000001</v>
      </c>
      <c r="O537">
        <v>98.084237999999999</v>
      </c>
      <c r="P537">
        <v>24.478853000000001</v>
      </c>
      <c r="Q537">
        <v>17.185381</v>
      </c>
      <c r="R537">
        <v>1600</v>
      </c>
      <c r="S537">
        <v>200</v>
      </c>
      <c r="T537">
        <f>S537/(S537+R537)</f>
        <v>0.1111111111111111</v>
      </c>
      <c r="U537">
        <f>-4.1122-2.5608*T537</f>
        <v>-4.3967333333333327</v>
      </c>
      <c r="V537">
        <f>L537-(SUM(R537:S537)*U537)</f>
        <v>64.484873999998854</v>
      </c>
      <c r="W537">
        <f>V537/(2*Q537*P537)</f>
        <v>7.6643906203250942E-2</v>
      </c>
      <c r="X537">
        <f>W537*16.02</f>
        <v>1.22783537737608</v>
      </c>
    </row>
    <row r="538" spans="10:25" x14ac:dyDescent="0.2">
      <c r="K538">
        <v>520.62353299999995</v>
      </c>
      <c r="L538">
        <v>-7860.816084</v>
      </c>
      <c r="M538">
        <v>41150.230879000002</v>
      </c>
      <c r="N538">
        <v>-1.12856</v>
      </c>
      <c r="O538">
        <v>97.776004</v>
      </c>
      <c r="P538">
        <v>24.412991999999999</v>
      </c>
      <c r="Q538">
        <v>17.239353000000001</v>
      </c>
      <c r="R538">
        <v>1598</v>
      </c>
      <c r="S538">
        <v>202</v>
      </c>
      <c r="T538">
        <f>S538/(S538+R538)</f>
        <v>0.11222222222222222</v>
      </c>
      <c r="U538">
        <f>-4.1122-2.5608*T538</f>
        <v>-4.3995786666666667</v>
      </c>
      <c r="V538">
        <f>L538-(SUM(R538:S538)*U538)</f>
        <v>58.425516000000243</v>
      </c>
      <c r="W538">
        <f>V538/(2*Q538*P538)</f>
        <v>6.9411365735269209E-2</v>
      </c>
      <c r="X538">
        <f>W538*16.02</f>
        <v>1.1119700790790128</v>
      </c>
    </row>
    <row r="539" spans="10:25" x14ac:dyDescent="0.2">
      <c r="K539">
        <v>520.64917000000003</v>
      </c>
      <c r="L539">
        <v>-7839.0646640000004</v>
      </c>
      <c r="M539">
        <v>41217.364382</v>
      </c>
      <c r="N539">
        <v>-1.036826</v>
      </c>
      <c r="O539">
        <v>97.861962000000005</v>
      </c>
      <c r="P539">
        <v>24.442664000000001</v>
      </c>
      <c r="Q539">
        <v>17.231366999999999</v>
      </c>
      <c r="R539">
        <v>1607</v>
      </c>
      <c r="S539">
        <v>193</v>
      </c>
      <c r="T539">
        <f>S539/(S539+R539)</f>
        <v>0.10722222222222222</v>
      </c>
      <c r="U539">
        <f>-4.1122-2.5608*T539</f>
        <v>-4.3867746666666658</v>
      </c>
      <c r="V539">
        <f>L539-(SUM(R539:S539)*U539)</f>
        <v>57.129735999998047</v>
      </c>
      <c r="W539">
        <f>V539/(2*Q539*P539)</f>
        <v>6.7820962891782549E-2</v>
      </c>
      <c r="X539">
        <f>W539*16.02</f>
        <v>1.0864918255263565</v>
      </c>
    </row>
    <row r="540" spans="10:25" x14ac:dyDescent="0.2">
      <c r="K540">
        <v>520.58948099999998</v>
      </c>
      <c r="L540">
        <v>-7851.0747430000001</v>
      </c>
      <c r="M540">
        <v>41178.830093999997</v>
      </c>
      <c r="N540">
        <v>-1.0831109999999999</v>
      </c>
      <c r="O540">
        <v>97.837834000000001</v>
      </c>
      <c r="P540">
        <v>24.449473999999999</v>
      </c>
      <c r="Q540">
        <v>17.214729999999999</v>
      </c>
      <c r="R540">
        <v>1601</v>
      </c>
      <c r="S540">
        <v>199</v>
      </c>
      <c r="T540">
        <f>S540/(S540+R540)</f>
        <v>0.11055555555555556</v>
      </c>
      <c r="U540">
        <f>-4.1122-2.5608*T540</f>
        <v>-4.3953106666666661</v>
      </c>
      <c r="V540">
        <f>L540-(SUM(R540:S540)*U540)</f>
        <v>60.484456999998656</v>
      </c>
      <c r="W540">
        <f>V540/(2*Q540*P540)</f>
        <v>7.1852859239136035E-2</v>
      </c>
      <c r="X540">
        <f>W540*16.02</f>
        <v>1.1510828050109592</v>
      </c>
    </row>
    <row r="541" spans="10:25" x14ac:dyDescent="0.2">
      <c r="X541" s="1">
        <f>AVERAGE(X536:X540)</f>
        <v>1.1347329507934907</v>
      </c>
      <c r="Y541">
        <f>STDEV(X536:X540)</f>
        <v>5.7573875570461043E-2</v>
      </c>
    </row>
    <row r="542" spans="10:25" x14ac:dyDescent="0.2">
      <c r="J542">
        <v>111</v>
      </c>
      <c r="K542">
        <v>520.60831399999995</v>
      </c>
      <c r="L542">
        <v>-11903.706781999999</v>
      </c>
      <c r="M542">
        <v>62950.314769999997</v>
      </c>
      <c r="N542">
        <v>-0.69637199999999999</v>
      </c>
      <c r="O542">
        <v>95.449314999999999</v>
      </c>
      <c r="P542">
        <v>19.519504000000001</v>
      </c>
      <c r="Q542">
        <v>33.787556000000002</v>
      </c>
      <c r="R542">
        <v>2372</v>
      </c>
      <c r="S542">
        <v>339</v>
      </c>
      <c r="T542">
        <f>S542/(S542+R542)</f>
        <v>0.12504610844706751</v>
      </c>
      <c r="U542">
        <f>-4.1122-2.5608*T542</f>
        <v>-4.4324180745112498</v>
      </c>
      <c r="V542">
        <f>L542-(SUM(R542:S542)*U542)</f>
        <v>112.57861799999955</v>
      </c>
      <c r="W542">
        <f>V542/(2*P542*Q542)</f>
        <v>8.5349378106515175E-2</v>
      </c>
      <c r="X542">
        <f>W542*16.02</f>
        <v>1.3672970372663731</v>
      </c>
    </row>
    <row r="543" spans="10:25" x14ac:dyDescent="0.2">
      <c r="K543">
        <v>520.64020700000003</v>
      </c>
      <c r="L543">
        <v>-11795.157493999999</v>
      </c>
      <c r="M543">
        <v>63565.030440000002</v>
      </c>
      <c r="N543">
        <v>-0.65611399999999998</v>
      </c>
      <c r="O543">
        <v>95.843220000000002</v>
      </c>
      <c r="P543">
        <v>19.565099</v>
      </c>
      <c r="Q543">
        <v>33.898099999999999</v>
      </c>
      <c r="R543">
        <v>2413</v>
      </c>
      <c r="S543">
        <v>298</v>
      </c>
      <c r="T543">
        <f>S543/(S543+R543)</f>
        <v>0.10992253780892659</v>
      </c>
      <c r="U543">
        <f>-4.1122-2.5608*T543</f>
        <v>-4.393689634821099</v>
      </c>
      <c r="V543">
        <f>L543-(SUM(R543:S543)*U543)</f>
        <v>116.13510599999972</v>
      </c>
      <c r="W543">
        <f>V543/(2*P543*Q543)</f>
        <v>8.7554025521118906E-2</v>
      </c>
      <c r="X543">
        <f>W543*16.02</f>
        <v>1.4026154888483249</v>
      </c>
    </row>
    <row r="544" spans="10:25" x14ac:dyDescent="0.2">
      <c r="K544">
        <v>520.54493100000002</v>
      </c>
      <c r="L544">
        <v>-11858.630046</v>
      </c>
      <c r="M544">
        <v>63166.102964999998</v>
      </c>
      <c r="N544">
        <v>-0.68352999999999997</v>
      </c>
      <c r="O544">
        <v>95.656989999999993</v>
      </c>
      <c r="P544">
        <v>19.524726000000001</v>
      </c>
      <c r="Q544">
        <v>33.820743</v>
      </c>
      <c r="R544">
        <v>2389</v>
      </c>
      <c r="S544">
        <v>322</v>
      </c>
      <c r="T544">
        <f>S544/(S544+R544)</f>
        <v>0.11877535964588713</v>
      </c>
      <c r="U544">
        <f>-4.1122-2.5608*T544</f>
        <v>-4.4163599409811871</v>
      </c>
      <c r="V544">
        <f>L544-(SUM(R544:S544)*U544)</f>
        <v>114.12175399999796</v>
      </c>
      <c r="W544">
        <f>V544/(2*P544*Q544)</f>
        <v>8.6411262439234485E-2</v>
      </c>
      <c r="X544">
        <f>W544*16.02</f>
        <v>1.3843084242765364</v>
      </c>
    </row>
    <row r="545" spans="10:25" x14ac:dyDescent="0.2">
      <c r="K545">
        <v>520.60752200000002</v>
      </c>
      <c r="L545">
        <v>-11782.334629999999</v>
      </c>
      <c r="M545">
        <v>63484.482748000002</v>
      </c>
      <c r="N545">
        <v>-0.70408300000000001</v>
      </c>
      <c r="O545">
        <v>95.822439000000003</v>
      </c>
      <c r="P545">
        <v>19.550485999999999</v>
      </c>
      <c r="Q545">
        <v>33.887796999999999</v>
      </c>
      <c r="R545">
        <v>2419</v>
      </c>
      <c r="S545">
        <v>292</v>
      </c>
      <c r="T545">
        <f>S545/(S545+R545)</f>
        <v>0.10770933234968647</v>
      </c>
      <c r="U545">
        <f>-4.1122-2.5608*T545</f>
        <v>-4.3880220582810772</v>
      </c>
      <c r="V545">
        <f>L545-(SUM(R545:S545)*U545)</f>
        <v>113.5931700000001</v>
      </c>
      <c r="W545">
        <f>V545/(2*P545*Q545)</f>
        <v>8.5727730965616006E-2</v>
      </c>
      <c r="X545">
        <f>W545*16.02</f>
        <v>1.3733582500691683</v>
      </c>
    </row>
    <row r="546" spans="10:25" x14ac:dyDescent="0.2">
      <c r="K546">
        <v>520.59173399999997</v>
      </c>
      <c r="L546">
        <v>-11766.329189</v>
      </c>
      <c r="M546">
        <v>63523.589481000003</v>
      </c>
      <c r="N546">
        <v>-0.62121400000000004</v>
      </c>
      <c r="O546">
        <v>95.761182000000005</v>
      </c>
      <c r="P546">
        <v>19.566877999999999</v>
      </c>
      <c r="Q546">
        <v>33.901935999999999</v>
      </c>
      <c r="R546">
        <v>2425</v>
      </c>
      <c r="S546">
        <v>286</v>
      </c>
      <c r="T546">
        <f>S546/(S546+R546)</f>
        <v>0.10549612689044632</v>
      </c>
      <c r="U546">
        <f>-4.1122-2.5608*T546</f>
        <v>-4.3823544817410545</v>
      </c>
      <c r="V546">
        <f>L546-(SUM(R546:S546)*U546)</f>
        <v>114.23381099999824</v>
      </c>
      <c r="W546">
        <f>V546/(2*P546*Q546)</f>
        <v>8.6103069347742714E-2</v>
      </c>
      <c r="X546">
        <f>W546*16.02</f>
        <v>1.3793711709508383</v>
      </c>
    </row>
    <row r="547" spans="10:25" x14ac:dyDescent="0.2">
      <c r="X547" s="1">
        <f>AVERAGE(X542:X546)</f>
        <v>1.3813900742822482</v>
      </c>
      <c r="Y547">
        <f>STDEV(X542:X546)</f>
        <v>1.3474372465658673E-2</v>
      </c>
    </row>
    <row r="551" spans="10:25" x14ac:dyDescent="0.2">
      <c r="J551" t="s">
        <v>171</v>
      </c>
      <c r="K551" t="s">
        <v>74</v>
      </c>
      <c r="W551" t="s">
        <v>25</v>
      </c>
      <c r="X551" t="s">
        <v>24</v>
      </c>
    </row>
    <row r="552" spans="10:25" x14ac:dyDescent="0.2">
      <c r="K552" t="s">
        <v>18</v>
      </c>
      <c r="L552" t="s">
        <v>5</v>
      </c>
      <c r="M552" t="s">
        <v>7</v>
      </c>
      <c r="N552" t="s">
        <v>19</v>
      </c>
      <c r="O552" t="s">
        <v>20</v>
      </c>
      <c r="P552" t="s">
        <v>21</v>
      </c>
      <c r="Q552" t="s">
        <v>22</v>
      </c>
      <c r="R552" t="s">
        <v>4</v>
      </c>
      <c r="S552" t="s">
        <v>10</v>
      </c>
      <c r="T552" t="s">
        <v>13</v>
      </c>
      <c r="U552" t="s">
        <v>26</v>
      </c>
      <c r="V552" t="s">
        <v>12</v>
      </c>
      <c r="W552" t="s">
        <v>23</v>
      </c>
      <c r="X552" t="s">
        <v>23</v>
      </c>
    </row>
    <row r="553" spans="10:25" x14ac:dyDescent="0.2">
      <c r="J553" t="s">
        <v>17</v>
      </c>
      <c r="K553">
        <v>260.30792200000002</v>
      </c>
      <c r="L553">
        <v>-16846.644504</v>
      </c>
      <c r="M553">
        <v>77302.586463</v>
      </c>
      <c r="N553">
        <v>0.21963099999999999</v>
      </c>
      <c r="O553">
        <v>30.637988</v>
      </c>
      <c r="P553">
        <v>92.072143999999994</v>
      </c>
      <c r="Q553">
        <v>27.403462999999999</v>
      </c>
      <c r="R553">
        <v>3320</v>
      </c>
      <c r="S553">
        <v>456</v>
      </c>
      <c r="T553">
        <f>S553/(S553+R553)</f>
        <v>0.12076271186440678</v>
      </c>
      <c r="U553">
        <f>-4.1793-2.4352*T553</f>
        <v>-4.4733813559322027</v>
      </c>
      <c r="V553">
        <f>L553-(SUM(R553:S553)*U553)</f>
        <v>44.843495999997685</v>
      </c>
      <c r="W553">
        <f>V553/(2*O553*Q553)</f>
        <v>2.6705688375851577E-2</v>
      </c>
      <c r="X553">
        <f>W553*16.02</f>
        <v>0.42782512778114223</v>
      </c>
    </row>
    <row r="554" spans="10:25" x14ac:dyDescent="0.2">
      <c r="K554">
        <v>260.26044899999999</v>
      </c>
      <c r="L554">
        <v>-16820.955958999999</v>
      </c>
      <c r="M554">
        <v>77406.830598999994</v>
      </c>
      <c r="N554">
        <v>0.22986200000000001</v>
      </c>
      <c r="O554">
        <v>30.651754</v>
      </c>
      <c r="P554">
        <v>92.113512999999998</v>
      </c>
      <c r="Q554">
        <v>27.415775</v>
      </c>
      <c r="R554">
        <v>3333</v>
      </c>
      <c r="S554">
        <v>443</v>
      </c>
      <c r="T554">
        <f>S554/(S554+R554)</f>
        <v>0.11731991525423729</v>
      </c>
      <c r="U554">
        <f>-4.1793-2.4352*T554</f>
        <v>-4.4649974576271179</v>
      </c>
      <c r="V554">
        <f>L554-(SUM(R554:S554)*U554)</f>
        <v>38.874440999996295</v>
      </c>
      <c r="W554">
        <f>V554/(2*O554*Q554)</f>
        <v>2.3130142203744118E-2</v>
      </c>
      <c r="X554">
        <f>W554*16.02</f>
        <v>0.37054487810398079</v>
      </c>
    </row>
    <row r="555" spans="10:25" x14ac:dyDescent="0.2">
      <c r="K555">
        <v>260.30368600000003</v>
      </c>
      <c r="L555">
        <v>-16880.576886999999</v>
      </c>
      <c r="M555">
        <v>77189.253075999994</v>
      </c>
      <c r="N555">
        <v>0.176815</v>
      </c>
      <c r="O555">
        <v>30.623007999999999</v>
      </c>
      <c r="P555">
        <v>92.027125999999996</v>
      </c>
      <c r="Q555">
        <v>27.390063999999999</v>
      </c>
      <c r="R555">
        <v>3305</v>
      </c>
      <c r="S555">
        <v>471</v>
      </c>
      <c r="T555">
        <f>S555/(S555+R555)</f>
        <v>0.12473516949152542</v>
      </c>
      <c r="U555">
        <f>-4.1793-2.4352*T555</f>
        <v>-4.4830550847457626</v>
      </c>
      <c r="V555">
        <f>L555-(SUM(R555:S555)*U555)</f>
        <v>47.439113000000361</v>
      </c>
      <c r="W555">
        <f>V555/(2*O555*Q555)</f>
        <v>2.8279105598730994E-2</v>
      </c>
      <c r="X555">
        <f>W555*16.02</f>
        <v>0.45303127169167051</v>
      </c>
    </row>
    <row r="556" spans="10:25" x14ac:dyDescent="0.2">
      <c r="K556">
        <v>260.27998000000002</v>
      </c>
      <c r="L556">
        <v>-16839.562387000002</v>
      </c>
      <c r="M556">
        <v>77281.345860999994</v>
      </c>
      <c r="N556">
        <v>0.22616700000000001</v>
      </c>
      <c r="O556">
        <v>30.635180999999999</v>
      </c>
      <c r="P556">
        <v>92.06371</v>
      </c>
      <c r="Q556">
        <v>27.400952</v>
      </c>
      <c r="R556">
        <v>3322</v>
      </c>
      <c r="S556">
        <v>454</v>
      </c>
      <c r="T556">
        <f>S556/(S556+R556)</f>
        <v>0.12023305084745763</v>
      </c>
      <c r="U556">
        <f>-4.1793-2.4352*T556</f>
        <v>-4.4720915254237283</v>
      </c>
      <c r="V556">
        <f>L556-(SUM(R556:S556)*U556)</f>
        <v>47.055212999996002</v>
      </c>
      <c r="W556">
        <f>V556/(2*O556*Q556)</f>
        <v>2.8027970096413161E-2</v>
      </c>
      <c r="X556">
        <f>W556*16.02</f>
        <v>0.44900808094453881</v>
      </c>
    </row>
    <row r="557" spans="10:25" x14ac:dyDescent="0.2">
      <c r="K557">
        <v>260.337309</v>
      </c>
      <c r="L557">
        <v>-16807.686223000001</v>
      </c>
      <c r="M557">
        <v>77472.459950000004</v>
      </c>
      <c r="N557">
        <v>0.154892</v>
      </c>
      <c r="O557">
        <v>30.660413999999999</v>
      </c>
      <c r="P557">
        <v>92.139538000000002</v>
      </c>
      <c r="Q557">
        <v>27.423521000000001</v>
      </c>
      <c r="R557">
        <v>3337</v>
      </c>
      <c r="S557">
        <v>439</v>
      </c>
      <c r="T557">
        <f>S557/(S557+R557)</f>
        <v>0.11626059322033898</v>
      </c>
      <c r="U557">
        <f>-4.1793-2.4352*T557</f>
        <v>-4.4624177966101692</v>
      </c>
      <c r="V557">
        <f>L557-(SUM(R557:S557)*U557)</f>
        <v>42.403376999998727</v>
      </c>
      <c r="W557">
        <f>V557/(2*O557*Q557)</f>
        <v>2.5215594982383464E-2</v>
      </c>
      <c r="X557">
        <f>W557*16.02</f>
        <v>0.40395383161778309</v>
      </c>
    </row>
    <row r="558" spans="10:25" x14ac:dyDescent="0.2">
      <c r="X558" s="1">
        <f>AVERAGE(X553:X557)</f>
        <v>0.42087263802782304</v>
      </c>
      <c r="Y558">
        <f>STDEV(X553:X557)</f>
        <v>3.4253639990180731E-2</v>
      </c>
    </row>
    <row r="559" spans="10:25" x14ac:dyDescent="0.2">
      <c r="J559" t="s">
        <v>27</v>
      </c>
      <c r="K559">
        <v>278.909626</v>
      </c>
      <c r="L559">
        <v>-12854.489304000001</v>
      </c>
      <c r="M559">
        <v>59012.671579000002</v>
      </c>
      <c r="N559">
        <v>-1.4388E-2</v>
      </c>
      <c r="O559">
        <v>32.642192000000001</v>
      </c>
      <c r="P559">
        <v>130.96442999999999</v>
      </c>
      <c r="Q559">
        <v>13.80424</v>
      </c>
      <c r="R559">
        <v>2534</v>
      </c>
      <c r="S559">
        <v>346</v>
      </c>
      <c r="T559">
        <f>S559/(S559+R559)</f>
        <v>0.12013888888888889</v>
      </c>
      <c r="U559">
        <f>-4.1793-2.4352*T559</f>
        <v>-4.4718622222222217</v>
      </c>
      <c r="V559">
        <f>L559-(SUM(R559:S559)*U559)</f>
        <v>24.473895999997694</v>
      </c>
      <c r="W559">
        <f>V559/(2*O559*Q559)</f>
        <v>2.7156969108382764E-2</v>
      </c>
      <c r="X559">
        <f>W559*16.02</f>
        <v>0.43505464511629188</v>
      </c>
    </row>
    <row r="560" spans="10:25" x14ac:dyDescent="0.2">
      <c r="K560">
        <v>278.976812</v>
      </c>
      <c r="L560">
        <v>-12827.060192000001</v>
      </c>
      <c r="M560">
        <v>59170.382595000003</v>
      </c>
      <c r="N560">
        <v>3.9084000000000001E-2</v>
      </c>
      <c r="O560">
        <v>32.671244999999999</v>
      </c>
      <c r="P560">
        <v>131.08099300000001</v>
      </c>
      <c r="Q560">
        <v>13.816526</v>
      </c>
      <c r="R560">
        <v>2547</v>
      </c>
      <c r="S560">
        <v>333</v>
      </c>
      <c r="T560">
        <f>S560/(S560+R560)</f>
        <v>0.11562500000000001</v>
      </c>
      <c r="U560">
        <f>-4.1793-2.4352*T560</f>
        <v>-4.4608699999999999</v>
      </c>
      <c r="V560">
        <f>L560-(SUM(R560:S560)*U560)</f>
        <v>20.245407999998861</v>
      </c>
      <c r="W560">
        <f>V560/(2*O560*Q560)</f>
        <v>2.2424976402609136E-2</v>
      </c>
      <c r="X560">
        <f>W560*16.02</f>
        <v>0.35924812196979833</v>
      </c>
    </row>
    <row r="561" spans="10:25" x14ac:dyDescent="0.2">
      <c r="K561">
        <v>278.80678999999998</v>
      </c>
      <c r="L561">
        <v>-12845.493522999999</v>
      </c>
      <c r="M561">
        <v>59004.212056999997</v>
      </c>
      <c r="N561">
        <v>1.5089999999999999E-2</v>
      </c>
      <c r="O561">
        <v>32.640631999999997</v>
      </c>
      <c r="P561">
        <v>130.95817099999999</v>
      </c>
      <c r="Q561">
        <v>13.80358</v>
      </c>
      <c r="R561">
        <v>2538</v>
      </c>
      <c r="S561">
        <v>342</v>
      </c>
      <c r="T561">
        <f>S561/(S561+R561)</f>
        <v>0.11874999999999999</v>
      </c>
      <c r="U561">
        <f>-4.1793-2.4352*T561</f>
        <v>-4.4684799999999996</v>
      </c>
      <c r="V561">
        <f>L561-(SUM(R561:S561)*U561)</f>
        <v>23.728876999999557</v>
      </c>
      <c r="W561">
        <f>V561/(2*O561*Q561)</f>
        <v>2.6332791094129091E-2</v>
      </c>
      <c r="X561">
        <f>W561*16.02</f>
        <v>0.42185131332794801</v>
      </c>
    </row>
    <row r="562" spans="10:25" x14ac:dyDescent="0.2">
      <c r="K562">
        <v>278.80912000000001</v>
      </c>
      <c r="L562">
        <v>-12801.444207</v>
      </c>
      <c r="M562">
        <v>59200.129236000001</v>
      </c>
      <c r="N562">
        <v>8.924E-2</v>
      </c>
      <c r="O562">
        <v>32.676718999999999</v>
      </c>
      <c r="P562">
        <v>131.10295600000001</v>
      </c>
      <c r="Q562">
        <v>13.818841000000001</v>
      </c>
      <c r="R562">
        <v>2556</v>
      </c>
      <c r="S562">
        <v>324</v>
      </c>
      <c r="T562">
        <f>S562/(S562+R562)</f>
        <v>0.1125</v>
      </c>
      <c r="U562">
        <f>-4.1793-2.4352*T562</f>
        <v>-4.4532599999999993</v>
      </c>
      <c r="V562">
        <f>L562-(SUM(R562:S562)*U562)</f>
        <v>23.944592999998349</v>
      </c>
      <c r="W562">
        <f>V562/(2*O562*Q562)</f>
        <v>2.6513520668275982E-2</v>
      </c>
      <c r="X562">
        <f>W562*16.02</f>
        <v>0.42474660110578122</v>
      </c>
    </row>
    <row r="563" spans="10:25" x14ac:dyDescent="0.2">
      <c r="K563">
        <v>278.933986</v>
      </c>
      <c r="L563">
        <v>-12799.469508</v>
      </c>
      <c r="M563">
        <v>59164.209030999999</v>
      </c>
      <c r="N563">
        <v>0.20293900000000001</v>
      </c>
      <c r="O563">
        <v>32.670107999999999</v>
      </c>
      <c r="P563">
        <v>131.076435</v>
      </c>
      <c r="Q563">
        <v>13.816046</v>
      </c>
      <c r="R563">
        <v>2558</v>
      </c>
      <c r="S563">
        <v>322</v>
      </c>
      <c r="T563">
        <f>S563/(S563+R563)</f>
        <v>0.11180555555555556</v>
      </c>
      <c r="U563">
        <f>-4.1793-2.4352*T563</f>
        <v>-4.4515688888888887</v>
      </c>
      <c r="V563">
        <f>L563-(SUM(R563:S563)*U563)</f>
        <v>21.048891999998887</v>
      </c>
      <c r="W563">
        <f>V563/(2*O563*Q563)</f>
        <v>2.3316582876922336E-2</v>
      </c>
      <c r="X563">
        <f>W563*16.02</f>
        <v>0.37353165768829583</v>
      </c>
    </row>
    <row r="564" spans="10:25" x14ac:dyDescent="0.2">
      <c r="X564" s="1">
        <f>AVERAGE(X559:X563)</f>
        <v>0.40288646784162302</v>
      </c>
      <c r="Y564">
        <f>STDEV(X559:X563)</f>
        <v>3.4052652354069055E-2</v>
      </c>
    </row>
    <row r="565" spans="10:25" x14ac:dyDescent="0.2">
      <c r="J565" t="s">
        <v>28</v>
      </c>
      <c r="K565">
        <v>278.88886500000001</v>
      </c>
      <c r="L565">
        <v>-11048.674972999999</v>
      </c>
      <c r="M565">
        <v>50483.442895</v>
      </c>
      <c r="N565">
        <v>4.6350000000000002E-3</v>
      </c>
      <c r="O565">
        <v>35.005032999999997</v>
      </c>
      <c r="P565">
        <v>140.04199700000001</v>
      </c>
      <c r="Q565">
        <v>10.298170000000001</v>
      </c>
      <c r="R565">
        <v>2169</v>
      </c>
      <c r="S565">
        <v>303</v>
      </c>
      <c r="T565">
        <f>S565/(S565+R565)</f>
        <v>0.12257281553398058</v>
      </c>
      <c r="U565">
        <f>-4.1793-2.4352*T565</f>
        <v>-4.4777893203883492</v>
      </c>
      <c r="V565">
        <f>L565-(SUM(R565:S565)*U565)</f>
        <v>20.420227000000523</v>
      </c>
      <c r="W565">
        <f>V565/(2*O565*Q565)</f>
        <v>2.8323050175149911E-2</v>
      </c>
      <c r="X565">
        <f>W565*16.02</f>
        <v>0.45373526380590157</v>
      </c>
    </row>
    <row r="566" spans="10:25" x14ac:dyDescent="0.2">
      <c r="K566">
        <v>278.82646999999997</v>
      </c>
      <c r="L566">
        <v>-10988.661432000001</v>
      </c>
      <c r="M566">
        <v>50700.639899000002</v>
      </c>
      <c r="N566">
        <v>-3.7671999999999997E-2</v>
      </c>
      <c r="O566">
        <v>35.055163</v>
      </c>
      <c r="P566">
        <v>140.242546</v>
      </c>
      <c r="Q566">
        <v>10.312918</v>
      </c>
      <c r="R566">
        <v>2192</v>
      </c>
      <c r="S566">
        <v>280</v>
      </c>
      <c r="T566">
        <f>S566/(S566+R566)</f>
        <v>0.11326860841423948</v>
      </c>
      <c r="U566">
        <f>-4.1793-2.4352*T566</f>
        <v>-4.4551317152103556</v>
      </c>
      <c r="V566">
        <f>L566-(SUM(R566:S566)*U566)</f>
        <v>24.424167999997735</v>
      </c>
      <c r="W566">
        <f>V566/(2*O566*Q566)</f>
        <v>3.3779734161727991E-2</v>
      </c>
      <c r="X566">
        <f>W566*16.02</f>
        <v>0.54115134127088238</v>
      </c>
    </row>
    <row r="567" spans="10:25" x14ac:dyDescent="0.2">
      <c r="K567">
        <v>279.02813400000002</v>
      </c>
      <c r="L567">
        <v>-11036.453224000001</v>
      </c>
      <c r="M567">
        <v>50546.025651000004</v>
      </c>
      <c r="N567">
        <v>0.105869</v>
      </c>
      <c r="O567">
        <v>35.019492</v>
      </c>
      <c r="P567">
        <v>140.099841</v>
      </c>
      <c r="Q567">
        <v>10.302424</v>
      </c>
      <c r="R567">
        <v>2173</v>
      </c>
      <c r="S567">
        <v>299</v>
      </c>
      <c r="T567">
        <f>S567/(S567+R567)</f>
        <v>0.12095469255663431</v>
      </c>
      <c r="U567">
        <f>-4.1793-2.4352*T567</f>
        <v>-4.4738488673139152</v>
      </c>
      <c r="V567">
        <f>L567-(SUM(R567:S567)*U567)</f>
        <v>22.901175999997577</v>
      </c>
      <c r="W567">
        <f>V567/(2*O567*Q567)</f>
        <v>3.1737924848491153E-2</v>
      </c>
      <c r="X567">
        <f>W567*16.02</f>
        <v>0.50844155607282826</v>
      </c>
    </row>
    <row r="568" spans="10:25" x14ac:dyDescent="0.2">
      <c r="K568">
        <v>278.96845200000001</v>
      </c>
      <c r="L568">
        <v>-11014.889406</v>
      </c>
      <c r="M568">
        <v>50674.451639999999</v>
      </c>
      <c r="N568">
        <v>3.4296E-2</v>
      </c>
      <c r="O568">
        <v>35.049126000000001</v>
      </c>
      <c r="P568">
        <v>140.21839499999999</v>
      </c>
      <c r="Q568">
        <v>10.311142</v>
      </c>
      <c r="R568">
        <v>2183</v>
      </c>
      <c r="S568">
        <v>289</v>
      </c>
      <c r="T568">
        <f>S568/(S568+R568)</f>
        <v>0.11690938511326861</v>
      </c>
      <c r="U568">
        <f>-4.1793-2.4352*T568</f>
        <v>-4.4639977346278314</v>
      </c>
      <c r="V568">
        <f>L568-(SUM(R568:S568)*U568)</f>
        <v>20.112993999999162</v>
      </c>
      <c r="W568">
        <f>V568/(2*O568*Q568)</f>
        <v>2.7826768045880711E-2</v>
      </c>
      <c r="X568">
        <f>W568*16.02</f>
        <v>0.44578482409500897</v>
      </c>
    </row>
    <row r="569" spans="10:25" x14ac:dyDescent="0.2">
      <c r="K569">
        <v>278.89574900000002</v>
      </c>
      <c r="L569">
        <v>-11005.463972</v>
      </c>
      <c r="M569">
        <v>50668.405101999997</v>
      </c>
      <c r="N569">
        <v>8.0488000000000004E-2</v>
      </c>
      <c r="O569">
        <v>35.047730999999999</v>
      </c>
      <c r="P569">
        <v>140.212817</v>
      </c>
      <c r="Q569">
        <v>10.310732</v>
      </c>
      <c r="R569">
        <v>2185</v>
      </c>
      <c r="S569">
        <v>287</v>
      </c>
      <c r="T569">
        <f>S569/(S569+R569)</f>
        <v>0.11610032362459546</v>
      </c>
      <c r="U569">
        <f>-4.1793-2.4352*T569</f>
        <v>-4.462027508090614</v>
      </c>
      <c r="V569">
        <f>L569-(SUM(R569:S569)*U569)</f>
        <v>24.66802799999823</v>
      </c>
      <c r="W569">
        <f>V569/(2*O569*Q569)</f>
        <v>3.4131473010005992E-2</v>
      </c>
      <c r="X569">
        <f>W569*16.02</f>
        <v>0.54678619762029601</v>
      </c>
    </row>
    <row r="570" spans="10:25" x14ac:dyDescent="0.2">
      <c r="X570" s="1">
        <f>AVERAGE(X565:X569)</f>
        <v>0.49917983657298343</v>
      </c>
      <c r="Y570">
        <f>STDEV(X565:X569)</f>
        <v>4.751312665562088E-2</v>
      </c>
    </row>
    <row r="571" spans="10:25" x14ac:dyDescent="0.2">
      <c r="J571" t="s">
        <v>55</v>
      </c>
      <c r="K571">
        <v>260.31396100000001</v>
      </c>
      <c r="L571">
        <v>-17434.411660999998</v>
      </c>
      <c r="M571">
        <v>79884.152545999998</v>
      </c>
      <c r="N571">
        <v>0.199685</v>
      </c>
      <c r="O571">
        <v>31.117037</v>
      </c>
      <c r="P571">
        <v>186.74600000000001</v>
      </c>
      <c r="Q571">
        <v>13.747097</v>
      </c>
      <c r="R571">
        <v>3436</v>
      </c>
      <c r="S571">
        <v>468</v>
      </c>
      <c r="T571">
        <f>S571/(S571+R571)</f>
        <v>0.11987704918032786</v>
      </c>
      <c r="U571">
        <f>-4.1793-2.4352*T571</f>
        <v>-4.471224590163934</v>
      </c>
      <c r="V571">
        <f>L571-(SUM(R571:S571)*U571)</f>
        <v>21.249138999999559</v>
      </c>
      <c r="W571">
        <f>V571/(2*O571*Q571)</f>
        <v>2.4837169916845911E-2</v>
      </c>
      <c r="X571">
        <f>W571*16.02</f>
        <v>0.39789146206787146</v>
      </c>
    </row>
    <row r="572" spans="10:25" x14ac:dyDescent="0.2">
      <c r="K572">
        <v>260.29594500000002</v>
      </c>
      <c r="L572">
        <v>-17386.450122999999</v>
      </c>
      <c r="M572">
        <v>79973.628029</v>
      </c>
      <c r="N572">
        <v>0.14479</v>
      </c>
      <c r="O572">
        <v>31.12865</v>
      </c>
      <c r="P572">
        <v>186.815697</v>
      </c>
      <c r="Q572">
        <v>13.752228000000001</v>
      </c>
      <c r="R572">
        <v>3454</v>
      </c>
      <c r="S572">
        <v>450</v>
      </c>
      <c r="T572">
        <f>S572/(S572+R572)</f>
        <v>0.11526639344262295</v>
      </c>
      <c r="U572">
        <f>-4.1793-2.4352*T572</f>
        <v>-4.4599967213114748</v>
      </c>
      <c r="V572">
        <f>L572-(SUM(R572:S572)*U572)</f>
        <v>25.377076999997371</v>
      </c>
      <c r="W572">
        <f>V572/(2*O572*Q572)</f>
        <v>2.9640003553473206E-2</v>
      </c>
      <c r="X572">
        <f>W572*16.02</f>
        <v>0.47483285692664073</v>
      </c>
    </row>
    <row r="573" spans="10:25" x14ac:dyDescent="0.2">
      <c r="K573">
        <v>260.308469</v>
      </c>
      <c r="L573">
        <v>-17467.654021999999</v>
      </c>
      <c r="M573">
        <v>79651.509833000004</v>
      </c>
      <c r="N573">
        <v>0.20974499999999999</v>
      </c>
      <c r="O573">
        <v>31.0868</v>
      </c>
      <c r="P573">
        <v>186.56453999999999</v>
      </c>
      <c r="Q573">
        <v>13.733739</v>
      </c>
      <c r="R573">
        <v>3421</v>
      </c>
      <c r="S573">
        <v>483</v>
      </c>
      <c r="T573">
        <f>S573/(S573+R573)</f>
        <v>0.12371926229508197</v>
      </c>
      <c r="U573">
        <f>-4.1793-2.4352*T573</f>
        <v>-4.4805811475409829</v>
      </c>
      <c r="V573">
        <f>L573-(SUM(R573:S573)*U573)</f>
        <v>24.534777999997459</v>
      </c>
      <c r="W573">
        <f>V573/(2*O573*Q573)</f>
        <v>2.8733420474479972E-2</v>
      </c>
      <c r="X573">
        <f>W573*16.02</f>
        <v>0.46030939600116916</v>
      </c>
    </row>
    <row r="574" spans="10:25" x14ac:dyDescent="0.2">
      <c r="K574">
        <v>260.25865399999998</v>
      </c>
      <c r="L574">
        <v>-17426.628674</v>
      </c>
      <c r="M574">
        <v>79850.551053000003</v>
      </c>
      <c r="N574">
        <v>0.19908100000000001</v>
      </c>
      <c r="O574">
        <v>31.112673000000001</v>
      </c>
      <c r="P574">
        <v>186.71981199999999</v>
      </c>
      <c r="Q574">
        <v>13.74517</v>
      </c>
      <c r="R574">
        <v>3437</v>
      </c>
      <c r="S574">
        <v>467</v>
      </c>
      <c r="T574">
        <f>S574/(S574+R574)</f>
        <v>0.11962090163934426</v>
      </c>
      <c r="U574">
        <f>-4.1793-2.4352*T574</f>
        <v>-4.4706008196721303</v>
      </c>
      <c r="V574">
        <f>L574-(SUM(R574:S574)*U574)</f>
        <v>26.596925999998348</v>
      </c>
      <c r="W574">
        <f>V574/(2*O574*Q574)</f>
        <v>3.109667890315556E-2</v>
      </c>
      <c r="X574">
        <f>W574*16.02</f>
        <v>0.49816879602855207</v>
      </c>
    </row>
    <row r="575" spans="10:25" x14ac:dyDescent="0.2">
      <c r="K575">
        <v>260.24939699999999</v>
      </c>
      <c r="L575">
        <v>-17405.501207000001</v>
      </c>
      <c r="M575">
        <v>79869.941346000007</v>
      </c>
      <c r="N575">
        <v>0.18373500000000001</v>
      </c>
      <c r="O575">
        <v>31.115190999999999</v>
      </c>
      <c r="P575">
        <v>186.73492400000001</v>
      </c>
      <c r="Q575">
        <v>13.746282000000001</v>
      </c>
      <c r="R575">
        <v>3448</v>
      </c>
      <c r="S575">
        <v>456</v>
      </c>
      <c r="T575">
        <f>S575/(S575+R575)</f>
        <v>0.11680327868852459</v>
      </c>
      <c r="U575">
        <f>-4.1793-2.4352*T575</f>
        <v>-4.4637393442622946</v>
      </c>
      <c r="V575">
        <f>L575-(SUM(R575:S575)*U575)</f>
        <v>20.937192999997933</v>
      </c>
      <c r="W575">
        <f>V575/(2*O575*Q575)</f>
        <v>2.4475453103214074E-2</v>
      </c>
      <c r="X575">
        <f>W575*16.02</f>
        <v>0.39209675871348948</v>
      </c>
    </row>
    <row r="576" spans="10:25" x14ac:dyDescent="0.2">
      <c r="X576" s="1">
        <f>AVERAGE(X571:X575)</f>
        <v>0.44465985394754454</v>
      </c>
      <c r="Y576">
        <f>STDEV(X571:X575)</f>
        <v>4.7351574993574251E-2</v>
      </c>
    </row>
    <row r="577" spans="10:25" x14ac:dyDescent="0.2">
      <c r="J577" t="s">
        <v>80</v>
      </c>
      <c r="K577">
        <v>260.25737099999998</v>
      </c>
      <c r="L577">
        <v>-17072.9689</v>
      </c>
      <c r="M577">
        <v>78233.828359000006</v>
      </c>
      <c r="N577">
        <v>0.18833900000000001</v>
      </c>
      <c r="O577">
        <v>30.760525999999999</v>
      </c>
      <c r="P577">
        <v>184.88078300000001</v>
      </c>
      <c r="Q577">
        <v>13.756532</v>
      </c>
      <c r="R577">
        <v>3368</v>
      </c>
      <c r="S577">
        <v>456</v>
      </c>
      <c r="T577">
        <f>S577/(S577+R577)</f>
        <v>0.1192468619246862</v>
      </c>
      <c r="U577">
        <f>-4.1793-2.4352*T577</f>
        <v>-4.4696899581589955</v>
      </c>
      <c r="V577">
        <f>L577-(SUM(R577:S577)*U577)</f>
        <v>19.125499999998283</v>
      </c>
      <c r="W577">
        <f>V577/(2*O577*Q577)</f>
        <v>2.2598524377310168E-2</v>
      </c>
      <c r="X577">
        <f>W577*16.02</f>
        <v>0.36202836052450887</v>
      </c>
    </row>
    <row r="578" spans="10:25" x14ac:dyDescent="0.2">
      <c r="K578">
        <v>260.34059000000002</v>
      </c>
      <c r="L578">
        <v>-17049.885883999999</v>
      </c>
      <c r="M578">
        <v>78367.303020000007</v>
      </c>
      <c r="N578">
        <v>0.235373</v>
      </c>
      <c r="O578">
        <v>30.778009999999998</v>
      </c>
      <c r="P578">
        <v>184.98586499999999</v>
      </c>
      <c r="Q578">
        <v>13.764351</v>
      </c>
      <c r="R578">
        <v>3378</v>
      </c>
      <c r="S578">
        <v>446</v>
      </c>
      <c r="T578">
        <f>S578/(S578+R578)</f>
        <v>0.11663179916317992</v>
      </c>
      <c r="U578">
        <f>-4.1793-2.4352*T578</f>
        <v>-4.4633217573221753</v>
      </c>
      <c r="V578">
        <f>L578-(SUM(R578:S578)*U578)</f>
        <v>17.856515999999829</v>
      </c>
      <c r="W578">
        <f>V578/(2*O578*Q578)</f>
        <v>2.1075139417871595E-2</v>
      </c>
      <c r="X578">
        <f>W578*16.02</f>
        <v>0.33762373347430291</v>
      </c>
    </row>
    <row r="579" spans="10:25" x14ac:dyDescent="0.2">
      <c r="K579">
        <v>260.31377700000002</v>
      </c>
      <c r="L579">
        <v>-17111.342764000001</v>
      </c>
      <c r="M579">
        <v>78148.193226000003</v>
      </c>
      <c r="N579">
        <v>0.22439999999999999</v>
      </c>
      <c r="O579">
        <v>30.749298</v>
      </c>
      <c r="P579">
        <v>184.813301</v>
      </c>
      <c r="Q579">
        <v>13.751511000000001</v>
      </c>
      <c r="R579">
        <v>3353</v>
      </c>
      <c r="S579">
        <v>471</v>
      </c>
      <c r="T579">
        <f>S579/(S579+R579)</f>
        <v>0.12316945606694561</v>
      </c>
      <c r="U579">
        <f>-4.1793-2.4352*T579</f>
        <v>-4.4792422594142254</v>
      </c>
      <c r="V579">
        <f>L579-(SUM(R579:S579)*U579)</f>
        <v>17.279635999995662</v>
      </c>
      <c r="W579">
        <f>V579/(2*O579*Q579)</f>
        <v>2.0432380524273815E-2</v>
      </c>
      <c r="X579">
        <f>W579*16.02</f>
        <v>0.32732673599886652</v>
      </c>
    </row>
    <row r="580" spans="10:25" x14ac:dyDescent="0.2">
      <c r="K580">
        <v>260.297842</v>
      </c>
      <c r="L580">
        <v>-17074.315265000001</v>
      </c>
      <c r="M580">
        <v>78208.822639999999</v>
      </c>
      <c r="N580">
        <v>0.25353199999999998</v>
      </c>
      <c r="O580">
        <v>30.757248000000001</v>
      </c>
      <c r="P580">
        <v>184.86108300000001</v>
      </c>
      <c r="Q580">
        <v>13.755065999999999</v>
      </c>
      <c r="R580">
        <v>3366</v>
      </c>
      <c r="S580">
        <v>458</v>
      </c>
      <c r="T580">
        <f>S580/(S580+R580)</f>
        <v>0.11976987447698745</v>
      </c>
      <c r="U580">
        <f>-4.1793-2.4352*T580</f>
        <v>-4.4709635983263594</v>
      </c>
      <c r="V580">
        <f>L580-(SUM(R580:S580)*U580)</f>
        <v>22.649534999996831</v>
      </c>
      <c r="W580">
        <f>V580/(2*O580*Q580)</f>
        <v>2.6768198343031992E-2</v>
      </c>
      <c r="X580">
        <f>W580*16.02</f>
        <v>0.42882653745537247</v>
      </c>
    </row>
    <row r="581" spans="10:25" x14ac:dyDescent="0.2">
      <c r="K581">
        <v>260.23795200000001</v>
      </c>
      <c r="L581">
        <v>-17037.029454</v>
      </c>
      <c r="M581">
        <v>78376.985264999996</v>
      </c>
      <c r="N581">
        <v>0.178205</v>
      </c>
      <c r="O581">
        <v>30.779277</v>
      </c>
      <c r="P581">
        <v>184.993483</v>
      </c>
      <c r="Q581">
        <v>13.764918</v>
      </c>
      <c r="R581">
        <v>3382</v>
      </c>
      <c r="S581">
        <v>442</v>
      </c>
      <c r="T581">
        <f>S581/(S581+R581)</f>
        <v>0.11558577405857741</v>
      </c>
      <c r="U581">
        <f>-4.1793-2.4352*T581</f>
        <v>-4.4607744769874476</v>
      </c>
      <c r="V581">
        <f>L581-(SUM(R581:S581)*U581)</f>
        <v>20.972146000000066</v>
      </c>
      <c r="W581">
        <f>V581/(2*O581*Q581)</f>
        <v>2.4750320897251359E-2</v>
      </c>
      <c r="X581">
        <f>W581*16.02</f>
        <v>0.39650014077396678</v>
      </c>
    </row>
    <row r="582" spans="10:25" x14ac:dyDescent="0.2">
      <c r="X582" s="1">
        <f>AVERAGE(X577:X581)</f>
        <v>0.37046110164540352</v>
      </c>
      <c r="Y582">
        <f>STDEV(X577:X581)</f>
        <v>4.2114525484006259E-2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6A1C-1E50-144B-BEBC-415330CEC1E6}">
  <dimension ref="A1:AG332"/>
  <sheetViews>
    <sheetView topLeftCell="H1" workbookViewId="0">
      <selection activeCell="AB32" sqref="AB32:AF43"/>
    </sheetView>
  </sheetViews>
  <sheetFormatPr baseColWidth="10" defaultRowHeight="16" x14ac:dyDescent="0.2"/>
  <sheetData>
    <row r="1" spans="1:6" x14ac:dyDescent="0.2">
      <c r="B1" t="s">
        <v>186</v>
      </c>
      <c r="E1" t="s">
        <v>29</v>
      </c>
      <c r="F1" t="s">
        <v>30</v>
      </c>
    </row>
    <row r="2" spans="1:6" x14ac:dyDescent="0.2">
      <c r="D2">
        <v>600</v>
      </c>
      <c r="E2">
        <v>-4.1201358984000001</v>
      </c>
      <c r="F2">
        <v>-6.8129961863403325</v>
      </c>
    </row>
    <row r="3" spans="1:6" x14ac:dyDescent="0.2">
      <c r="D3">
        <v>800</v>
      </c>
      <c r="E3">
        <v>-4.0944669552500006</v>
      </c>
      <c r="F3">
        <v>-6.7846091721999997</v>
      </c>
    </row>
    <row r="4" spans="1:6" x14ac:dyDescent="0.2">
      <c r="D4">
        <v>1000</v>
      </c>
      <c r="E4">
        <v>-4.0670907491499992</v>
      </c>
      <c r="F4">
        <v>-6.7554243092999995</v>
      </c>
    </row>
    <row r="5" spans="1:6" x14ac:dyDescent="0.2">
      <c r="D5">
        <v>1200</v>
      </c>
      <c r="E5">
        <v>-4.0371768887999995</v>
      </c>
      <c r="F5">
        <v>-6.7245818759000002</v>
      </c>
    </row>
    <row r="6" spans="1:6" x14ac:dyDescent="0.2">
      <c r="B6" t="s">
        <v>32</v>
      </c>
    </row>
    <row r="7" spans="1:6" x14ac:dyDescent="0.2">
      <c r="B7" t="s">
        <v>5</v>
      </c>
      <c r="C7" t="s">
        <v>7</v>
      </c>
      <c r="D7" t="s">
        <v>6</v>
      </c>
      <c r="E7" t="s">
        <v>8</v>
      </c>
      <c r="F7" t="s">
        <v>13</v>
      </c>
    </row>
    <row r="8" spans="1:6" x14ac:dyDescent="0.2">
      <c r="A8">
        <v>1200</v>
      </c>
      <c r="B8">
        <v>-9195.2989280000002</v>
      </c>
      <c r="C8">
        <v>40386.970476000002</v>
      </c>
      <c r="D8">
        <f>B8/2000</f>
        <v>-4.5976494639999999</v>
      </c>
      <c r="E8">
        <f>C8/2000</f>
        <v>20.193485238000001</v>
      </c>
      <c r="F8">
        <f>442/2000</f>
        <v>0.221</v>
      </c>
    </row>
    <row r="9" spans="1:6" x14ac:dyDescent="0.2">
      <c r="B9">
        <v>-9192.9290450000008</v>
      </c>
      <c r="C9">
        <v>40405.205016</v>
      </c>
      <c r="D9">
        <f t="shared" ref="D9:E17" si="0">B9/2000</f>
        <v>-4.5964645225000007</v>
      </c>
      <c r="E9">
        <f t="shared" si="0"/>
        <v>20.202602507999998</v>
      </c>
      <c r="F9">
        <f>441/2000</f>
        <v>0.2205</v>
      </c>
    </row>
    <row r="10" spans="1:6" x14ac:dyDescent="0.2">
      <c r="B10">
        <v>-9170.3975250000003</v>
      </c>
      <c r="C10">
        <v>40467.086248</v>
      </c>
      <c r="D10">
        <f t="shared" si="0"/>
        <v>-4.5851987625000001</v>
      </c>
      <c r="E10">
        <f t="shared" si="0"/>
        <v>20.233543124000001</v>
      </c>
      <c r="F10">
        <f>432/2000</f>
        <v>0.216</v>
      </c>
    </row>
    <row r="11" spans="1:6" x14ac:dyDescent="0.2">
      <c r="B11">
        <v>-9206.9937410000002</v>
      </c>
      <c r="C11">
        <v>40383.960415000001</v>
      </c>
      <c r="D11">
        <f t="shared" si="0"/>
        <v>-4.6034968704999999</v>
      </c>
      <c r="E11">
        <f t="shared" si="0"/>
        <v>20.191980207500002</v>
      </c>
      <c r="F11">
        <f>448/2000</f>
        <v>0.224</v>
      </c>
    </row>
    <row r="12" spans="1:6" x14ac:dyDescent="0.2">
      <c r="B12">
        <v>-9206.6175619999995</v>
      </c>
      <c r="C12">
        <v>40347.872592</v>
      </c>
      <c r="D12">
        <f t="shared" si="0"/>
        <v>-4.603308781</v>
      </c>
      <c r="E12">
        <f t="shared" si="0"/>
        <v>20.173936296000001</v>
      </c>
      <c r="F12">
        <f>447/2000</f>
        <v>0.2235</v>
      </c>
    </row>
    <row r="13" spans="1:6" x14ac:dyDescent="0.2">
      <c r="B13">
        <v>-9203.654751</v>
      </c>
      <c r="C13">
        <v>40379.358979999997</v>
      </c>
      <c r="D13">
        <f t="shared" si="0"/>
        <v>-4.6018273755000001</v>
      </c>
      <c r="E13">
        <f t="shared" si="0"/>
        <v>20.18967949</v>
      </c>
      <c r="F13">
        <f>445/2000</f>
        <v>0.2225</v>
      </c>
    </row>
    <row r="14" spans="1:6" x14ac:dyDescent="0.2">
      <c r="B14">
        <v>-9304.5783719999999</v>
      </c>
      <c r="C14">
        <v>40123.966696000003</v>
      </c>
      <c r="D14">
        <f t="shared" si="0"/>
        <v>-4.652289186</v>
      </c>
      <c r="E14">
        <f t="shared" si="0"/>
        <v>20.061983348000002</v>
      </c>
      <c r="F14">
        <f>486/2000</f>
        <v>0.24299999999999999</v>
      </c>
    </row>
    <row r="15" spans="1:6" x14ac:dyDescent="0.2">
      <c r="B15">
        <v>-9225.087861</v>
      </c>
      <c r="C15">
        <v>40338.762333999999</v>
      </c>
      <c r="D15">
        <f t="shared" si="0"/>
        <v>-4.6125439305000002</v>
      </c>
      <c r="E15">
        <f t="shared" si="0"/>
        <v>20.169381167000001</v>
      </c>
      <c r="F15">
        <f>455/2000</f>
        <v>0.22750000000000001</v>
      </c>
    </row>
    <row r="16" spans="1:6" x14ac:dyDescent="0.2">
      <c r="B16">
        <v>-9241.6620180000009</v>
      </c>
      <c r="C16">
        <v>40275.457123</v>
      </c>
      <c r="D16">
        <f t="shared" si="0"/>
        <v>-4.6208310090000007</v>
      </c>
      <c r="E16">
        <f t="shared" si="0"/>
        <v>20.137728561500001</v>
      </c>
      <c r="F16">
        <f>462/2000</f>
        <v>0.23100000000000001</v>
      </c>
    </row>
    <row r="17" spans="1:33" x14ac:dyDescent="0.2">
      <c r="B17">
        <v>-9153.5877560000008</v>
      </c>
      <c r="C17">
        <v>40504.092906999998</v>
      </c>
      <c r="D17">
        <f t="shared" si="0"/>
        <v>-4.5767938780000001</v>
      </c>
      <c r="E17">
        <f t="shared" si="0"/>
        <v>20.2520464535</v>
      </c>
      <c r="F17">
        <f>426/2000</f>
        <v>0.21299999999999999</v>
      </c>
    </row>
    <row r="19" spans="1:33" x14ac:dyDescent="0.2">
      <c r="B19" t="s">
        <v>5</v>
      </c>
      <c r="C19" t="s">
        <v>7</v>
      </c>
      <c r="D19" t="s">
        <v>6</v>
      </c>
      <c r="E19" t="s">
        <v>8</v>
      </c>
      <c r="F19" t="s">
        <v>13</v>
      </c>
    </row>
    <row r="20" spans="1:33" x14ac:dyDescent="0.2">
      <c r="A20">
        <v>1000</v>
      </c>
      <c r="B20">
        <v>-9253.8006619999996</v>
      </c>
      <c r="C20">
        <v>40087.870067999997</v>
      </c>
      <c r="D20">
        <f>B20/2000</f>
        <v>-4.6269003309999999</v>
      </c>
      <c r="E20">
        <f>C20/2000</f>
        <v>20.043935033999997</v>
      </c>
      <c r="F20">
        <f>442/2000</f>
        <v>0.221</v>
      </c>
    </row>
    <row r="21" spans="1:33" x14ac:dyDescent="0.2">
      <c r="B21">
        <v>-9246.7933869999997</v>
      </c>
      <c r="C21">
        <v>40114.610837</v>
      </c>
      <c r="D21">
        <f t="shared" ref="D21:E29" si="1">B21/2000</f>
        <v>-4.6233966935000002</v>
      </c>
      <c r="E21">
        <f t="shared" si="1"/>
        <v>20.0573054185</v>
      </c>
      <c r="F21">
        <f>441/2000</f>
        <v>0.2205</v>
      </c>
    </row>
    <row r="22" spans="1:33" x14ac:dyDescent="0.2">
      <c r="B22">
        <v>-9223.60131</v>
      </c>
      <c r="C22">
        <v>40197.120758999998</v>
      </c>
      <c r="D22">
        <f t="shared" si="1"/>
        <v>-4.6118006549999997</v>
      </c>
      <c r="E22">
        <f t="shared" si="1"/>
        <v>20.0985603795</v>
      </c>
      <c r="F22">
        <f>432/2000</f>
        <v>0.216</v>
      </c>
      <c r="AA22" s="10"/>
      <c r="AB22" s="10"/>
      <c r="AC22" s="10"/>
      <c r="AD22" s="10"/>
      <c r="AE22" s="10"/>
      <c r="AF22" s="10"/>
      <c r="AG22" s="10"/>
    </row>
    <row r="23" spans="1:33" x14ac:dyDescent="0.2">
      <c r="B23">
        <v>-9265.0032470000006</v>
      </c>
      <c r="C23">
        <v>40100.256604000002</v>
      </c>
      <c r="D23">
        <f t="shared" si="1"/>
        <v>-4.6325016235000005</v>
      </c>
      <c r="E23">
        <f t="shared" si="1"/>
        <v>20.050128302000001</v>
      </c>
      <c r="F23">
        <f>448/2000</f>
        <v>0.224</v>
      </c>
      <c r="AA23" s="10"/>
      <c r="AB23" s="10"/>
      <c r="AC23" s="10"/>
      <c r="AD23" s="10"/>
      <c r="AE23" s="10"/>
      <c r="AF23" s="10"/>
      <c r="AG23" s="10"/>
    </row>
    <row r="24" spans="1:33" x14ac:dyDescent="0.2">
      <c r="B24">
        <v>-9260.1821419999997</v>
      </c>
      <c r="C24">
        <v>40086.881306000003</v>
      </c>
      <c r="D24">
        <f t="shared" si="1"/>
        <v>-4.6300910709999998</v>
      </c>
      <c r="E24">
        <f t="shared" si="1"/>
        <v>20.043440653000001</v>
      </c>
      <c r="F24">
        <f>447/2000</f>
        <v>0.2235</v>
      </c>
      <c r="J24">
        <v>1200</v>
      </c>
      <c r="K24" t="s">
        <v>32</v>
      </c>
      <c r="W24" t="s">
        <v>25</v>
      </c>
      <c r="X24" t="s">
        <v>24</v>
      </c>
      <c r="AA24" s="10"/>
      <c r="AB24" s="10"/>
      <c r="AC24" s="10"/>
      <c r="AD24" s="10"/>
      <c r="AE24" s="10"/>
      <c r="AF24" s="10"/>
      <c r="AG24" s="10"/>
    </row>
    <row r="25" spans="1:33" x14ac:dyDescent="0.2">
      <c r="B25">
        <v>-9258.9558570000008</v>
      </c>
      <c r="C25">
        <v>40087.891789000001</v>
      </c>
      <c r="D25">
        <f t="shared" si="1"/>
        <v>-4.6294779285000001</v>
      </c>
      <c r="E25">
        <f t="shared" si="1"/>
        <v>20.043945894500002</v>
      </c>
      <c r="F25">
        <f>445/2000</f>
        <v>0.2225</v>
      </c>
      <c r="J25" t="s">
        <v>176</v>
      </c>
      <c r="K25" t="s">
        <v>18</v>
      </c>
      <c r="L25" t="s">
        <v>5</v>
      </c>
      <c r="M25" t="s">
        <v>7</v>
      </c>
      <c r="N25" t="s">
        <v>19</v>
      </c>
      <c r="O25" t="s">
        <v>20</v>
      </c>
      <c r="P25" t="s">
        <v>21</v>
      </c>
      <c r="Q25" t="s">
        <v>22</v>
      </c>
      <c r="R25" t="s">
        <v>4</v>
      </c>
      <c r="S25" t="s">
        <v>10</v>
      </c>
      <c r="T25" t="s">
        <v>13</v>
      </c>
      <c r="U25" t="s">
        <v>26</v>
      </c>
      <c r="V25" t="s">
        <v>12</v>
      </c>
      <c r="W25" t="s">
        <v>23</v>
      </c>
      <c r="X25" t="s">
        <v>23</v>
      </c>
      <c r="AB25" s="10"/>
      <c r="AD25" s="10"/>
      <c r="AE25" s="10"/>
      <c r="AF25" s="10"/>
      <c r="AG25" s="10"/>
    </row>
    <row r="26" spans="1:33" x14ac:dyDescent="0.2">
      <c r="B26">
        <v>-9365.7953070000003</v>
      </c>
      <c r="C26">
        <v>39829.181140000001</v>
      </c>
      <c r="D26">
        <f t="shared" si="1"/>
        <v>-4.6828976535000004</v>
      </c>
      <c r="E26">
        <f t="shared" si="1"/>
        <v>19.914590570000001</v>
      </c>
      <c r="F26">
        <f>486/2000</f>
        <v>0.24299999999999999</v>
      </c>
      <c r="I26" t="s">
        <v>55</v>
      </c>
      <c r="J26">
        <v>100000</v>
      </c>
      <c r="K26">
        <v>1040.8906999999999</v>
      </c>
      <c r="L26">
        <v>-17887.111757999999</v>
      </c>
      <c r="M26">
        <v>79025.353954000006</v>
      </c>
      <c r="N26">
        <v>-1.1486769999999999</v>
      </c>
      <c r="O26">
        <v>31.117325000000001</v>
      </c>
      <c r="P26">
        <v>185.16132500000001</v>
      </c>
      <c r="Q26">
        <v>13.71564</v>
      </c>
      <c r="R26">
        <v>3055</v>
      </c>
      <c r="S26">
        <v>849</v>
      </c>
      <c r="T26">
        <f>S26/(S26+R26)</f>
        <v>0.21746926229508196</v>
      </c>
      <c r="U26">
        <f>-4.0498-2.4768*T26</f>
        <v>-4.5884278688524596</v>
      </c>
      <c r="V26">
        <f>L26-(SUM(R26:S26)*U26)</f>
        <v>26.110642000003281</v>
      </c>
      <c r="W26">
        <f>V26/(2*O26*Q26)</f>
        <v>3.0589277637287096E-2</v>
      </c>
      <c r="X26">
        <f>W26*16.02</f>
        <v>0.49004022774933925</v>
      </c>
      <c r="Z26" s="10"/>
      <c r="AC26" s="20"/>
      <c r="AD26" s="20"/>
      <c r="AE26" s="20"/>
      <c r="AF26" s="20"/>
      <c r="AG26" s="10"/>
    </row>
    <row r="27" spans="1:33" x14ac:dyDescent="0.2">
      <c r="B27">
        <v>-9283.2717680000005</v>
      </c>
      <c r="C27">
        <v>40034.708537999999</v>
      </c>
      <c r="D27">
        <f t="shared" si="1"/>
        <v>-4.6416358840000003</v>
      </c>
      <c r="E27">
        <f t="shared" si="1"/>
        <v>20.017354268999998</v>
      </c>
      <c r="F27">
        <f>455/2000</f>
        <v>0.22750000000000001</v>
      </c>
      <c r="J27">
        <v>100000</v>
      </c>
      <c r="K27">
        <v>1041.270538</v>
      </c>
      <c r="L27">
        <v>-17813.109836</v>
      </c>
      <c r="M27">
        <v>79222.987834</v>
      </c>
      <c r="N27">
        <v>-1.2913019999999999</v>
      </c>
      <c r="O27">
        <v>31.076996999999999</v>
      </c>
      <c r="P27">
        <v>185.23989399999999</v>
      </c>
      <c r="Q27">
        <v>13.761953999999999</v>
      </c>
      <c r="R27">
        <v>3083</v>
      </c>
      <c r="S27">
        <v>821</v>
      </c>
      <c r="T27">
        <f>S27/(S27+R27)</f>
        <v>0.21029713114754098</v>
      </c>
      <c r="U27">
        <f t="shared" ref="U27:U30" si="2">-4.0498-2.4768*T27</f>
        <v>-4.5706639344262294</v>
      </c>
      <c r="V27">
        <f>L27-(SUM(R27:S27)*U27)</f>
        <v>30.762163999999757</v>
      </c>
      <c r="W27">
        <f>V27/(2*O27*Q27)</f>
        <v>3.596397936102063E-2</v>
      </c>
      <c r="X27">
        <f>W27*16.02</f>
        <v>0.57614294936355048</v>
      </c>
      <c r="Z27" s="10"/>
      <c r="AC27" s="20"/>
      <c r="AD27" s="20"/>
      <c r="AE27" s="20"/>
      <c r="AF27" s="20"/>
      <c r="AG27" s="10"/>
    </row>
    <row r="28" spans="1:33" x14ac:dyDescent="0.2">
      <c r="B28">
        <v>-9296.5300549999993</v>
      </c>
      <c r="C28">
        <v>39998.752692000002</v>
      </c>
      <c r="D28">
        <f t="shared" si="1"/>
        <v>-4.6482650274999999</v>
      </c>
      <c r="E28">
        <f t="shared" si="1"/>
        <v>19.999376346000002</v>
      </c>
      <c r="F28">
        <f>462/2000</f>
        <v>0.23100000000000001</v>
      </c>
      <c r="J28">
        <v>100000</v>
      </c>
      <c r="K28">
        <v>1041.01451</v>
      </c>
      <c r="L28">
        <v>-17958.224192999998</v>
      </c>
      <c r="M28">
        <v>78853.934624999994</v>
      </c>
      <c r="N28">
        <v>-1.2193780000000001</v>
      </c>
      <c r="O28">
        <v>31.074462</v>
      </c>
      <c r="P28">
        <v>185.313368</v>
      </c>
      <c r="Q28">
        <v>13.693531</v>
      </c>
      <c r="R28">
        <v>3025</v>
      </c>
      <c r="S28">
        <v>879</v>
      </c>
      <c r="T28">
        <f>S28/(S28+R28)</f>
        <v>0.22515368852459017</v>
      </c>
      <c r="U28">
        <f t="shared" si="2"/>
        <v>-4.6074606557377056</v>
      </c>
      <c r="V28">
        <f>L28-(SUM(R28:S28)*U28)</f>
        <v>29.302207000004273</v>
      </c>
      <c r="W28">
        <f>V28/(2*O28*Q28)</f>
        <v>3.4431129414092265E-2</v>
      </c>
      <c r="X28">
        <f>W28*16.02</f>
        <v>0.55158669321375808</v>
      </c>
      <c r="AC28" s="20"/>
      <c r="AD28" s="20"/>
      <c r="AE28" s="20"/>
      <c r="AF28" s="20"/>
      <c r="AG28" s="10"/>
    </row>
    <row r="29" spans="1:33" x14ac:dyDescent="0.2">
      <c r="B29">
        <v>-9212.5270120000005</v>
      </c>
      <c r="C29">
        <v>40204.582240000003</v>
      </c>
      <c r="D29">
        <f t="shared" si="1"/>
        <v>-4.6062635060000003</v>
      </c>
      <c r="E29">
        <f t="shared" si="1"/>
        <v>20.10229112</v>
      </c>
      <c r="F29">
        <f>426/2000</f>
        <v>0.21299999999999999</v>
      </c>
      <c r="J29">
        <v>100000</v>
      </c>
      <c r="K29">
        <v>1041.0629220000001</v>
      </c>
      <c r="L29">
        <v>-17979.11231</v>
      </c>
      <c r="M29">
        <v>78798.191466999997</v>
      </c>
      <c r="N29">
        <v>-1.2097830000000001</v>
      </c>
      <c r="O29">
        <v>31.016317999999998</v>
      </c>
      <c r="P29">
        <v>185.46446900000001</v>
      </c>
      <c r="Q29">
        <v>13.698328999999999</v>
      </c>
      <c r="R29">
        <v>3016</v>
      </c>
      <c r="S29">
        <v>888</v>
      </c>
      <c r="T29">
        <f>S29/(S29+R29)</f>
        <v>0.22745901639344263</v>
      </c>
      <c r="U29">
        <f t="shared" si="2"/>
        <v>-4.6131704918032792</v>
      </c>
      <c r="V29">
        <f>L29-(SUM(R29:S29)*U29)</f>
        <v>30.705290000001696</v>
      </c>
      <c r="W29">
        <f>V29/(2*O29*Q29)</f>
        <v>3.6134776630704947E-2</v>
      </c>
      <c r="X29">
        <f>W29*16.02</f>
        <v>0.57887912162389321</v>
      </c>
      <c r="AB29" s="10"/>
      <c r="AC29" s="20"/>
      <c r="AD29" s="20"/>
      <c r="AE29" s="20"/>
      <c r="AF29" s="20"/>
      <c r="AG29" s="10"/>
    </row>
    <row r="30" spans="1:33" x14ac:dyDescent="0.2">
      <c r="J30">
        <v>100000</v>
      </c>
      <c r="K30">
        <v>1041.0025149999999</v>
      </c>
      <c r="L30">
        <v>-17942.333651000001</v>
      </c>
      <c r="M30">
        <v>78900.814362999998</v>
      </c>
      <c r="N30">
        <v>-1.3932580000000001</v>
      </c>
      <c r="O30">
        <v>31.071811</v>
      </c>
      <c r="P30">
        <v>185.133039</v>
      </c>
      <c r="Q30">
        <v>13.716189999999999</v>
      </c>
      <c r="R30">
        <v>3032</v>
      </c>
      <c r="S30">
        <v>872</v>
      </c>
      <c r="T30">
        <f>S30/(S30+R30)</f>
        <v>0.22336065573770492</v>
      </c>
      <c r="U30">
        <f t="shared" si="2"/>
        <v>-4.6030196721311478</v>
      </c>
      <c r="V30">
        <f>L30-(SUM(R30:S30)*U30)</f>
        <v>27.855148999999074</v>
      </c>
      <c r="W30">
        <f>V30/(2*O30*Q30)</f>
        <v>3.2679502112056315E-2</v>
      </c>
      <c r="X30">
        <f>W30*16.02</f>
        <v>0.52352562383514212</v>
      </c>
      <c r="Y30" s="1">
        <f>AVERAGE(X26:X30)</f>
        <v>0.54403492315713664</v>
      </c>
      <c r="Z30" s="1">
        <f>STDEV(X26:X30)</f>
        <v>3.7543745269720173E-2</v>
      </c>
      <c r="AB30" s="39"/>
      <c r="AC30" s="20"/>
      <c r="AD30" s="20"/>
      <c r="AE30" s="20"/>
      <c r="AF30" s="20"/>
      <c r="AG30" s="10"/>
    </row>
    <row r="31" spans="1:33" x14ac:dyDescent="0.2">
      <c r="B31" t="s">
        <v>5</v>
      </c>
      <c r="C31" t="s">
        <v>7</v>
      </c>
      <c r="D31" t="s">
        <v>6</v>
      </c>
      <c r="E31" t="s">
        <v>8</v>
      </c>
      <c r="F31" t="s">
        <v>13</v>
      </c>
      <c r="Y31" s="1"/>
      <c r="AA31" s="10"/>
      <c r="AC31" s="48"/>
      <c r="AD31" s="48"/>
      <c r="AE31" s="48"/>
      <c r="AF31" s="48"/>
      <c r="AG31" s="10"/>
    </row>
    <row r="32" spans="1:33" x14ac:dyDescent="0.2">
      <c r="A32">
        <v>800</v>
      </c>
      <c r="B32">
        <v>-9306.8025730000008</v>
      </c>
      <c r="C32">
        <v>39825.505864999999</v>
      </c>
      <c r="D32">
        <f>B32/2000</f>
        <v>-4.6534012865000003</v>
      </c>
      <c r="E32">
        <f>C32/2000</f>
        <v>19.912752932499998</v>
      </c>
      <c r="F32">
        <f>442/2000</f>
        <v>0.221</v>
      </c>
      <c r="I32" t="s">
        <v>133</v>
      </c>
      <c r="J32">
        <v>100000</v>
      </c>
      <c r="K32">
        <v>1115.503111</v>
      </c>
      <c r="L32">
        <v>-14499.311659000001</v>
      </c>
      <c r="M32">
        <v>64208.802194999997</v>
      </c>
      <c r="N32">
        <v>-1.7966489999999999</v>
      </c>
      <c r="O32">
        <v>24.306878999999999</v>
      </c>
      <c r="P32">
        <v>192.76464300000001</v>
      </c>
      <c r="Q32">
        <v>13.703792999999999</v>
      </c>
      <c r="R32">
        <v>2484</v>
      </c>
      <c r="S32">
        <v>684</v>
      </c>
      <c r="T32">
        <f>S32/(S32+R32)</f>
        <v>0.21590909090909091</v>
      </c>
      <c r="U32">
        <f>-4.0498-2.4768*T32</f>
        <v>-4.5845636363636366</v>
      </c>
      <c r="V32">
        <f>L32-(SUM(R32:S32)*U32)</f>
        <v>24.585940999999366</v>
      </c>
      <c r="W32">
        <f>V32/(2*O32*Q32)</f>
        <v>3.6905139433588446E-2</v>
      </c>
      <c r="X32">
        <f>W32*16.02</f>
        <v>0.59122033372608684</v>
      </c>
      <c r="AA32" s="10"/>
      <c r="AB32" s="41">
        <v>300</v>
      </c>
      <c r="AC32" s="50">
        <v>600</v>
      </c>
      <c r="AD32" s="50">
        <v>800</v>
      </c>
      <c r="AE32" s="50">
        <v>1000</v>
      </c>
      <c r="AF32" s="50">
        <v>1200</v>
      </c>
      <c r="AG32" s="12"/>
    </row>
    <row r="33" spans="1:33" x14ac:dyDescent="0.2">
      <c r="B33">
        <v>-9302.2398880000001</v>
      </c>
      <c r="C33">
        <v>39842.483719999997</v>
      </c>
      <c r="D33">
        <f t="shared" ref="D33:E41" si="3">B33/2000</f>
        <v>-4.6511199440000004</v>
      </c>
      <c r="E33">
        <f t="shared" si="3"/>
        <v>19.921241859999999</v>
      </c>
      <c r="F33">
        <f>441/2000</f>
        <v>0.2205</v>
      </c>
      <c r="J33">
        <v>100000</v>
      </c>
      <c r="K33">
        <v>1116.017468</v>
      </c>
      <c r="L33">
        <v>-14588.195959999999</v>
      </c>
      <c r="M33">
        <v>63980.931332</v>
      </c>
      <c r="N33">
        <v>-1.8034870000000001</v>
      </c>
      <c r="O33">
        <v>24.252697000000001</v>
      </c>
      <c r="P33">
        <v>192.560802</v>
      </c>
      <c r="Q33">
        <v>13.700144</v>
      </c>
      <c r="R33">
        <v>2448</v>
      </c>
      <c r="S33">
        <v>720</v>
      </c>
      <c r="T33">
        <f>S33/(S33+R33)</f>
        <v>0.22727272727272727</v>
      </c>
      <c r="U33">
        <f t="shared" ref="U33:U36" si="4">-4.0498-2.4768*T33</f>
        <v>-4.6127090909090915</v>
      </c>
      <c r="V33">
        <f>L33-(SUM(R33:S33)*U33)</f>
        <v>24.866440000003422</v>
      </c>
      <c r="W33">
        <f>V33/(2*O33*Q33)</f>
        <v>3.7419540087562438E-2</v>
      </c>
      <c r="X33">
        <f>W33*16.02</f>
        <v>0.59946103220275027</v>
      </c>
      <c r="AA33" s="10"/>
      <c r="AB33" s="16">
        <v>0.3644708665787374</v>
      </c>
      <c r="AC33" s="16">
        <v>0.49776542102409732</v>
      </c>
      <c r="AD33" s="16">
        <v>0.54696438794276481</v>
      </c>
      <c r="AE33" s="16">
        <v>0.56255936704926879</v>
      </c>
      <c r="AF33" s="16">
        <v>0.54403492315713664</v>
      </c>
      <c r="AG33" s="12"/>
    </row>
    <row r="34" spans="1:33" x14ac:dyDescent="0.2">
      <c r="B34">
        <v>-9276.6714790000005</v>
      </c>
      <c r="C34">
        <v>39934.394353999996</v>
      </c>
      <c r="D34">
        <f t="shared" si="3"/>
        <v>-4.6383357395000004</v>
      </c>
      <c r="E34">
        <f t="shared" si="3"/>
        <v>19.967197176999999</v>
      </c>
      <c r="F34">
        <f>432/2000</f>
        <v>0.216</v>
      </c>
      <c r="J34">
        <v>100000</v>
      </c>
      <c r="K34">
        <v>1115.4637029999999</v>
      </c>
      <c r="L34">
        <v>-14570.006067</v>
      </c>
      <c r="M34">
        <v>64014.914128999997</v>
      </c>
      <c r="N34">
        <v>-1.5851470000000001</v>
      </c>
      <c r="O34">
        <v>24.261541000000001</v>
      </c>
      <c r="P34">
        <v>192.587841</v>
      </c>
      <c r="Q34">
        <v>13.700526999999999</v>
      </c>
      <c r="R34">
        <v>2455</v>
      </c>
      <c r="S34">
        <v>713</v>
      </c>
      <c r="T34">
        <f>S34/(S34+R34)</f>
        <v>0.22506313131313133</v>
      </c>
      <c r="U34">
        <f t="shared" si="4"/>
        <v>-4.607236363636364</v>
      </c>
      <c r="V34">
        <f>L34-(SUM(R34:S34)*U34)</f>
        <v>25.718733000001521</v>
      </c>
      <c r="W34">
        <f>V34/(2*O34*Q34)</f>
        <v>3.8686898952351362E-2</v>
      </c>
      <c r="X34">
        <f>W34*16.02</f>
        <v>0.6197641212166688</v>
      </c>
      <c r="AA34" s="12"/>
      <c r="AB34" s="16">
        <v>0.40763534149384756</v>
      </c>
      <c r="AC34" s="16">
        <v>0.52198250286918912</v>
      </c>
      <c r="AD34" s="16">
        <v>0.53496829902506327</v>
      </c>
      <c r="AE34" s="16">
        <v>0.54744865757010763</v>
      </c>
      <c r="AF34" s="16">
        <v>0.57807014797568024</v>
      </c>
      <c r="AG34" s="10"/>
    </row>
    <row r="35" spans="1:33" x14ac:dyDescent="0.2">
      <c r="B35">
        <v>-9319.7235519999995</v>
      </c>
      <c r="C35">
        <v>39812.427554000002</v>
      </c>
      <c r="D35">
        <f t="shared" si="3"/>
        <v>-4.6598617759999996</v>
      </c>
      <c r="E35">
        <f t="shared" si="3"/>
        <v>19.906213777000001</v>
      </c>
      <c r="F35">
        <f>448/2000</f>
        <v>0.224</v>
      </c>
      <c r="J35">
        <v>100000</v>
      </c>
      <c r="K35">
        <v>1115.5816709999999</v>
      </c>
      <c r="L35">
        <v>-14510.092197</v>
      </c>
      <c r="M35">
        <v>64173.843396999997</v>
      </c>
      <c r="N35">
        <v>-1.6612229999999999</v>
      </c>
      <c r="O35">
        <v>24.295864999999999</v>
      </c>
      <c r="P35">
        <v>192.58893599999999</v>
      </c>
      <c r="Q35">
        <v>13.715039000000001</v>
      </c>
      <c r="R35">
        <v>2480</v>
      </c>
      <c r="S35">
        <v>688</v>
      </c>
      <c r="T35">
        <f>S35/(S35+R35)</f>
        <v>0.21717171717171718</v>
      </c>
      <c r="U35">
        <f t="shared" si="4"/>
        <v>-4.5876909090909095</v>
      </c>
      <c r="V35">
        <f>L35-(SUM(R35:S35)*U35)</f>
        <v>23.712603000001764</v>
      </c>
      <c r="W35">
        <f>V35/(2*O35*Q35)</f>
        <v>3.558113700879105E-2</v>
      </c>
      <c r="X35">
        <f>W35*16.02</f>
        <v>0.57000981488083258</v>
      </c>
      <c r="AA35" s="10"/>
      <c r="AB35" s="16">
        <v>0.46228720965840903</v>
      </c>
      <c r="AC35" s="16">
        <v>0.57934165281869343</v>
      </c>
      <c r="AD35" s="16">
        <v>0.62778922542236193</v>
      </c>
      <c r="AE35" s="16">
        <v>0.71298139768847357</v>
      </c>
      <c r="AF35" s="16">
        <v>0.70177945419000487</v>
      </c>
      <c r="AG35" s="10"/>
    </row>
    <row r="36" spans="1:33" x14ac:dyDescent="0.2">
      <c r="B36">
        <v>-9314.6335249999993</v>
      </c>
      <c r="C36">
        <v>39829.625033999997</v>
      </c>
      <c r="D36">
        <f t="shared" si="3"/>
        <v>-4.6573167624999998</v>
      </c>
      <c r="E36">
        <f t="shared" si="3"/>
        <v>19.914812516999998</v>
      </c>
      <c r="F36">
        <f>447/2000</f>
        <v>0.2235</v>
      </c>
      <c r="J36">
        <v>100000</v>
      </c>
      <c r="K36">
        <v>1114.933618</v>
      </c>
      <c r="L36">
        <v>-14502.694229999999</v>
      </c>
      <c r="M36">
        <v>64192.546282000003</v>
      </c>
      <c r="N36">
        <v>-1.4828870000000001</v>
      </c>
      <c r="O36">
        <v>24.269468</v>
      </c>
      <c r="P36">
        <v>192.721937</v>
      </c>
      <c r="Q36">
        <v>13.724484</v>
      </c>
      <c r="R36">
        <v>2484</v>
      </c>
      <c r="S36">
        <v>684</v>
      </c>
      <c r="T36">
        <f>S36/(S36+R36)</f>
        <v>0.21590909090909091</v>
      </c>
      <c r="U36">
        <f t="shared" si="4"/>
        <v>-4.5845636363636366</v>
      </c>
      <c r="V36">
        <f>L36-(SUM(R36:S36)*U36)</f>
        <v>21.203370000001087</v>
      </c>
      <c r="W36">
        <f>V36/(2*O36*Q36)</f>
        <v>3.1828679016982664E-2</v>
      </c>
      <c r="X36">
        <f>W36*16.02</f>
        <v>0.50989543785206226</v>
      </c>
      <c r="Y36" s="1">
        <f>AVERAGE(X32:X36)</f>
        <v>0.57807014797568024</v>
      </c>
      <c r="Z36" s="1">
        <f>STDEV(X32:X36)</f>
        <v>4.2076254550356594E-2</v>
      </c>
      <c r="AA36" s="10"/>
      <c r="AB36" s="16">
        <v>0.53529108798720171</v>
      </c>
      <c r="AC36" s="16">
        <v>0.60136049353123</v>
      </c>
      <c r="AD36" s="16">
        <v>0.62646613603266244</v>
      </c>
      <c r="AE36" s="16">
        <v>0.648801516503134</v>
      </c>
      <c r="AF36" s="16">
        <v>0.77225209880327639</v>
      </c>
      <c r="AG36" s="12"/>
    </row>
    <row r="37" spans="1:33" x14ac:dyDescent="0.2">
      <c r="B37">
        <v>-9313.1455719999994</v>
      </c>
      <c r="C37">
        <v>39821.214890000003</v>
      </c>
      <c r="D37">
        <f t="shared" si="3"/>
        <v>-4.6565727859999999</v>
      </c>
      <c r="E37">
        <f t="shared" si="3"/>
        <v>19.910607445</v>
      </c>
      <c r="F37">
        <f>445/2000</f>
        <v>0.2225</v>
      </c>
      <c r="Y37" s="1"/>
      <c r="AA37" s="10"/>
      <c r="AB37" s="16">
        <v>0.38291457712317589</v>
      </c>
      <c r="AC37" s="16">
        <v>0.55271627711187998</v>
      </c>
      <c r="AD37" s="16">
        <v>0.56793755941912116</v>
      </c>
      <c r="AE37" s="16">
        <v>0.6407724683742293</v>
      </c>
      <c r="AF37" s="16">
        <v>0.68405492569493731</v>
      </c>
      <c r="AG37" s="12"/>
    </row>
    <row r="38" spans="1:33" x14ac:dyDescent="0.2">
      <c r="B38">
        <v>-9418.8026840000002</v>
      </c>
      <c r="C38">
        <v>39546.948965000003</v>
      </c>
      <c r="D38">
        <f t="shared" si="3"/>
        <v>-4.7094013420000005</v>
      </c>
      <c r="E38">
        <f t="shared" si="3"/>
        <v>19.773474482500003</v>
      </c>
      <c r="F38">
        <f>486/2000</f>
        <v>0.24299999999999999</v>
      </c>
      <c r="I38" t="s">
        <v>28</v>
      </c>
      <c r="J38">
        <v>100000</v>
      </c>
      <c r="K38">
        <v>1115.6351159999999</v>
      </c>
      <c r="L38">
        <v>-11368.840646000001</v>
      </c>
      <c r="M38">
        <v>49965.411924</v>
      </c>
      <c r="N38">
        <v>-2.1664780000000001</v>
      </c>
      <c r="O38">
        <v>35.018644000000002</v>
      </c>
      <c r="P38">
        <v>138.99361300000001</v>
      </c>
      <c r="Q38">
        <v>10.265461</v>
      </c>
      <c r="R38">
        <v>1913</v>
      </c>
      <c r="S38">
        <v>559</v>
      </c>
      <c r="T38">
        <f>S38/(S38+R38)</f>
        <v>0.22613268608414239</v>
      </c>
      <c r="U38">
        <f>-4.0498-2.4768*T38</f>
        <v>-4.6098854368932045</v>
      </c>
      <c r="V38">
        <f>L38-(SUM(R38:S38)*U38)</f>
        <v>26.796154000001479</v>
      </c>
      <c r="W38">
        <f>V38/(2*O38*Q38)</f>
        <v>3.7270454322561437E-2</v>
      </c>
      <c r="X38">
        <f>W38*16.02</f>
        <v>0.59707267824743426</v>
      </c>
      <c r="Z38" s="10"/>
      <c r="AA38" s="10"/>
      <c r="AB38" s="16">
        <v>0.51882652819594832</v>
      </c>
      <c r="AC38" s="16">
        <v>0.62738309285712346</v>
      </c>
      <c r="AD38" s="16">
        <v>0.69961924966265077</v>
      </c>
      <c r="AE38" s="16">
        <v>0.70808430668357525</v>
      </c>
      <c r="AF38" s="16">
        <v>0.74891219651212704</v>
      </c>
      <c r="AG38" s="12"/>
    </row>
    <row r="39" spans="1:33" x14ac:dyDescent="0.2">
      <c r="B39">
        <v>-9335.1075380000002</v>
      </c>
      <c r="C39">
        <v>39770.491970000003</v>
      </c>
      <c r="D39">
        <f t="shared" si="3"/>
        <v>-4.6675537690000004</v>
      </c>
      <c r="E39">
        <f t="shared" si="3"/>
        <v>19.885245985000001</v>
      </c>
      <c r="F39">
        <f>455/2000</f>
        <v>0.22750000000000001</v>
      </c>
      <c r="J39">
        <v>100000</v>
      </c>
      <c r="K39">
        <v>1115.8021639999999</v>
      </c>
      <c r="L39">
        <v>-11326.964314999999</v>
      </c>
      <c r="M39">
        <v>50083.414228000001</v>
      </c>
      <c r="N39">
        <v>-2.2946960000000001</v>
      </c>
      <c r="O39">
        <v>35.024763</v>
      </c>
      <c r="P39">
        <v>139.120293</v>
      </c>
      <c r="Q39">
        <v>10.278549999999999</v>
      </c>
      <c r="R39">
        <v>1928</v>
      </c>
      <c r="S39">
        <v>544</v>
      </c>
      <c r="T39">
        <f>S39/(S39+R39)</f>
        <v>0.22006472491909385</v>
      </c>
      <c r="U39">
        <f t="shared" ref="U39:U42" si="5">-4.0498-2.4768*T39</f>
        <v>-4.5948563106796119</v>
      </c>
      <c r="V39">
        <f>L39-(SUM(R39:S39)*U39)</f>
        <v>31.520485000000917</v>
      </c>
      <c r="W39">
        <f>V39/(2*O39*Q39)</f>
        <v>4.3777991995574909E-2</v>
      </c>
      <c r="X39">
        <f>W39*16.02</f>
        <v>0.70132343176911005</v>
      </c>
      <c r="Z39" s="10"/>
      <c r="AA39" s="12"/>
      <c r="AB39" s="16">
        <v>0.49366074271242955</v>
      </c>
      <c r="AC39" s="16">
        <v>0.54290054393928588</v>
      </c>
      <c r="AD39" s="16">
        <v>0.58278863997256292</v>
      </c>
      <c r="AE39" s="16">
        <v>0.60039486801484576</v>
      </c>
      <c r="AF39" s="16">
        <v>0.72804389975119865</v>
      </c>
      <c r="AG39" s="10"/>
    </row>
    <row r="40" spans="1:33" x14ac:dyDescent="0.2">
      <c r="B40">
        <v>-9352.1301789999998</v>
      </c>
      <c r="C40">
        <v>39714.899395</v>
      </c>
      <c r="D40">
        <f t="shared" si="3"/>
        <v>-4.6760650894999998</v>
      </c>
      <c r="E40">
        <f t="shared" si="3"/>
        <v>19.857449697500002</v>
      </c>
      <c r="F40">
        <f>462/2000</f>
        <v>0.23100000000000001</v>
      </c>
      <c r="J40">
        <v>100000</v>
      </c>
      <c r="K40">
        <v>1115.843404</v>
      </c>
      <c r="L40">
        <v>-11329.544572999999</v>
      </c>
      <c r="M40">
        <v>50082.147832000002</v>
      </c>
      <c r="N40">
        <v>-2.0946039999999999</v>
      </c>
      <c r="O40">
        <v>35.080697999999998</v>
      </c>
      <c r="P40">
        <v>139.50421700000001</v>
      </c>
      <c r="Q40">
        <v>10.233658999999999</v>
      </c>
      <c r="R40">
        <v>1928</v>
      </c>
      <c r="S40">
        <v>544</v>
      </c>
      <c r="T40">
        <f>S40/(S40+R40)</f>
        <v>0.22006472491909385</v>
      </c>
      <c r="U40">
        <f t="shared" si="5"/>
        <v>-4.5948563106796119</v>
      </c>
      <c r="V40">
        <f>L40-(SUM(R40:S40)*U40)</f>
        <v>28.940227000000959</v>
      </c>
      <c r="W40">
        <f>V40/(2*O40*Q40)</f>
        <v>4.0306284882119361E-2</v>
      </c>
      <c r="X40">
        <f>W40*16.02</f>
        <v>0.64570668381155216</v>
      </c>
      <c r="Z40" s="10"/>
      <c r="AA40" s="12"/>
      <c r="AB40" s="16">
        <v>0.54707048353557997</v>
      </c>
      <c r="AC40" s="16">
        <v>0.61910240532566563</v>
      </c>
      <c r="AD40" s="16">
        <v>0.68089831509595666</v>
      </c>
      <c r="AE40" s="16">
        <v>0.72185193233976908</v>
      </c>
      <c r="AF40" s="16">
        <v>0.83571827648168395</v>
      </c>
      <c r="AG40" s="10"/>
    </row>
    <row r="41" spans="1:33" x14ac:dyDescent="0.2">
      <c r="B41">
        <v>-9263.8331170000001</v>
      </c>
      <c r="C41">
        <v>39938.199430000001</v>
      </c>
      <c r="D41">
        <f t="shared" si="3"/>
        <v>-4.6319165585000004</v>
      </c>
      <c r="E41">
        <f t="shared" si="3"/>
        <v>19.969099714999999</v>
      </c>
      <c r="F41">
        <f>426/2000</f>
        <v>0.21299999999999999</v>
      </c>
      <c r="J41">
        <v>100000</v>
      </c>
      <c r="K41">
        <v>1115.76899</v>
      </c>
      <c r="L41">
        <v>-11279.978096000001</v>
      </c>
      <c r="M41">
        <v>50203.875845000002</v>
      </c>
      <c r="N41">
        <v>-1.941028</v>
      </c>
      <c r="O41">
        <v>35.118476999999999</v>
      </c>
      <c r="P41">
        <v>139.17883</v>
      </c>
      <c r="Q41">
        <v>10.271461</v>
      </c>
      <c r="R41">
        <v>1944</v>
      </c>
      <c r="S41">
        <v>528</v>
      </c>
      <c r="T41">
        <f>S41/(S41+R41)</f>
        <v>0.21359223300970873</v>
      </c>
      <c r="U41">
        <f t="shared" si="5"/>
        <v>-4.5788252427184464</v>
      </c>
      <c r="V41">
        <f>L41-(SUM(R41:S41)*U41)</f>
        <v>38.877903999999035</v>
      </c>
      <c r="W41">
        <f>V41/(2*O41*Q41)</f>
        <v>5.3889599065195623E-2</v>
      </c>
      <c r="X41">
        <f>W41*16.02</f>
        <v>0.86331137702443383</v>
      </c>
      <c r="Z41" s="10"/>
      <c r="AA41" s="12"/>
      <c r="AB41" s="16">
        <v>0.39924289351289011</v>
      </c>
      <c r="AC41" s="16">
        <v>0.56602993455437467</v>
      </c>
      <c r="AD41" s="16">
        <v>0.6419560195712678</v>
      </c>
      <c r="AE41" s="16">
        <v>0.70126751664195308</v>
      </c>
      <c r="AF41" s="16">
        <v>0.72060590646380651</v>
      </c>
      <c r="AG41" s="10"/>
    </row>
    <row r="42" spans="1:33" x14ac:dyDescent="0.2">
      <c r="J42">
        <v>100000</v>
      </c>
      <c r="K42">
        <v>1115.6895649999999</v>
      </c>
      <c r="L42">
        <v>-11349.326498</v>
      </c>
      <c r="M42">
        <v>50029.106865000002</v>
      </c>
      <c r="N42">
        <v>-1.8723609999999999</v>
      </c>
      <c r="O42">
        <v>35.106802000000002</v>
      </c>
      <c r="P42">
        <v>139.31462200000001</v>
      </c>
      <c r="Q42">
        <v>10.229108999999999</v>
      </c>
      <c r="R42">
        <v>1919</v>
      </c>
      <c r="S42">
        <v>553</v>
      </c>
      <c r="T42">
        <f>S42/(S42+R42)</f>
        <v>0.22370550161812297</v>
      </c>
      <c r="U42">
        <f t="shared" si="5"/>
        <v>-4.6038737864077675</v>
      </c>
      <c r="V42">
        <f>L42-(SUM(R42:S42)*U42)</f>
        <v>31.449502000001303</v>
      </c>
      <c r="W42">
        <f>V42/(2*O42*Q42)</f>
        <v>4.3787958807583925E-2</v>
      </c>
      <c r="X42">
        <f>W42*16.02</f>
        <v>0.70148310009749448</v>
      </c>
      <c r="Y42" s="1">
        <f>AVERAGE(X38:X42)</f>
        <v>0.70177945419000487</v>
      </c>
      <c r="Z42" s="1">
        <f>STDEV(X38:X42)</f>
        <v>0.10025033962908443</v>
      </c>
      <c r="AA42" s="10"/>
      <c r="AB42" s="16">
        <v>0.43161856030890922</v>
      </c>
      <c r="AC42" s="16">
        <v>0.50037857127353857</v>
      </c>
      <c r="AD42" s="16">
        <v>0.56225004692575986</v>
      </c>
      <c r="AE42" s="16">
        <v>0.59123794250462369</v>
      </c>
      <c r="AF42" s="16">
        <v>0.74025110146012341</v>
      </c>
      <c r="AG42" s="10"/>
    </row>
    <row r="43" spans="1:33" x14ac:dyDescent="0.2">
      <c r="B43" t="s">
        <v>5</v>
      </c>
      <c r="C43" t="s">
        <v>7</v>
      </c>
      <c r="D43" t="s">
        <v>6</v>
      </c>
      <c r="E43" t="s">
        <v>8</v>
      </c>
      <c r="F43" t="s">
        <v>13</v>
      </c>
      <c r="Y43" s="1"/>
      <c r="Z43" s="10"/>
      <c r="AA43" s="10" t="s">
        <v>147</v>
      </c>
      <c r="AB43" s="10">
        <f>AVERAGE(AB33:AB42)</f>
        <v>0.45430182911071287</v>
      </c>
      <c r="AC43" s="10">
        <f t="shared" ref="AC43:AF43" si="6">AVERAGE(AC33:AC42)</f>
        <v>0.56089608953050774</v>
      </c>
      <c r="AD43" s="10">
        <f t="shared" si="6"/>
        <v>0.60716378790701708</v>
      </c>
      <c r="AE43" s="10">
        <f t="shared" si="6"/>
        <v>0.64353999733699807</v>
      </c>
      <c r="AF43" s="10">
        <f t="shared" si="6"/>
        <v>0.7053722930489974</v>
      </c>
      <c r="AG43" s="10"/>
    </row>
    <row r="44" spans="1:33" x14ac:dyDescent="0.2">
      <c r="A44">
        <v>600</v>
      </c>
      <c r="B44">
        <v>-9348.1864650000007</v>
      </c>
      <c r="C44">
        <v>39610.960368</v>
      </c>
      <c r="D44">
        <f>B44/2000</f>
        <v>-4.6740932325000006</v>
      </c>
      <c r="E44">
        <f>C44/2000</f>
        <v>19.805480184</v>
      </c>
      <c r="F44">
        <f>438/2000</f>
        <v>0.219</v>
      </c>
      <c r="I44" t="s">
        <v>134</v>
      </c>
      <c r="J44">
        <v>100000</v>
      </c>
      <c r="K44">
        <v>1115.9638010000001</v>
      </c>
      <c r="L44">
        <v>-14802.211391000001</v>
      </c>
      <c r="M44">
        <v>65511.919302000002</v>
      </c>
      <c r="N44">
        <v>-1.62161</v>
      </c>
      <c r="O44">
        <v>28.274986999999999</v>
      </c>
      <c r="P44">
        <v>169.148121</v>
      </c>
      <c r="Q44">
        <v>13.697884</v>
      </c>
      <c r="R44">
        <v>2524</v>
      </c>
      <c r="S44">
        <v>708</v>
      </c>
      <c r="T44">
        <f>S44/(S44+R44)</f>
        <v>0.21905940594059406</v>
      </c>
      <c r="U44">
        <f>-4.0498-2.4768*T44</f>
        <v>-4.5923663366336633</v>
      </c>
      <c r="V44">
        <f>L44-(SUM(R44:S44)*U44)</f>
        <v>40.316608999999517</v>
      </c>
      <c r="W44">
        <f>V44/(2*O44*Q44)</f>
        <v>5.2047287787988471E-2</v>
      </c>
      <c r="X44">
        <f>W44*16.02</f>
        <v>0.83379755036357528</v>
      </c>
      <c r="AA44" s="10"/>
      <c r="AB44" s="10"/>
      <c r="AC44" s="10"/>
      <c r="AD44" s="10"/>
      <c r="AE44" s="10"/>
      <c r="AF44" s="10"/>
      <c r="AG44" s="10"/>
    </row>
    <row r="45" spans="1:33" x14ac:dyDescent="0.2">
      <c r="B45">
        <v>-9346.1905659999993</v>
      </c>
      <c r="C45">
        <v>39612.487768999999</v>
      </c>
      <c r="D45">
        <f t="shared" ref="D45:E53" si="7">B45/2000</f>
        <v>-4.6730952829999994</v>
      </c>
      <c r="E45">
        <f t="shared" si="7"/>
        <v>19.806243884499999</v>
      </c>
      <c r="F45">
        <f>437/2000</f>
        <v>0.2185</v>
      </c>
      <c r="J45">
        <v>100000</v>
      </c>
      <c r="K45">
        <v>1115.450701</v>
      </c>
      <c r="L45">
        <v>-14882.029847</v>
      </c>
      <c r="M45">
        <v>65329.183825</v>
      </c>
      <c r="N45">
        <v>-1.4992780000000001</v>
      </c>
      <c r="O45">
        <v>28.299613999999998</v>
      </c>
      <c r="P45">
        <v>168.66946999999999</v>
      </c>
      <c r="Q45">
        <v>13.686515</v>
      </c>
      <c r="R45">
        <v>2494</v>
      </c>
      <c r="S45">
        <v>738</v>
      </c>
      <c r="T45">
        <f>S45/(S45+R45)</f>
        <v>0.22834158415841585</v>
      </c>
      <c r="U45">
        <f t="shared" ref="U45:U48" si="8">-4.0498-2.4768*T45</f>
        <v>-4.615356435643565</v>
      </c>
      <c r="V45">
        <f>L45-(SUM(R45:S45)*U45)</f>
        <v>34.802153000002363</v>
      </c>
      <c r="W45">
        <f>V45/(2*O45*Q45)</f>
        <v>4.4926514534357725E-2</v>
      </c>
      <c r="X45">
        <f>W45*16.02</f>
        <v>0.7197227628404107</v>
      </c>
      <c r="AA45" s="10"/>
      <c r="AB45" s="10"/>
      <c r="AC45" s="10"/>
      <c r="AD45" s="10"/>
      <c r="AE45" s="10"/>
      <c r="AF45" s="10"/>
      <c r="AG45" s="10"/>
    </row>
    <row r="46" spans="1:33" x14ac:dyDescent="0.2">
      <c r="B46">
        <v>-9354.9392459999999</v>
      </c>
      <c r="C46">
        <v>39602.849089000003</v>
      </c>
      <c r="D46">
        <f t="shared" si="7"/>
        <v>-4.6774696230000004</v>
      </c>
      <c r="E46">
        <f t="shared" si="7"/>
        <v>19.801424544500001</v>
      </c>
      <c r="F46">
        <f>440/2000</f>
        <v>0.22</v>
      </c>
      <c r="J46">
        <v>100000</v>
      </c>
      <c r="K46">
        <v>1115.612748</v>
      </c>
      <c r="L46">
        <v>-14905.131049</v>
      </c>
      <c r="M46">
        <v>65249.221567000001</v>
      </c>
      <c r="N46">
        <v>-0.984483</v>
      </c>
      <c r="O46">
        <v>28.285844000000001</v>
      </c>
      <c r="P46">
        <v>168.498491</v>
      </c>
      <c r="Q46">
        <v>13.690288000000001</v>
      </c>
      <c r="R46">
        <v>2485</v>
      </c>
      <c r="S46">
        <v>747</v>
      </c>
      <c r="T46">
        <f>S46/(S46+R46)</f>
        <v>0.23112623762376239</v>
      </c>
      <c r="U46">
        <f t="shared" si="8"/>
        <v>-4.6222534653465353</v>
      </c>
      <c r="V46">
        <f>L46-(SUM(R46:S46)*U46)</f>
        <v>33.992151000002195</v>
      </c>
      <c r="W46">
        <f>V46/(2*O46*Q46)</f>
        <v>4.3890135880429539E-2</v>
      </c>
      <c r="X46">
        <f>W46*16.02</f>
        <v>0.70311997680448124</v>
      </c>
    </row>
    <row r="47" spans="1:33" x14ac:dyDescent="0.2">
      <c r="B47">
        <v>-9421.7953809999999</v>
      </c>
      <c r="C47">
        <v>39424.864901000001</v>
      </c>
      <c r="D47">
        <f t="shared" si="7"/>
        <v>-4.7108976904999995</v>
      </c>
      <c r="E47">
        <f t="shared" si="7"/>
        <v>19.7124324505</v>
      </c>
      <c r="F47">
        <f>468/2000</f>
        <v>0.23400000000000001</v>
      </c>
      <c r="J47">
        <v>100000</v>
      </c>
      <c r="K47">
        <v>1115.4200229999999</v>
      </c>
      <c r="L47">
        <v>-14913.84953</v>
      </c>
      <c r="M47">
        <v>65210.148467999999</v>
      </c>
      <c r="N47">
        <v>-1.4154249999999999</v>
      </c>
      <c r="O47">
        <v>28.226205</v>
      </c>
      <c r="P47">
        <v>168.86409900000001</v>
      </c>
      <c r="Q47">
        <v>13.681303</v>
      </c>
      <c r="R47">
        <v>2483</v>
      </c>
      <c r="S47">
        <v>749</v>
      </c>
      <c r="T47">
        <f>S47/(S47+R47)</f>
        <v>0.23174504950495051</v>
      </c>
      <c r="U47">
        <f t="shared" si="8"/>
        <v>-4.6237861386138617</v>
      </c>
      <c r="V47">
        <f>L47-(SUM(R47:S47)*U47)</f>
        <v>30.227270000001226</v>
      </c>
      <c r="W47">
        <f>V47/(2*O47*Q47)</f>
        <v>3.91371301865132E-2</v>
      </c>
      <c r="X47">
        <f>W47*16.02</f>
        <v>0.62697682558794143</v>
      </c>
    </row>
    <row r="48" spans="1:33" x14ac:dyDescent="0.2">
      <c r="B48">
        <v>-9356.4033220000001</v>
      </c>
      <c r="C48">
        <v>39602.594922999997</v>
      </c>
      <c r="D48">
        <f t="shared" si="7"/>
        <v>-4.6782016610000001</v>
      </c>
      <c r="E48">
        <f t="shared" si="7"/>
        <v>19.801297461499999</v>
      </c>
      <c r="F48">
        <f>442/2000</f>
        <v>0.221</v>
      </c>
      <c r="J48">
        <v>100000</v>
      </c>
      <c r="K48">
        <v>1115.825877</v>
      </c>
      <c r="L48">
        <v>-14720.83591</v>
      </c>
      <c r="M48">
        <v>65748.962488000005</v>
      </c>
      <c r="N48">
        <v>-1.8147869999999999</v>
      </c>
      <c r="O48">
        <v>28.305413000000001</v>
      </c>
      <c r="P48">
        <v>169.34439699999999</v>
      </c>
      <c r="Q48">
        <v>13.716767000000001</v>
      </c>
      <c r="R48">
        <v>2554</v>
      </c>
      <c r="S48">
        <v>678</v>
      </c>
      <c r="T48">
        <f>S48/(S48+R48)</f>
        <v>0.20977722772277227</v>
      </c>
      <c r="U48">
        <f t="shared" si="8"/>
        <v>-4.5693762376237625</v>
      </c>
      <c r="V48">
        <f>L48-(SUM(R48:S48)*U48)</f>
        <v>47.388090000000375</v>
      </c>
      <c r="W48">
        <f>V48/(2*O48*Q48)</f>
        <v>6.1026428116103176E-2</v>
      </c>
      <c r="X48">
        <f>W48*16.02</f>
        <v>0.97764337841997284</v>
      </c>
      <c r="Y48" s="1">
        <f>AVERAGE(X44:X48)</f>
        <v>0.77225209880327639</v>
      </c>
      <c r="Z48" s="1">
        <f>STDEV(X44:X48)</f>
        <v>0.13658047699698034</v>
      </c>
    </row>
    <row r="49" spans="1:26" x14ac:dyDescent="0.2">
      <c r="B49">
        <v>-9363.0155799999993</v>
      </c>
      <c r="C49">
        <v>39582.974419999999</v>
      </c>
      <c r="D49">
        <f t="shared" si="7"/>
        <v>-4.6815077899999995</v>
      </c>
      <c r="E49">
        <f t="shared" si="7"/>
        <v>19.79148721</v>
      </c>
      <c r="F49">
        <f>445/2000</f>
        <v>0.2225</v>
      </c>
      <c r="Y49" s="1"/>
      <c r="Z49" s="10"/>
    </row>
    <row r="50" spans="1:26" x14ac:dyDescent="0.2">
      <c r="B50">
        <v>-9471.4195159999999</v>
      </c>
      <c r="C50">
        <v>39287.046720999999</v>
      </c>
      <c r="D50">
        <f t="shared" si="7"/>
        <v>-4.7357097579999996</v>
      </c>
      <c r="E50">
        <f t="shared" si="7"/>
        <v>19.643523360499998</v>
      </c>
      <c r="F50">
        <f>486/2000</f>
        <v>0.24299999999999999</v>
      </c>
      <c r="I50" t="s">
        <v>27</v>
      </c>
      <c r="J50">
        <v>100000</v>
      </c>
      <c r="K50">
        <v>1115.7826359999999</v>
      </c>
      <c r="L50">
        <v>-13200.462454</v>
      </c>
      <c r="M50">
        <v>58361.523514</v>
      </c>
      <c r="N50">
        <v>-2.0892379999999999</v>
      </c>
      <c r="O50">
        <v>32.537863000000002</v>
      </c>
      <c r="P50">
        <v>130.803707</v>
      </c>
      <c r="Q50">
        <v>13.712624</v>
      </c>
      <c r="R50">
        <v>2243</v>
      </c>
      <c r="S50">
        <v>637</v>
      </c>
      <c r="T50">
        <f>S50/(S50+R50)</f>
        <v>0.22118055555555555</v>
      </c>
      <c r="U50">
        <f>-4.0498-2.4768*T50</f>
        <v>-4.59762</v>
      </c>
      <c r="V50">
        <f>L50-(SUM(R50:S50)*U50)</f>
        <v>40.683145999999397</v>
      </c>
      <c r="W50">
        <f>V50/(2*O50*Q50)</f>
        <v>4.5590561337888885E-2</v>
      </c>
      <c r="X50">
        <f>W50*16.02</f>
        <v>0.73036079263297993</v>
      </c>
    </row>
    <row r="51" spans="1:26" x14ac:dyDescent="0.2">
      <c r="B51">
        <v>-9339.6791319999993</v>
      </c>
      <c r="C51">
        <v>39635.011098000003</v>
      </c>
      <c r="D51">
        <f t="shared" si="7"/>
        <v>-4.6698395659999994</v>
      </c>
      <c r="E51">
        <f t="shared" si="7"/>
        <v>19.817505549</v>
      </c>
      <c r="F51">
        <f>436/2000</f>
        <v>0.218</v>
      </c>
      <c r="J51">
        <v>100000</v>
      </c>
      <c r="K51">
        <v>1115.8032860000001</v>
      </c>
      <c r="L51">
        <v>-13169.612182999999</v>
      </c>
      <c r="M51">
        <v>58436.755576000003</v>
      </c>
      <c r="N51">
        <v>-1.771987</v>
      </c>
      <c r="O51">
        <v>32.576908000000003</v>
      </c>
      <c r="P51">
        <v>131.04369500000001</v>
      </c>
      <c r="Q51">
        <v>13.688704</v>
      </c>
      <c r="R51">
        <v>2259</v>
      </c>
      <c r="S51">
        <v>621</v>
      </c>
      <c r="T51">
        <f>S51/(S51+R51)</f>
        <v>0.21562500000000001</v>
      </c>
      <c r="U51">
        <f t="shared" ref="U51:U54" si="9">-4.0498-2.4768*T51</f>
        <v>-4.5838600000000005</v>
      </c>
      <c r="V51">
        <f>L51-(SUM(R51:S51)*U51)</f>
        <v>31.904617000001963</v>
      </c>
      <c r="W51">
        <f>V51/(2*O51*Q51)</f>
        <v>3.5772669150118924E-2</v>
      </c>
      <c r="X51">
        <f>W51*16.02</f>
        <v>0.57307815978490517</v>
      </c>
    </row>
    <row r="52" spans="1:26" x14ac:dyDescent="0.2">
      <c r="B52">
        <v>-9409.2537179999999</v>
      </c>
      <c r="C52">
        <v>39471.128800999999</v>
      </c>
      <c r="D52">
        <f t="shared" si="7"/>
        <v>-4.7046268590000002</v>
      </c>
      <c r="E52">
        <f t="shared" si="7"/>
        <v>19.735564400499999</v>
      </c>
      <c r="F52">
        <f>463/2000</f>
        <v>0.23150000000000001</v>
      </c>
      <c r="J52">
        <v>100000</v>
      </c>
      <c r="K52">
        <v>1115.6141769999999</v>
      </c>
      <c r="L52">
        <v>-13201.501501000001</v>
      </c>
      <c r="M52">
        <v>58353.067066000003</v>
      </c>
      <c r="N52">
        <v>-1.7942480000000001</v>
      </c>
      <c r="O52">
        <v>32.580373000000002</v>
      </c>
      <c r="P52">
        <v>131.073949</v>
      </c>
      <c r="Q52">
        <v>13.664491</v>
      </c>
      <c r="R52">
        <v>2245</v>
      </c>
      <c r="S52">
        <v>635</v>
      </c>
      <c r="T52">
        <f>S52/(S52+R52)</f>
        <v>0.2204861111111111</v>
      </c>
      <c r="U52">
        <f t="shared" si="9"/>
        <v>-4.5959000000000003</v>
      </c>
      <c r="V52">
        <f>L52-(SUM(R52:S52)*U52)</f>
        <v>34.690499000000273</v>
      </c>
      <c r="W52">
        <f>V52/(2*O52*Q52)</f>
        <v>3.8961084777744577E-2</v>
      </c>
      <c r="X52">
        <f>W52*16.02</f>
        <v>0.62415657813946812</v>
      </c>
      <c r="Z52" s="10"/>
    </row>
    <row r="53" spans="1:26" x14ac:dyDescent="0.2">
      <c r="B53">
        <v>-9344.4830509999993</v>
      </c>
      <c r="C53">
        <v>39612.318264000001</v>
      </c>
      <c r="D53">
        <f t="shared" si="7"/>
        <v>-4.6722415254999996</v>
      </c>
      <c r="E53">
        <f t="shared" si="7"/>
        <v>19.806159132000001</v>
      </c>
      <c r="F53">
        <f>437/2000</f>
        <v>0.2185</v>
      </c>
      <c r="J53">
        <v>100000</v>
      </c>
      <c r="K53">
        <v>1115.4436250000001</v>
      </c>
      <c r="L53">
        <v>-13169.749126000001</v>
      </c>
      <c r="M53">
        <v>58448.020235999997</v>
      </c>
      <c r="N53">
        <v>-1.7990569999999999</v>
      </c>
      <c r="O53">
        <v>32.615760000000002</v>
      </c>
      <c r="P53">
        <v>130.72699299999999</v>
      </c>
      <c r="Q53">
        <v>13.708176</v>
      </c>
      <c r="R53">
        <v>2255</v>
      </c>
      <c r="S53">
        <v>625</v>
      </c>
      <c r="T53">
        <f>S53/(S53+R53)</f>
        <v>0.2170138888888889</v>
      </c>
      <c r="U53">
        <f t="shared" si="9"/>
        <v>-4.5872999999999999</v>
      </c>
      <c r="V53">
        <f>L53-(SUM(R53:S53)*U53)</f>
        <v>41.674873999998454</v>
      </c>
      <c r="W53">
        <f>V53/(2*O53*Q53)</f>
        <v>4.6605495034411352E-2</v>
      </c>
      <c r="X53">
        <f>W53*16.02</f>
        <v>0.7466200304512699</v>
      </c>
      <c r="Z53" s="10"/>
    </row>
    <row r="54" spans="1:26" x14ac:dyDescent="0.2">
      <c r="J54">
        <v>100000</v>
      </c>
      <c r="K54">
        <v>1115.3965270000001</v>
      </c>
      <c r="L54">
        <v>-13179.810391000001</v>
      </c>
      <c r="M54">
        <v>58402.835885</v>
      </c>
      <c r="N54">
        <v>-1.9707440000000001</v>
      </c>
      <c r="O54">
        <v>32.598345000000002</v>
      </c>
      <c r="P54">
        <v>131.01210399999999</v>
      </c>
      <c r="Q54">
        <v>13.67507</v>
      </c>
      <c r="R54">
        <v>2251</v>
      </c>
      <c r="S54">
        <v>629</v>
      </c>
      <c r="T54">
        <f>S54/(S54+R54)</f>
        <v>0.21840277777777778</v>
      </c>
      <c r="U54">
        <f t="shared" si="9"/>
        <v>-4.5907400000000003</v>
      </c>
      <c r="V54">
        <f>L54-(SUM(R54:S54)*U54)</f>
        <v>41.520808999999645</v>
      </c>
      <c r="W54">
        <f>V54/(2*O54*Q54)</f>
        <v>4.6570478618356018E-2</v>
      </c>
      <c r="X54">
        <f>W54*16.02</f>
        <v>0.74605906746606343</v>
      </c>
      <c r="Y54" s="1">
        <f>AVERAGE(X50:X54)</f>
        <v>0.68405492569493731</v>
      </c>
      <c r="Z54" s="1">
        <f>STDEV(X50:X54)</f>
        <v>8.032246549775833E-2</v>
      </c>
    </row>
    <row r="55" spans="1:26" x14ac:dyDescent="0.2">
      <c r="B55" t="s">
        <v>5</v>
      </c>
      <c r="C55" t="s">
        <v>7</v>
      </c>
      <c r="D55" t="s">
        <v>6</v>
      </c>
      <c r="E55" t="s">
        <v>8</v>
      </c>
      <c r="F55" t="s">
        <v>13</v>
      </c>
      <c r="Z55" s="10"/>
    </row>
    <row r="56" spans="1:26" x14ac:dyDescent="0.2">
      <c r="A56">
        <v>300</v>
      </c>
      <c r="B56">
        <v>-9396.7387560000006</v>
      </c>
      <c r="C56">
        <v>39388.471837999998</v>
      </c>
      <c r="D56">
        <f>B56/2000</f>
        <v>-4.6983693780000007</v>
      </c>
      <c r="E56">
        <f>C56/2000</f>
        <v>19.694235919</v>
      </c>
      <c r="F56">
        <f>423/2000</f>
        <v>0.21149999999999999</v>
      </c>
      <c r="I56" t="s">
        <v>172</v>
      </c>
      <c r="J56">
        <v>100000</v>
      </c>
      <c r="K56">
        <v>1115.7743399999999</v>
      </c>
      <c r="L56">
        <v>-16890.448897999999</v>
      </c>
      <c r="M56">
        <v>74462.489753999995</v>
      </c>
      <c r="N56">
        <v>-1.563094</v>
      </c>
      <c r="O56">
        <v>26.110240999999998</v>
      </c>
      <c r="P56">
        <v>207.824578</v>
      </c>
      <c r="Q56">
        <v>13.722459000000001</v>
      </c>
      <c r="R56">
        <v>2865</v>
      </c>
      <c r="S56">
        <v>815</v>
      </c>
      <c r="T56">
        <f>S56/(S56+R56)</f>
        <v>0.22146739130434784</v>
      </c>
      <c r="U56">
        <f>-4.0498-2.4768*T56</f>
        <v>-4.5983304347826088</v>
      </c>
      <c r="V56">
        <f>L56-(SUM(R56:S56)*U56)</f>
        <v>31.407102000001032</v>
      </c>
      <c r="W56">
        <f>V56/(2*O56*Q56)</f>
        <v>4.3828342520254741E-2</v>
      </c>
      <c r="X56">
        <f>W56*16.02</f>
        <v>0.70213004717448091</v>
      </c>
    </row>
    <row r="57" spans="1:26" x14ac:dyDescent="0.2">
      <c r="B57">
        <v>-9341.5665819999995</v>
      </c>
      <c r="C57">
        <v>39553.491711000002</v>
      </c>
      <c r="D57">
        <f t="shared" ref="D57:E65" si="10">B57/2000</f>
        <v>-4.6707832909999993</v>
      </c>
      <c r="E57">
        <f t="shared" si="10"/>
        <v>19.7767458555</v>
      </c>
      <c r="F57">
        <f>401/2000</f>
        <v>0.20050000000000001</v>
      </c>
      <c r="J57">
        <v>100000</v>
      </c>
      <c r="K57">
        <v>1115.8814640000001</v>
      </c>
      <c r="L57">
        <v>-16831.272181</v>
      </c>
      <c r="M57">
        <v>74637.985430000001</v>
      </c>
      <c r="N57">
        <v>-1.2255389999999999</v>
      </c>
      <c r="O57">
        <v>26.149142000000001</v>
      </c>
      <c r="P57">
        <v>207.69864200000001</v>
      </c>
      <c r="Q57">
        <v>13.742653000000001</v>
      </c>
      <c r="R57">
        <v>2885</v>
      </c>
      <c r="S57">
        <v>795</v>
      </c>
      <c r="T57">
        <f>S57/(S57+R57)</f>
        <v>0.21603260869565216</v>
      </c>
      <c r="U57">
        <f t="shared" ref="U57:U60" si="11">-4.0498-2.4768*T57</f>
        <v>-4.5848695652173914</v>
      </c>
      <c r="V57">
        <f>L57-(SUM(R57:S57)*U57)</f>
        <v>41.047818999999436</v>
      </c>
      <c r="W57">
        <f>V57/(2*O57*Q57)</f>
        <v>5.7112617788343839E-2</v>
      </c>
      <c r="X57">
        <f>W57*16.02</f>
        <v>0.91494413696926824</v>
      </c>
    </row>
    <row r="58" spans="1:26" x14ac:dyDescent="0.2">
      <c r="B58">
        <v>-9282.4576140000008</v>
      </c>
      <c r="C58">
        <v>39724.698474999997</v>
      </c>
      <c r="D58">
        <f t="shared" si="10"/>
        <v>-4.6412288070000001</v>
      </c>
      <c r="E58">
        <f t="shared" si="10"/>
        <v>19.862349237499998</v>
      </c>
      <c r="F58">
        <f>378/2000</f>
        <v>0.189</v>
      </c>
      <c r="J58">
        <v>100000</v>
      </c>
      <c r="K58">
        <v>1115.5392179999999</v>
      </c>
      <c r="L58">
        <v>-16861.552851</v>
      </c>
      <c r="M58">
        <v>74537.095243000003</v>
      </c>
      <c r="N58">
        <v>-1.340374</v>
      </c>
      <c r="O58">
        <v>26.180254000000001</v>
      </c>
      <c r="P58">
        <v>207.77848499999999</v>
      </c>
      <c r="Q58">
        <v>13.702517</v>
      </c>
      <c r="R58">
        <v>2876</v>
      </c>
      <c r="S58">
        <v>804</v>
      </c>
      <c r="T58">
        <f>S58/(S58+R58)</f>
        <v>0.21847826086956521</v>
      </c>
      <c r="U58">
        <f t="shared" si="11"/>
        <v>-4.5909269565217397</v>
      </c>
      <c r="V58">
        <f>L58-(SUM(R58:S58)*U58)</f>
        <v>33.058349000002636</v>
      </c>
      <c r="W58">
        <f>V58/(2*O58*Q58)</f>
        <v>4.6076232311894595E-2</v>
      </c>
      <c r="X58">
        <f>W58*16.02</f>
        <v>0.73814124163655137</v>
      </c>
    </row>
    <row r="59" spans="1:26" x14ac:dyDescent="0.2">
      <c r="B59">
        <v>-9416.5924529999993</v>
      </c>
      <c r="C59">
        <v>39350.251672999999</v>
      </c>
      <c r="D59">
        <f t="shared" si="10"/>
        <v>-4.7082962264999999</v>
      </c>
      <c r="E59">
        <f t="shared" si="10"/>
        <v>19.675125836499998</v>
      </c>
      <c r="F59">
        <f>430/2000</f>
        <v>0.215</v>
      </c>
      <c r="J59">
        <v>100000</v>
      </c>
      <c r="K59">
        <v>1114.9537519999999</v>
      </c>
      <c r="L59">
        <v>-16845.27766</v>
      </c>
      <c r="M59">
        <v>74564.848736999993</v>
      </c>
      <c r="N59">
        <v>-1.496116</v>
      </c>
      <c r="O59">
        <v>26.167294999999999</v>
      </c>
      <c r="P59">
        <v>208.05344600000001</v>
      </c>
      <c r="Q59">
        <v>13.696258</v>
      </c>
      <c r="R59">
        <v>2883</v>
      </c>
      <c r="S59">
        <v>797</v>
      </c>
      <c r="T59">
        <f>S59/(S59+R59)</f>
        <v>0.21657608695652175</v>
      </c>
      <c r="U59">
        <f t="shared" si="11"/>
        <v>-4.5862156521739132</v>
      </c>
      <c r="V59">
        <f>L59-(SUM(R59:S59)*U59)</f>
        <v>31.995940000000701</v>
      </c>
      <c r="W59">
        <f>V59/(2*O59*Q59)</f>
        <v>4.4637937442611741E-2</v>
      </c>
      <c r="X59">
        <f>W59*16.02</f>
        <v>0.71509975783064006</v>
      </c>
    </row>
    <row r="60" spans="1:26" x14ac:dyDescent="0.2">
      <c r="B60">
        <v>-9413.4413540000005</v>
      </c>
      <c r="C60">
        <v>39327.148277</v>
      </c>
      <c r="D60">
        <f t="shared" si="10"/>
        <v>-4.7067206769999999</v>
      </c>
      <c r="E60">
        <f t="shared" si="10"/>
        <v>19.6635741385</v>
      </c>
      <c r="F60">
        <f>432/2000</f>
        <v>0.216</v>
      </c>
      <c r="J60">
        <v>100000</v>
      </c>
      <c r="K60">
        <v>1115.895297</v>
      </c>
      <c r="L60">
        <v>-16911.539978000001</v>
      </c>
      <c r="M60">
        <v>74417.076969999995</v>
      </c>
      <c r="N60">
        <v>-1.550478</v>
      </c>
      <c r="O60">
        <v>26.084814999999999</v>
      </c>
      <c r="P60">
        <v>207.900284</v>
      </c>
      <c r="Q60">
        <v>13.722452000000001</v>
      </c>
      <c r="R60">
        <v>2857</v>
      </c>
      <c r="S60">
        <v>823</v>
      </c>
      <c r="T60">
        <f>S60/(S60+R60)</f>
        <v>0.22364130434782609</v>
      </c>
      <c r="U60">
        <f t="shared" si="11"/>
        <v>-4.6037147826086962</v>
      </c>
      <c r="V60">
        <f>L60-(SUM(R60:S60)*U60)</f>
        <v>30.130422000002</v>
      </c>
      <c r="W60">
        <f>V60/(2*O60*Q60)</f>
        <v>4.2087752743426639E-2</v>
      </c>
      <c r="X60">
        <f>W60*16.02</f>
        <v>0.67424579894969472</v>
      </c>
      <c r="Y60" s="1">
        <f>AVERAGE(X56:X60)</f>
        <v>0.74891219651212704</v>
      </c>
      <c r="Z60" s="1">
        <f>STDEV(X56:X60)</f>
        <v>9.5641962746596601E-2</v>
      </c>
    </row>
    <row r="61" spans="1:26" x14ac:dyDescent="0.2">
      <c r="B61">
        <v>-9331.323703</v>
      </c>
      <c r="C61">
        <v>39628.439554999997</v>
      </c>
      <c r="D61">
        <f t="shared" si="10"/>
        <v>-4.6656618515000003</v>
      </c>
      <c r="E61">
        <f t="shared" si="10"/>
        <v>19.8142197775</v>
      </c>
      <c r="F61">
        <f>395/2000</f>
        <v>0.19750000000000001</v>
      </c>
    </row>
    <row r="62" spans="1:26" x14ac:dyDescent="0.2">
      <c r="B62">
        <v>-9457.6432459999996</v>
      </c>
      <c r="C62">
        <v>39215.795716000001</v>
      </c>
      <c r="D62">
        <f t="shared" si="10"/>
        <v>-4.728821623</v>
      </c>
      <c r="E62">
        <f t="shared" si="10"/>
        <v>19.607897858000001</v>
      </c>
      <c r="F62">
        <f>447/2000</f>
        <v>0.2235</v>
      </c>
      <c r="I62" t="s">
        <v>17</v>
      </c>
      <c r="J62">
        <v>100000</v>
      </c>
      <c r="K62">
        <v>1040.9190530000001</v>
      </c>
      <c r="L62">
        <v>-17285.187869000001</v>
      </c>
      <c r="M62">
        <v>76565.029301000002</v>
      </c>
      <c r="N62">
        <v>-1.1676820000000001</v>
      </c>
      <c r="O62">
        <v>30.741845000000001</v>
      </c>
      <c r="P62">
        <v>91.152395999999996</v>
      </c>
      <c r="Q62">
        <v>27.323369</v>
      </c>
      <c r="R62">
        <v>2940</v>
      </c>
      <c r="S62">
        <v>836</v>
      </c>
      <c r="T62">
        <f>S62/(S62+R62)</f>
        <v>0.22139830508474576</v>
      </c>
      <c r="U62">
        <f>-4.0498-2.4768*T62</f>
        <v>-4.598159322033899</v>
      </c>
      <c r="V62">
        <f>L62-(SUM(R62:S62)*U62)</f>
        <v>77.461731000003056</v>
      </c>
      <c r="W62">
        <f>V62/(2*O62*Q62)</f>
        <v>4.6109777468091181E-2</v>
      </c>
      <c r="X62">
        <f>W62*16.02</f>
        <v>0.7386786350388207</v>
      </c>
    </row>
    <row r="63" spans="1:26" x14ac:dyDescent="0.2">
      <c r="B63">
        <v>-9476.4493330000005</v>
      </c>
      <c r="C63">
        <v>39146.881055999998</v>
      </c>
      <c r="D63">
        <f t="shared" si="10"/>
        <v>-4.7382246664999998</v>
      </c>
      <c r="E63">
        <f t="shared" si="10"/>
        <v>19.573440527999999</v>
      </c>
      <c r="F63">
        <f>454/2000</f>
        <v>0.22700000000000001</v>
      </c>
      <c r="J63">
        <v>100000</v>
      </c>
      <c r="K63">
        <v>1040.8778569999999</v>
      </c>
      <c r="L63">
        <v>-17275.288022000001</v>
      </c>
      <c r="M63">
        <v>76627.158641000002</v>
      </c>
      <c r="N63">
        <v>-1.2631669999999999</v>
      </c>
      <c r="O63">
        <v>30.716111000000001</v>
      </c>
      <c r="P63">
        <v>91.010333000000003</v>
      </c>
      <c r="Q63">
        <v>27.411213</v>
      </c>
      <c r="R63">
        <v>2944</v>
      </c>
      <c r="S63">
        <v>832</v>
      </c>
      <c r="T63">
        <f>S63/(S63+R63)</f>
        <v>0.22033898305084745</v>
      </c>
      <c r="U63">
        <f t="shared" ref="U63:U66" si="12">-4.0498-2.4768*T63</f>
        <v>-4.5955355932203394</v>
      </c>
      <c r="V63">
        <f>L63-(SUM(R63:S63)*U63)</f>
        <v>77.45437800000218</v>
      </c>
      <c r="W63">
        <f>V63/(2*O63*Q63)</f>
        <v>4.5996151134897495E-2</v>
      </c>
      <c r="X63">
        <f>W63*16.02</f>
        <v>0.73685834118105786</v>
      </c>
    </row>
    <row r="64" spans="1:26" x14ac:dyDescent="0.2">
      <c r="B64">
        <v>-9396.5170610000005</v>
      </c>
      <c r="C64">
        <v>39409.688605000003</v>
      </c>
      <c r="D64">
        <f t="shared" si="10"/>
        <v>-4.6982585305000004</v>
      </c>
      <c r="E64">
        <f t="shared" si="10"/>
        <v>19.7048443025</v>
      </c>
      <c r="F64">
        <f>422/2000</f>
        <v>0.21099999999999999</v>
      </c>
      <c r="J64">
        <v>100000</v>
      </c>
      <c r="K64">
        <v>1040.7878430000001</v>
      </c>
      <c r="L64">
        <v>-17284.067608000001</v>
      </c>
      <c r="M64">
        <v>76596.782978999996</v>
      </c>
      <c r="N64">
        <v>-1.2077709999999999</v>
      </c>
      <c r="O64">
        <v>30.721698</v>
      </c>
      <c r="P64">
        <v>91.031236000000007</v>
      </c>
      <c r="Q64">
        <v>27.389067000000001</v>
      </c>
      <c r="R64">
        <v>2940</v>
      </c>
      <c r="S64">
        <v>836</v>
      </c>
      <c r="T64">
        <f>S64/(S64+R64)</f>
        <v>0.22139830508474576</v>
      </c>
      <c r="U64">
        <f t="shared" si="12"/>
        <v>-4.598159322033899</v>
      </c>
      <c r="V64">
        <f>L64-(SUM(R64:S64)*U64)</f>
        <v>78.581992000003083</v>
      </c>
      <c r="W64">
        <f>V64/(2*O64*Q64)</f>
        <v>4.6695021959447379E-2</v>
      </c>
      <c r="X64">
        <f>W64*16.02</f>
        <v>0.74805425179034701</v>
      </c>
    </row>
    <row r="65" spans="2:26" x14ac:dyDescent="0.2">
      <c r="B65">
        <v>-9439.1483549999994</v>
      </c>
      <c r="C65">
        <v>39234.549900999998</v>
      </c>
      <c r="D65">
        <f t="shared" si="10"/>
        <v>-4.7195741774999993</v>
      </c>
      <c r="E65">
        <f t="shared" si="10"/>
        <v>19.617274950500001</v>
      </c>
      <c r="F65">
        <f>441/2000</f>
        <v>0.2205</v>
      </c>
      <c r="J65">
        <v>100000</v>
      </c>
      <c r="K65">
        <v>1040.7222180000001</v>
      </c>
      <c r="L65">
        <v>-17261.555884000001</v>
      </c>
      <c r="M65">
        <v>76634.836265999998</v>
      </c>
      <c r="N65">
        <v>-1.147097</v>
      </c>
      <c r="O65">
        <v>30.770323000000001</v>
      </c>
      <c r="P65">
        <v>91.045404000000005</v>
      </c>
      <c r="Q65">
        <v>27.355080999999998</v>
      </c>
      <c r="R65">
        <v>2951</v>
      </c>
      <c r="S65">
        <v>825</v>
      </c>
      <c r="T65">
        <f>S65/(S65+R65)</f>
        <v>0.21848516949152541</v>
      </c>
      <c r="U65">
        <f t="shared" si="12"/>
        <v>-4.5909440677966105</v>
      </c>
      <c r="V65">
        <f>L65-(SUM(R65:S65)*U65)</f>
        <v>73.848915999999008</v>
      </c>
      <c r="W65">
        <f>V65/(2*O65*Q65)</f>
        <v>4.3867619617677919E-2</v>
      </c>
      <c r="X65">
        <f>W65*16.02</f>
        <v>0.70275926627520025</v>
      </c>
    </row>
    <row r="66" spans="2:26" x14ac:dyDescent="0.2">
      <c r="J66">
        <v>100000</v>
      </c>
      <c r="K66">
        <v>1041.0859350000001</v>
      </c>
      <c r="L66">
        <v>-17240.560459</v>
      </c>
      <c r="M66">
        <v>76699.334768999994</v>
      </c>
      <c r="N66">
        <v>-1.212982</v>
      </c>
      <c r="O66">
        <v>30.765452</v>
      </c>
      <c r="P66">
        <v>91.105564000000001</v>
      </c>
      <c r="Q66">
        <v>27.364360000000001</v>
      </c>
      <c r="R66">
        <v>2959</v>
      </c>
      <c r="S66">
        <v>817</v>
      </c>
      <c r="T66">
        <f>S66/(S66+R66)</f>
        <v>0.21636652542372881</v>
      </c>
      <c r="U66">
        <f t="shared" si="12"/>
        <v>-4.5856966101694923</v>
      </c>
      <c r="V66">
        <f>L66-(SUM(R66:S66)*U66)</f>
        <v>75.02994100000069</v>
      </c>
      <c r="W66">
        <f>V66/(2*O66*Q66)</f>
        <v>4.4561111390172735E-2</v>
      </c>
      <c r="X66">
        <f>W66*16.02</f>
        <v>0.71386900447056723</v>
      </c>
      <c r="Y66" s="1">
        <f>AVERAGE(X62:X66)</f>
        <v>0.72804389975119865</v>
      </c>
      <c r="Z66" s="1">
        <f>STDEV(X62:X66)</f>
        <v>1.8917230950388244E-2</v>
      </c>
    </row>
    <row r="68" spans="2:26" x14ac:dyDescent="0.2">
      <c r="I68" t="s">
        <v>173</v>
      </c>
      <c r="J68">
        <v>100000</v>
      </c>
      <c r="K68">
        <v>1115.6038679999999</v>
      </c>
      <c r="L68">
        <v>-29831.056209999999</v>
      </c>
      <c r="M68">
        <v>131151.85355900001</v>
      </c>
      <c r="N68">
        <v>-0.800871</v>
      </c>
      <c r="O68">
        <v>40.005265999999999</v>
      </c>
      <c r="P68">
        <v>239.20891</v>
      </c>
      <c r="Q68">
        <v>13.70506</v>
      </c>
      <c r="R68">
        <v>5027</v>
      </c>
      <c r="S68">
        <v>1461</v>
      </c>
      <c r="T68">
        <f>S68/(S68+R68)</f>
        <v>0.2251849568434032</v>
      </c>
      <c r="U68">
        <f>-4.0498-2.4768*T68</f>
        <v>-4.6075381011097409</v>
      </c>
      <c r="V68">
        <f>L68-(SUM(R68:S68)*U68)</f>
        <v>62.650990000001912</v>
      </c>
      <c r="W68">
        <f>V68/(2*O68*Q68)</f>
        <v>5.7134685184591548E-2</v>
      </c>
      <c r="X68">
        <f>W68*16.02</f>
        <v>0.91529765665715657</v>
      </c>
    </row>
    <row r="69" spans="2:26" x14ac:dyDescent="0.2">
      <c r="J69">
        <v>100000</v>
      </c>
      <c r="K69">
        <v>1115.6307879999999</v>
      </c>
      <c r="L69">
        <v>-29735.980716999999</v>
      </c>
      <c r="M69">
        <v>131393.52334300001</v>
      </c>
      <c r="N69">
        <v>-0.82708199999999998</v>
      </c>
      <c r="O69">
        <v>40.022326999999997</v>
      </c>
      <c r="P69">
        <v>239.13405399999999</v>
      </c>
      <c r="Q69">
        <v>13.728766</v>
      </c>
      <c r="R69">
        <v>5066</v>
      </c>
      <c r="S69">
        <v>1422</v>
      </c>
      <c r="T69">
        <f>S69/(S69+R69)</f>
        <v>0.21917385943279902</v>
      </c>
      <c r="U69">
        <f t="shared" ref="U69:U72" si="13">-4.0498-2.4768*T69</f>
        <v>-4.5926498150431572</v>
      </c>
      <c r="V69">
        <f>L69-(SUM(R69:S69)*U69)</f>
        <v>61.131283000006079</v>
      </c>
      <c r="W69">
        <f>V69/(2*O69*Q69)</f>
        <v>5.5628798030276427E-2</v>
      </c>
      <c r="X69">
        <f>W69*16.02</f>
        <v>0.89117334444502838</v>
      </c>
    </row>
    <row r="70" spans="2:26" x14ac:dyDescent="0.2">
      <c r="J70">
        <v>100000</v>
      </c>
      <c r="K70">
        <v>1115.594814</v>
      </c>
      <c r="L70">
        <v>-29742.874458999999</v>
      </c>
      <c r="M70">
        <v>131405.48881099999</v>
      </c>
      <c r="N70">
        <v>-0.656138</v>
      </c>
      <c r="O70">
        <v>40.032640000000001</v>
      </c>
      <c r="P70">
        <v>239.36893900000001</v>
      </c>
      <c r="Q70">
        <v>13.712994</v>
      </c>
      <c r="R70">
        <v>5065</v>
      </c>
      <c r="S70">
        <v>1423</v>
      </c>
      <c r="T70">
        <f>S70/(S70+R70)</f>
        <v>0.21932799013563503</v>
      </c>
      <c r="U70">
        <f t="shared" si="13"/>
        <v>-4.5930315659679408</v>
      </c>
      <c r="V70">
        <f>L70-(SUM(R70:S70)*U70)</f>
        <v>56.714341000002605</v>
      </c>
      <c r="W70">
        <f>V70/(2*O70*Q70)</f>
        <v>5.1655477124963448E-2</v>
      </c>
      <c r="X70">
        <f>W70*16.02</f>
        <v>0.82752074354191441</v>
      </c>
    </row>
    <row r="71" spans="2:26" x14ac:dyDescent="0.2">
      <c r="J71">
        <v>100000</v>
      </c>
      <c r="K71">
        <v>1115.6272289999999</v>
      </c>
      <c r="L71">
        <v>-29788.737161000001</v>
      </c>
      <c r="M71">
        <v>131255.54819999999</v>
      </c>
      <c r="N71">
        <v>-1.1566479999999999</v>
      </c>
      <c r="O71">
        <v>40.042085999999998</v>
      </c>
      <c r="P71">
        <v>239.35682399999999</v>
      </c>
      <c r="Q71">
        <v>13.694813</v>
      </c>
      <c r="R71">
        <v>5047</v>
      </c>
      <c r="S71">
        <v>1441</v>
      </c>
      <c r="T71">
        <f>S71/(S71+R71)</f>
        <v>0.22210234278668312</v>
      </c>
      <c r="U71">
        <f t="shared" si="13"/>
        <v>-4.5999030826140572</v>
      </c>
      <c r="V71">
        <f>L71-(SUM(R71:S71)*U71)</f>
        <v>55.434039000003395</v>
      </c>
      <c r="W71">
        <f>V71/(2*O71*Q71)</f>
        <v>5.0544479302071794E-2</v>
      </c>
      <c r="X71">
        <f>W71*16.02</f>
        <v>0.80972255841919016</v>
      </c>
    </row>
    <row r="72" spans="2:26" x14ac:dyDescent="0.2">
      <c r="J72">
        <v>100000</v>
      </c>
      <c r="K72">
        <v>1115.9247559999999</v>
      </c>
      <c r="L72">
        <v>-29816.157073999999</v>
      </c>
      <c r="M72">
        <v>131154.84570800001</v>
      </c>
      <c r="N72">
        <v>-0.78472600000000003</v>
      </c>
      <c r="O72">
        <v>40.044125999999999</v>
      </c>
      <c r="P72">
        <v>239.19579300000001</v>
      </c>
      <c r="Q72">
        <v>13.692822</v>
      </c>
      <c r="R72">
        <v>5038</v>
      </c>
      <c r="S72">
        <v>1450</v>
      </c>
      <c r="T72">
        <f>S72/(S72+R72)</f>
        <v>0.22348951911220716</v>
      </c>
      <c r="U72">
        <f t="shared" si="13"/>
        <v>-4.6033388409371145</v>
      </c>
      <c r="V72">
        <f>L72-(SUM(R72:S72)*U72)</f>
        <v>50.305326000001514</v>
      </c>
      <c r="W72">
        <f>V72/(2*O72*Q72)</f>
        <v>4.5872476862991889E-2</v>
      </c>
      <c r="X72">
        <f>W72*16.02</f>
        <v>0.73487707934513002</v>
      </c>
      <c r="Y72" s="1">
        <f>AVERAGE(X68:X72)</f>
        <v>0.83571827648168395</v>
      </c>
      <c r="Z72" s="1">
        <f>STDEV(X68:X72)</f>
        <v>7.1274234923547508E-2</v>
      </c>
    </row>
    <row r="74" spans="2:26" x14ac:dyDescent="0.2">
      <c r="I74" t="s">
        <v>174</v>
      </c>
      <c r="J74">
        <v>100000</v>
      </c>
      <c r="K74">
        <v>1115.4137519999999</v>
      </c>
      <c r="L74">
        <v>-14959.968054000001</v>
      </c>
      <c r="M74">
        <v>67130.753079000002</v>
      </c>
      <c r="N74">
        <v>-1.5507679999999999</v>
      </c>
      <c r="O74">
        <v>24.791201999999998</v>
      </c>
      <c r="P74">
        <v>197.00626500000001</v>
      </c>
      <c r="Q74">
        <v>13.745039</v>
      </c>
      <c r="R74">
        <v>2631</v>
      </c>
      <c r="S74">
        <v>665</v>
      </c>
      <c r="T74">
        <f>S74/(S74+R74)</f>
        <v>0.20175970873786409</v>
      </c>
      <c r="U74">
        <f>-4.0498-2.4768*T74</f>
        <v>-4.549518446601942</v>
      </c>
      <c r="V74">
        <f>L74-(SUM(R74:S74)*U74)</f>
        <v>35.244746000000305</v>
      </c>
      <c r="W74">
        <f>V74/(2*O74*Q74)</f>
        <v>5.1715512028758771E-2</v>
      </c>
      <c r="X74">
        <f>W74*16.02</f>
        <v>0.82848250270071544</v>
      </c>
    </row>
    <row r="75" spans="2:26" x14ac:dyDescent="0.2">
      <c r="J75">
        <v>100000</v>
      </c>
      <c r="K75">
        <v>1115.32278</v>
      </c>
      <c r="L75">
        <v>-15154.127939</v>
      </c>
      <c r="M75">
        <v>66618.669485999999</v>
      </c>
      <c r="N75">
        <v>-1.4475499999999999</v>
      </c>
      <c r="O75">
        <v>24.752395</v>
      </c>
      <c r="P75">
        <v>196.432267</v>
      </c>
      <c r="Q75">
        <v>13.70149</v>
      </c>
      <c r="R75">
        <v>2555</v>
      </c>
      <c r="S75">
        <v>741</v>
      </c>
      <c r="T75">
        <f>S75/(S75+R75)</f>
        <v>0.22481796116504854</v>
      </c>
      <c r="U75">
        <f t="shared" ref="U75:U78" si="14">-4.0498-2.4768*T75</f>
        <v>-4.6066291262135923</v>
      </c>
      <c r="V75">
        <f>L75-(SUM(R75:S75)*U75)</f>
        <v>29.321660999999949</v>
      </c>
      <c r="W75">
        <f>V75/(2*O75*Q75)</f>
        <v>4.322883660352915E-2</v>
      </c>
      <c r="X75">
        <f>W75*16.02</f>
        <v>0.69252596238853692</v>
      </c>
    </row>
    <row r="76" spans="2:26" x14ac:dyDescent="0.2">
      <c r="J76">
        <v>100000</v>
      </c>
      <c r="K76">
        <v>1115.7922599999999</v>
      </c>
      <c r="L76">
        <v>-15033.027384000001</v>
      </c>
      <c r="M76">
        <v>66950.882928000006</v>
      </c>
      <c r="N76">
        <v>-1.6027750000000001</v>
      </c>
      <c r="O76">
        <v>24.809301000000001</v>
      </c>
      <c r="P76">
        <v>196.91939099999999</v>
      </c>
      <c r="Q76">
        <v>13.704245</v>
      </c>
      <c r="R76">
        <v>2602</v>
      </c>
      <c r="S76">
        <v>694</v>
      </c>
      <c r="T76">
        <f>S76/(S76+R76)</f>
        <v>0.21055825242718446</v>
      </c>
      <c r="U76">
        <f t="shared" si="14"/>
        <v>-4.5713106796116509</v>
      </c>
      <c r="V76">
        <f>L76-(SUM(R76:S76)*U76)</f>
        <v>34.01261599999998</v>
      </c>
      <c r="W76">
        <f>V76/(2*O76*Q76)</f>
        <v>5.0019621127435764E-2</v>
      </c>
      <c r="X76">
        <f>W76*16.02</f>
        <v>0.8013143304615209</v>
      </c>
    </row>
    <row r="77" spans="2:26" x14ac:dyDescent="0.2">
      <c r="J77">
        <v>100000</v>
      </c>
      <c r="K77">
        <v>1115.679065</v>
      </c>
      <c r="L77">
        <v>-15058.742183</v>
      </c>
      <c r="M77">
        <v>66856.853180999999</v>
      </c>
      <c r="N77">
        <v>-1.728532</v>
      </c>
      <c r="O77">
        <v>24.787689</v>
      </c>
      <c r="P77">
        <v>196.945932</v>
      </c>
      <c r="Q77">
        <v>13.695077</v>
      </c>
      <c r="R77">
        <v>2593</v>
      </c>
      <c r="S77">
        <v>703</v>
      </c>
      <c r="T77">
        <f>S77/(S77+R77)</f>
        <v>0.21328883495145631</v>
      </c>
      <c r="U77">
        <f t="shared" si="14"/>
        <v>-4.5780737864077672</v>
      </c>
      <c r="V77">
        <f>L77-(SUM(R77:S77)*U77)</f>
        <v>30.58901700000024</v>
      </c>
      <c r="W77">
        <f>V77/(2*O77*Q77)</f>
        <v>4.5054171530879893E-2</v>
      </c>
      <c r="X77">
        <f>W77*16.02</f>
        <v>0.72176782792469585</v>
      </c>
    </row>
    <row r="78" spans="2:26" x14ac:dyDescent="0.2">
      <c r="J78">
        <v>100000</v>
      </c>
      <c r="K78">
        <v>1115.4277930000001</v>
      </c>
      <c r="L78">
        <v>-15211.835082</v>
      </c>
      <c r="M78">
        <v>66492.457062999994</v>
      </c>
      <c r="N78">
        <v>-1.5193289999999999</v>
      </c>
      <c r="O78">
        <v>24.746686</v>
      </c>
      <c r="P78">
        <v>196.37767700000001</v>
      </c>
      <c r="Q78">
        <v>13.682503000000001</v>
      </c>
      <c r="R78">
        <v>2534</v>
      </c>
      <c r="S78">
        <v>762</v>
      </c>
      <c r="T78">
        <f>S78/(S78+R78)</f>
        <v>0.23118932038834952</v>
      </c>
      <c r="U78">
        <f t="shared" si="14"/>
        <v>-4.6224097087378642</v>
      </c>
      <c r="V78">
        <f>L78-(SUM(R78:S78)*U78)</f>
        <v>23.627318000000741</v>
      </c>
      <c r="W78">
        <f>V78/(2*O78*Q78)</f>
        <v>3.4890069216202468E-2</v>
      </c>
      <c r="X78">
        <f>W78*16.02</f>
        <v>0.55893890884356356</v>
      </c>
      <c r="Y78" s="1">
        <f>AVERAGE(X74:X78)</f>
        <v>0.72060590646380651</v>
      </c>
      <c r="Z78" s="1">
        <f>STDEV(X74:X78)</f>
        <v>0.10615703127931672</v>
      </c>
    </row>
    <row r="80" spans="2:26" x14ac:dyDescent="0.2">
      <c r="I80" t="s">
        <v>175</v>
      </c>
      <c r="J80">
        <v>100000</v>
      </c>
      <c r="K80">
        <v>1115.2073250000001</v>
      </c>
      <c r="L80">
        <v>-21598.330331000001</v>
      </c>
      <c r="M80">
        <v>96716.547244000001</v>
      </c>
      <c r="N80">
        <v>-1.0641259999999999</v>
      </c>
      <c r="O80">
        <v>34.423400000000001</v>
      </c>
      <c r="P80">
        <v>204.82885999999999</v>
      </c>
      <c r="Q80">
        <v>13.716946</v>
      </c>
      <c r="R80">
        <v>3784</v>
      </c>
      <c r="S80">
        <v>968</v>
      </c>
      <c r="T80">
        <f>S80/(S80+R80)</f>
        <v>0.20370370370370369</v>
      </c>
      <c r="U80">
        <f>-4.0498-2.4768*T80</f>
        <v>-4.554333333333334</v>
      </c>
      <c r="V80">
        <f>L80-(SUM(R80:S80)*U80)</f>
        <v>43.861669000001712</v>
      </c>
      <c r="W80">
        <f>V80/(2*O80*Q80)</f>
        <v>4.6445534505707702E-2</v>
      </c>
      <c r="X80">
        <f>W80*16.02</f>
        <v>0.74405746278143736</v>
      </c>
    </row>
    <row r="81" spans="9:29" x14ac:dyDescent="0.2">
      <c r="J81">
        <v>100000</v>
      </c>
      <c r="K81">
        <v>1115.5592630000001</v>
      </c>
      <c r="L81">
        <v>-21768.795032999999</v>
      </c>
      <c r="M81">
        <v>96248.404192000002</v>
      </c>
      <c r="N81">
        <v>-0.96465000000000001</v>
      </c>
      <c r="O81">
        <v>34.360010000000003</v>
      </c>
      <c r="P81">
        <v>204.291234</v>
      </c>
      <c r="Q81">
        <v>13.71172</v>
      </c>
      <c r="R81">
        <v>3718</v>
      </c>
      <c r="S81">
        <v>1034</v>
      </c>
      <c r="T81">
        <f>S81/(S81+R81)</f>
        <v>0.21759259259259259</v>
      </c>
      <c r="U81">
        <f t="shared" ref="U81:U84" si="15">-4.0498-2.4768*T81</f>
        <v>-4.5887333333333338</v>
      </c>
      <c r="V81">
        <f>L81-(SUM(R81:S81)*U81)</f>
        <v>36.865767000002961</v>
      </c>
      <c r="W81">
        <f>V81/(2*O81*Q81)</f>
        <v>3.9124433345003616E-2</v>
      </c>
      <c r="X81">
        <f>W81*16.02</f>
        <v>0.62677342218695786</v>
      </c>
    </row>
    <row r="82" spans="9:29" x14ac:dyDescent="0.2">
      <c r="J82">
        <v>100000</v>
      </c>
      <c r="K82">
        <v>1115.4930260000001</v>
      </c>
      <c r="L82">
        <v>-21604.475187</v>
      </c>
      <c r="M82">
        <v>96672.815382000001</v>
      </c>
      <c r="N82">
        <v>-1.081593</v>
      </c>
      <c r="O82">
        <v>34.408405000000002</v>
      </c>
      <c r="P82">
        <v>204.73621499999999</v>
      </c>
      <c r="Q82">
        <v>13.722923</v>
      </c>
      <c r="R82">
        <v>3780</v>
      </c>
      <c r="S82">
        <v>972</v>
      </c>
      <c r="T82">
        <f>S82/(S82+R82)</f>
        <v>0.20454545454545456</v>
      </c>
      <c r="U82">
        <f t="shared" si="15"/>
        <v>-4.5564181818181826</v>
      </c>
      <c r="V82">
        <f>L82-(SUM(R82:S82)*U82)</f>
        <v>47.624013000004197</v>
      </c>
      <c r="W82">
        <f>V82/(2*O82*Q82)</f>
        <v>5.0429518848248561E-2</v>
      </c>
      <c r="X82">
        <f>W82*16.02</f>
        <v>0.80788089194894197</v>
      </c>
    </row>
    <row r="83" spans="9:29" x14ac:dyDescent="0.2">
      <c r="J83">
        <v>100000</v>
      </c>
      <c r="K83">
        <v>1115.3527309999999</v>
      </c>
      <c r="L83">
        <v>-21869.658272000001</v>
      </c>
      <c r="M83">
        <v>95997.571865999998</v>
      </c>
      <c r="N83">
        <v>-1.0802830000000001</v>
      </c>
      <c r="O83">
        <v>34.314371000000001</v>
      </c>
      <c r="P83">
        <v>204.34270000000001</v>
      </c>
      <c r="Q83">
        <v>13.690723</v>
      </c>
      <c r="R83">
        <v>3674</v>
      </c>
      <c r="S83">
        <v>1078</v>
      </c>
      <c r="T83">
        <f>S83/(S83+R83)</f>
        <v>0.22685185185185186</v>
      </c>
      <c r="U83">
        <f t="shared" si="15"/>
        <v>-4.6116666666666672</v>
      </c>
      <c r="V83">
        <f>L83-(SUM(R83:S83)*U83)</f>
        <v>44.981728000002477</v>
      </c>
      <c r="W83">
        <f>V83/(2*O83*Q83)</f>
        <v>4.7874440708131606E-2</v>
      </c>
      <c r="X83">
        <f>W83*16.02</f>
        <v>0.76694854014426828</v>
      </c>
    </row>
    <row r="84" spans="9:29" x14ac:dyDescent="0.2">
      <c r="J84">
        <v>100000</v>
      </c>
      <c r="K84">
        <v>1115.9380759999999</v>
      </c>
      <c r="L84">
        <v>-21607.591230999999</v>
      </c>
      <c r="M84">
        <v>96655.016893000007</v>
      </c>
      <c r="N84">
        <v>-1.3644270000000001</v>
      </c>
      <c r="O84">
        <v>34.385401999999999</v>
      </c>
      <c r="P84">
        <v>204.854085</v>
      </c>
      <c r="Q84">
        <v>13.721671000000001</v>
      </c>
      <c r="R84">
        <v>3780</v>
      </c>
      <c r="S84">
        <v>972</v>
      </c>
      <c r="T84">
        <f>S84/(S84+R84)</f>
        <v>0.20454545454545456</v>
      </c>
      <c r="U84">
        <f t="shared" si="15"/>
        <v>-4.5564181818181826</v>
      </c>
      <c r="V84">
        <f>L84-(SUM(R84:S84)*U84)</f>
        <v>44.507969000005687</v>
      </c>
      <c r="W84">
        <f>V84/(2*O84*Q84)</f>
        <v>4.7165742212172998E-2</v>
      </c>
      <c r="X84">
        <f>W84*16.02</f>
        <v>0.75559519023901145</v>
      </c>
      <c r="Y84" s="1">
        <f>AVERAGE(X80:X84)</f>
        <v>0.74025110146012341</v>
      </c>
      <c r="Z84" s="1">
        <f>STDEV(X80:X84)</f>
        <v>6.7848461541219526E-2</v>
      </c>
    </row>
    <row r="86" spans="9:29" x14ac:dyDescent="0.2">
      <c r="J86">
        <v>1000</v>
      </c>
      <c r="K86" t="s">
        <v>32</v>
      </c>
      <c r="W86" t="s">
        <v>25</v>
      </c>
      <c r="X86" t="s">
        <v>24</v>
      </c>
    </row>
    <row r="87" spans="9:29" x14ac:dyDescent="0.2">
      <c r="J87" t="s">
        <v>176</v>
      </c>
      <c r="K87" t="s">
        <v>18</v>
      </c>
      <c r="L87" t="s">
        <v>5</v>
      </c>
      <c r="M87" t="s">
        <v>7</v>
      </c>
      <c r="N87" t="s">
        <v>19</v>
      </c>
      <c r="O87" t="s">
        <v>20</v>
      </c>
      <c r="P87" t="s">
        <v>21</v>
      </c>
      <c r="Q87" t="s">
        <v>22</v>
      </c>
      <c r="R87" t="s">
        <v>4</v>
      </c>
      <c r="S87" t="s">
        <v>10</v>
      </c>
      <c r="T87" t="s">
        <v>13</v>
      </c>
      <c r="U87" t="s">
        <v>26</v>
      </c>
      <c r="V87" t="s">
        <v>12</v>
      </c>
      <c r="W87" t="s">
        <v>23</v>
      </c>
      <c r="X87" t="s">
        <v>23</v>
      </c>
    </row>
    <row r="88" spans="9:29" x14ac:dyDescent="0.2">
      <c r="I88" t="s">
        <v>55</v>
      </c>
      <c r="J88">
        <v>100000</v>
      </c>
      <c r="K88">
        <v>867.60331599999995</v>
      </c>
      <c r="L88">
        <v>-18041.781684000001</v>
      </c>
      <c r="M88">
        <v>78379.518951999999</v>
      </c>
      <c r="N88">
        <v>-1.1681060000000001</v>
      </c>
      <c r="O88">
        <v>30.969595999999999</v>
      </c>
      <c r="P88">
        <v>184.836465</v>
      </c>
      <c r="Q88">
        <v>13.692444999999999</v>
      </c>
      <c r="R88">
        <v>3036</v>
      </c>
      <c r="S88">
        <v>868</v>
      </c>
      <c r="T88">
        <f>S88/(S88+R88)</f>
        <v>0.2223360655737705</v>
      </c>
      <c r="U88">
        <f>-4.062-2.5481*T88</f>
        <v>-4.6285345286885251</v>
      </c>
      <c r="V88">
        <f>L88-(SUM(R88:S88)*U88)</f>
        <v>28.017115999999078</v>
      </c>
      <c r="W88">
        <f>V88/(2*O88*Q88)</f>
        <v>3.3035195970238566E-2</v>
      </c>
      <c r="X88">
        <f>W88*16.02</f>
        <v>0.52922383944322182</v>
      </c>
      <c r="Z88" s="10"/>
    </row>
    <row r="89" spans="9:29" x14ac:dyDescent="0.2">
      <c r="J89">
        <v>100000</v>
      </c>
      <c r="K89">
        <v>867.37728900000002</v>
      </c>
      <c r="L89">
        <v>-17968.873650000001</v>
      </c>
      <c r="M89">
        <v>78553.831126000005</v>
      </c>
      <c r="N89">
        <v>-0.99343599999999999</v>
      </c>
      <c r="O89">
        <v>31.03735</v>
      </c>
      <c r="P89">
        <v>185.06053800000001</v>
      </c>
      <c r="Q89">
        <v>13.676372000000001</v>
      </c>
      <c r="R89">
        <v>3063</v>
      </c>
      <c r="S89">
        <v>841</v>
      </c>
      <c r="T89">
        <f>S89/(S89+R89)</f>
        <v>0.21542008196721313</v>
      </c>
      <c r="U89">
        <f t="shared" ref="U89:U92" si="16">-4.062-2.5481*T89</f>
        <v>-4.610911910860656</v>
      </c>
      <c r="V89">
        <f>L89-(SUM(R89:S89)*U89)</f>
        <v>32.12644999999975</v>
      </c>
      <c r="W89">
        <f>V89/(2*O89*Q89)</f>
        <v>3.7842272069592842E-2</v>
      </c>
      <c r="X89">
        <f>W89*16.02</f>
        <v>0.60623319855487734</v>
      </c>
      <c r="Z89" s="10"/>
      <c r="AA89" s="1"/>
      <c r="AB89" s="1"/>
      <c r="AC89" s="1"/>
    </row>
    <row r="90" spans="9:29" x14ac:dyDescent="0.2">
      <c r="J90">
        <v>100000</v>
      </c>
      <c r="K90">
        <v>867.53904199999999</v>
      </c>
      <c r="L90">
        <v>-18056.013124000001</v>
      </c>
      <c r="M90">
        <v>78330.648180000004</v>
      </c>
      <c r="N90">
        <v>-1.013619</v>
      </c>
      <c r="O90">
        <v>30.9815</v>
      </c>
      <c r="P90">
        <v>184.85560699999999</v>
      </c>
      <c r="Q90">
        <v>13.677235</v>
      </c>
      <c r="R90">
        <v>3029</v>
      </c>
      <c r="S90">
        <v>875</v>
      </c>
      <c r="T90">
        <f>S90/(S90+R90)</f>
        <v>0.22412909836065573</v>
      </c>
      <c r="U90">
        <f t="shared" si="16"/>
        <v>-4.6331033555327874</v>
      </c>
      <c r="V90">
        <f>L90-(SUM(R90:S90)*U90)</f>
        <v>31.622375999999349</v>
      </c>
      <c r="W90">
        <f>V90/(2*O90*Q90)</f>
        <v>3.7313307992624146E-2</v>
      </c>
      <c r="X90">
        <f>W90*16.02</f>
        <v>0.59775919404183886</v>
      </c>
      <c r="AA90" s="1"/>
      <c r="AB90" s="1"/>
      <c r="AC90" s="1"/>
    </row>
    <row r="91" spans="9:29" x14ac:dyDescent="0.2">
      <c r="J91">
        <v>100000</v>
      </c>
      <c r="K91">
        <v>867.43296599999996</v>
      </c>
      <c r="L91">
        <v>-17942.121338000001</v>
      </c>
      <c r="M91">
        <v>78623.582702</v>
      </c>
      <c r="N91">
        <v>-0.89739400000000002</v>
      </c>
      <c r="O91">
        <v>31.040088000000001</v>
      </c>
      <c r="P91">
        <v>184.99490299999999</v>
      </c>
      <c r="Q91">
        <v>13.692157999999999</v>
      </c>
      <c r="R91">
        <v>3075</v>
      </c>
      <c r="S91">
        <v>829</v>
      </c>
      <c r="T91">
        <f>S91/(S91+R91)</f>
        <v>0.21234631147540983</v>
      </c>
      <c r="U91">
        <f t="shared" si="16"/>
        <v>-4.6030796362704915</v>
      </c>
      <c r="V91">
        <f>L91-(SUM(R91:S91)*U91)</f>
        <v>28.30156199999692</v>
      </c>
      <c r="W91">
        <f>V91/(2*O91*Q91)</f>
        <v>3.3295501752197761E-2</v>
      </c>
      <c r="X91">
        <f>W91*16.02</f>
        <v>0.53339393807020807</v>
      </c>
    </row>
    <row r="92" spans="9:29" x14ac:dyDescent="0.2">
      <c r="J92">
        <v>100000</v>
      </c>
      <c r="K92">
        <v>867.43807100000004</v>
      </c>
      <c r="L92">
        <v>-17964.394026999998</v>
      </c>
      <c r="M92">
        <v>78565.778533999997</v>
      </c>
      <c r="N92">
        <v>-1.0000260000000001</v>
      </c>
      <c r="O92">
        <v>31.014060000000001</v>
      </c>
      <c r="P92">
        <v>184.977385</v>
      </c>
      <c r="Q92">
        <v>13.694870999999999</v>
      </c>
      <c r="R92">
        <v>3066</v>
      </c>
      <c r="S92">
        <v>838</v>
      </c>
      <c r="T92">
        <f>S92/(S92+R92)</f>
        <v>0.21465163934426229</v>
      </c>
      <c r="U92">
        <f t="shared" si="16"/>
        <v>-4.6089538422131149</v>
      </c>
      <c r="V92">
        <f>L92-(SUM(R92:S92)*U92)</f>
        <v>28.961773000002722</v>
      </c>
      <c r="W92">
        <f>V92/(2*O92*Q92)</f>
        <v>3.409404900975016E-2</v>
      </c>
      <c r="X92">
        <f>W92*16.02</f>
        <v>0.54618666513619751</v>
      </c>
      <c r="Y92" s="1">
        <f>AVERAGE(X88:X92)</f>
        <v>0.56255936704926879</v>
      </c>
      <c r="Z92" s="1">
        <f>STDEV(X88:X92)</f>
        <v>3.6661888913855731E-2</v>
      </c>
    </row>
    <row r="93" spans="9:29" x14ac:dyDescent="0.2">
      <c r="T93" s="1"/>
      <c r="Y93" s="1"/>
    </row>
    <row r="94" spans="9:29" x14ac:dyDescent="0.2">
      <c r="I94" t="s">
        <v>133</v>
      </c>
      <c r="J94">
        <v>100000</v>
      </c>
      <c r="K94">
        <v>929.47085500000003</v>
      </c>
      <c r="L94">
        <v>-14622.63119</v>
      </c>
      <c r="M94">
        <v>63646.901454999999</v>
      </c>
      <c r="N94">
        <v>-1.4385209999999999</v>
      </c>
      <c r="O94">
        <v>24.204174999999999</v>
      </c>
      <c r="P94">
        <v>192.149607</v>
      </c>
      <c r="Q94">
        <v>13.685143</v>
      </c>
      <c r="R94">
        <v>2471</v>
      </c>
      <c r="S94">
        <v>697</v>
      </c>
      <c r="T94">
        <f>S94/(S94+R94)</f>
        <v>0.22001262626262627</v>
      </c>
      <c r="U94">
        <f>-4.062-2.5481*T94</f>
        <v>-4.622614172979798</v>
      </c>
      <c r="V94">
        <f>L94-(SUM(R94:S94)*U94)</f>
        <v>21.81050999999934</v>
      </c>
      <c r="W94">
        <f>V94/(2*O94*Q94)</f>
        <v>3.2922757347956383E-2</v>
      </c>
      <c r="X94">
        <f>W94*16.02</f>
        <v>0.52742257271426118</v>
      </c>
    </row>
    <row r="95" spans="9:29" x14ac:dyDescent="0.2">
      <c r="J95">
        <v>100000</v>
      </c>
      <c r="K95">
        <v>929.81599900000003</v>
      </c>
      <c r="L95">
        <v>-14519.535389000001</v>
      </c>
      <c r="M95">
        <v>63923.796094999998</v>
      </c>
      <c r="N95">
        <v>-1.6535230000000001</v>
      </c>
      <c r="O95">
        <v>24.284396999999998</v>
      </c>
      <c r="P95">
        <v>192.204735</v>
      </c>
      <c r="Q95">
        <v>13.695373</v>
      </c>
      <c r="R95">
        <v>2512</v>
      </c>
      <c r="S95">
        <v>656</v>
      </c>
      <c r="T95">
        <f>S95/(S95+R95)</f>
        <v>0.20707070707070707</v>
      </c>
      <c r="U95">
        <f t="shared" ref="U95:U98" si="17">-4.062-2.5481*T95</f>
        <v>-4.5896368686868687</v>
      </c>
      <c r="V95">
        <f>L95-(SUM(R95:S95)*U95)</f>
        <v>20.434210999999777</v>
      </c>
      <c r="W95">
        <f>V95/(2*O95*Q95)</f>
        <v>3.0720387451589476E-2</v>
      </c>
      <c r="X95">
        <f>W95*16.02</f>
        <v>0.49214060697446338</v>
      </c>
    </row>
    <row r="96" spans="9:29" x14ac:dyDescent="0.2">
      <c r="J96">
        <v>100000</v>
      </c>
      <c r="K96">
        <v>929.87970900000005</v>
      </c>
      <c r="L96">
        <v>-14660.738574000001</v>
      </c>
      <c r="M96">
        <v>63542.769027000002</v>
      </c>
      <c r="N96">
        <v>-1.4317169999999999</v>
      </c>
      <c r="O96">
        <v>24.204834000000002</v>
      </c>
      <c r="P96">
        <v>192.017156</v>
      </c>
      <c r="Q96">
        <v>13.671818</v>
      </c>
      <c r="R96">
        <v>2456</v>
      </c>
      <c r="S96">
        <v>712</v>
      </c>
      <c r="T96">
        <f>S96/(S96+R96)</f>
        <v>0.22474747474747475</v>
      </c>
      <c r="U96">
        <f t="shared" si="17"/>
        <v>-4.6346790404040403</v>
      </c>
      <c r="V96">
        <f>L96-(SUM(R96:S96)*U96)</f>
        <v>21.92462599999817</v>
      </c>
      <c r="W96">
        <f>V96/(2*O96*Q96)</f>
        <v>3.3126367923407063E-2</v>
      </c>
      <c r="X96">
        <f>W96*16.02</f>
        <v>0.53068441413298117</v>
      </c>
    </row>
    <row r="97" spans="9:26" x14ac:dyDescent="0.2">
      <c r="J97">
        <v>100000</v>
      </c>
      <c r="K97">
        <v>929.67842099999996</v>
      </c>
      <c r="L97">
        <v>-14549.163751</v>
      </c>
      <c r="M97">
        <v>63848.394165999998</v>
      </c>
      <c r="N97">
        <v>-1.304764</v>
      </c>
      <c r="O97">
        <v>24.241758999999998</v>
      </c>
      <c r="P97">
        <v>192.446315</v>
      </c>
      <c r="Q97">
        <v>13.686052999999999</v>
      </c>
      <c r="R97">
        <v>2500</v>
      </c>
      <c r="S97">
        <v>668</v>
      </c>
      <c r="T97">
        <f>S97/(S97+R97)</f>
        <v>0.21085858585858586</v>
      </c>
      <c r="U97">
        <f t="shared" si="17"/>
        <v>-4.5992887626262631</v>
      </c>
      <c r="V97">
        <f>L97-(SUM(R97:S97)*U97)</f>
        <v>21.383049000001847</v>
      </c>
      <c r="W97">
        <f>V97/(2*O97*Q97)</f>
        <v>3.2225323710569617E-2</v>
      </c>
      <c r="X97">
        <f>W97*16.02</f>
        <v>0.5162496858433252</v>
      </c>
    </row>
    <row r="98" spans="9:26" x14ac:dyDescent="0.2">
      <c r="J98">
        <v>100000</v>
      </c>
      <c r="K98">
        <v>929.54705300000001</v>
      </c>
      <c r="L98">
        <v>-14586.129482</v>
      </c>
      <c r="M98">
        <v>63759.522941000003</v>
      </c>
      <c r="N98">
        <v>-1.3610199999999999</v>
      </c>
      <c r="O98">
        <v>24.183509999999998</v>
      </c>
      <c r="P98">
        <v>192.5061</v>
      </c>
      <c r="Q98">
        <v>13.695677999999999</v>
      </c>
      <c r="R98">
        <v>2483</v>
      </c>
      <c r="S98">
        <v>685</v>
      </c>
      <c r="T98">
        <f>S98/(S98+R98)</f>
        <v>0.21622474747474749</v>
      </c>
      <c r="U98">
        <f t="shared" si="17"/>
        <v>-4.6129622790404046</v>
      </c>
      <c r="V98">
        <f>L98-(SUM(R98:S98)*U98)</f>
        <v>27.735018000001219</v>
      </c>
      <c r="W98">
        <f>V98/(2*O98*Q98)</f>
        <v>4.1869288900468621E-2</v>
      </c>
      <c r="X98">
        <f>W98*16.02</f>
        <v>0.67074600818550734</v>
      </c>
      <c r="Y98" s="1">
        <f>AVERAGE(X94:X98)</f>
        <v>0.54744865757010763</v>
      </c>
      <c r="Z98" s="1">
        <f>STDEV(X94:X98)</f>
        <v>7.056322855947833E-2</v>
      </c>
    </row>
    <row r="99" spans="9:26" x14ac:dyDescent="0.2">
      <c r="Y99" s="1"/>
    </row>
    <row r="100" spans="9:26" x14ac:dyDescent="0.2">
      <c r="I100" t="s">
        <v>28</v>
      </c>
      <c r="J100">
        <v>100000</v>
      </c>
      <c r="K100">
        <v>929.41207699999995</v>
      </c>
      <c r="L100">
        <v>-17188.217927999998</v>
      </c>
      <c r="M100">
        <v>74718.146982000006</v>
      </c>
      <c r="N100">
        <v>-1.047226</v>
      </c>
      <c r="O100">
        <v>34.931615000000001</v>
      </c>
      <c r="P100">
        <v>208.73306299999999</v>
      </c>
      <c r="Q100">
        <v>10.247498</v>
      </c>
      <c r="R100">
        <v>2893</v>
      </c>
      <c r="S100">
        <v>827</v>
      </c>
      <c r="T100">
        <f>S100/(S100+R100)</f>
        <v>0.22231182795698926</v>
      </c>
      <c r="U100">
        <f>-4.062-2.5481*T100</f>
        <v>-4.6284727688172049</v>
      </c>
      <c r="V100">
        <f>L100-(SUM(R100:S100)*U100)</f>
        <v>29.700772000003781</v>
      </c>
      <c r="W100">
        <f>V100/(2*O100*Q100)</f>
        <v>4.1485968675206479E-2</v>
      </c>
      <c r="X100">
        <f>W100*16.02</f>
        <v>0.66460521817680773</v>
      </c>
      <c r="Z100" s="10"/>
    </row>
    <row r="101" spans="9:26" x14ac:dyDescent="0.2">
      <c r="J101">
        <v>100000</v>
      </c>
      <c r="K101">
        <v>929.86720800000001</v>
      </c>
      <c r="L101">
        <v>-17154.209742999999</v>
      </c>
      <c r="M101">
        <v>74797.971929000007</v>
      </c>
      <c r="N101">
        <v>-1.2246809999999999</v>
      </c>
      <c r="O101">
        <v>34.979922000000002</v>
      </c>
      <c r="P101">
        <v>208.678708</v>
      </c>
      <c r="Q101">
        <v>10.246956000000001</v>
      </c>
      <c r="R101">
        <v>2905</v>
      </c>
      <c r="S101">
        <v>815</v>
      </c>
      <c r="T101">
        <f t="shared" ref="T101:T104" si="18">S101/(S101+R101)</f>
        <v>0.21908602150537634</v>
      </c>
      <c r="U101">
        <f t="shared" ref="U101:U104" si="19">-4.062-2.5481*T101</f>
        <v>-4.6202530913978492</v>
      </c>
      <c r="V101">
        <f>L101-(SUM(R101:S101)*U101)</f>
        <v>33.131756999999197</v>
      </c>
      <c r="W101">
        <f>V101/(2*O101*Q101)</f>
        <v>4.6216894877154427E-2</v>
      </c>
      <c r="X101">
        <f>W101*16.02</f>
        <v>0.74039465593201392</v>
      </c>
      <c r="Z101" s="10"/>
    </row>
    <row r="102" spans="9:26" x14ac:dyDescent="0.2">
      <c r="J102">
        <v>100000</v>
      </c>
      <c r="K102">
        <v>929.57313599999998</v>
      </c>
      <c r="L102">
        <v>-17204.352197</v>
      </c>
      <c r="M102">
        <v>74655.716486000005</v>
      </c>
      <c r="N102">
        <v>-1.157562</v>
      </c>
      <c r="O102">
        <v>34.961705000000002</v>
      </c>
      <c r="P102">
        <v>208.679688</v>
      </c>
      <c r="Q102">
        <v>10.232735999999999</v>
      </c>
      <c r="R102">
        <v>2887</v>
      </c>
      <c r="S102">
        <v>833</v>
      </c>
      <c r="T102">
        <f t="shared" si="18"/>
        <v>0.22392473118279571</v>
      </c>
      <c r="U102">
        <f t="shared" si="19"/>
        <v>-4.6325826075268823</v>
      </c>
      <c r="V102">
        <f>L102-(SUM(R102:S102)*U102)</f>
        <v>28.855103000001691</v>
      </c>
      <c r="W102">
        <f>V102/(2*O102*Q102)</f>
        <v>4.0328146264421071E-2</v>
      </c>
      <c r="X102">
        <f>W102*16.02</f>
        <v>0.64605690315602549</v>
      </c>
      <c r="Z102" s="10"/>
    </row>
    <row r="103" spans="9:26" x14ac:dyDescent="0.2">
      <c r="J103">
        <v>100000</v>
      </c>
      <c r="K103">
        <v>929.59684000000004</v>
      </c>
      <c r="L103">
        <v>-17145.138347</v>
      </c>
      <c r="M103">
        <v>74820.574083</v>
      </c>
      <c r="N103">
        <v>-1.0380130000000001</v>
      </c>
      <c r="O103">
        <v>34.908683000000003</v>
      </c>
      <c r="P103">
        <v>208.69350499999999</v>
      </c>
      <c r="Q103">
        <v>10.270232</v>
      </c>
      <c r="R103">
        <v>2909</v>
      </c>
      <c r="S103">
        <v>811</v>
      </c>
      <c r="T103">
        <f t="shared" si="18"/>
        <v>0.21801075268817205</v>
      </c>
      <c r="U103">
        <f t="shared" si="19"/>
        <v>-4.6175131989247316</v>
      </c>
      <c r="V103">
        <f>L103-(SUM(R103:S103)*U103)</f>
        <v>32.010753000002296</v>
      </c>
      <c r="W103">
        <f>V103/(2*O103*Q103)</f>
        <v>4.4642877112784037E-2</v>
      </c>
      <c r="X103">
        <f>W103*16.02</f>
        <v>0.71517889134680024</v>
      </c>
      <c r="Z103" s="10"/>
    </row>
    <row r="104" spans="9:26" x14ac:dyDescent="0.2">
      <c r="J104">
        <v>100000</v>
      </c>
      <c r="K104">
        <v>929.99587399999996</v>
      </c>
      <c r="L104">
        <v>-17143.995610999998</v>
      </c>
      <c r="M104">
        <v>74805.490187999996</v>
      </c>
      <c r="N104">
        <v>-1.188223</v>
      </c>
      <c r="O104">
        <v>34.972704</v>
      </c>
      <c r="P104">
        <v>208.92146399999999</v>
      </c>
      <c r="Q104">
        <v>10.23818</v>
      </c>
      <c r="R104">
        <v>2908</v>
      </c>
      <c r="S104">
        <v>812</v>
      </c>
      <c r="T104">
        <f t="shared" si="18"/>
        <v>0.21827956989247313</v>
      </c>
      <c r="U104">
        <f t="shared" si="19"/>
        <v>-4.6181981720430105</v>
      </c>
      <c r="V104">
        <f>L104-(SUM(R104:S104)*U104)</f>
        <v>35.70158900000024</v>
      </c>
      <c r="W104">
        <f>V104/(2*O104*Q104)</f>
        <v>4.9854639190432003E-2</v>
      </c>
      <c r="X104">
        <f>W104*16.02</f>
        <v>0.79867131983072071</v>
      </c>
      <c r="Y104" s="1">
        <f>AVERAGE(X100:X104)</f>
        <v>0.71298139768847357</v>
      </c>
      <c r="Z104" s="1">
        <f>STDEV(X100:X104)</f>
        <v>6.107008509740753E-2</v>
      </c>
    </row>
    <row r="105" spans="9:26" x14ac:dyDescent="0.2">
      <c r="Y105" s="1"/>
      <c r="Z105" s="10"/>
    </row>
    <row r="106" spans="9:26" x14ac:dyDescent="0.2">
      <c r="I106" t="s">
        <v>134</v>
      </c>
      <c r="J106">
        <v>100000</v>
      </c>
      <c r="K106">
        <v>929.59084399999995</v>
      </c>
      <c r="L106">
        <v>-14967.996853000001</v>
      </c>
      <c r="M106">
        <v>64827.544817000002</v>
      </c>
      <c r="N106">
        <v>-1.34273</v>
      </c>
      <c r="O106">
        <v>28.220347</v>
      </c>
      <c r="P106">
        <v>168.11749</v>
      </c>
      <c r="Q106">
        <v>13.664254</v>
      </c>
      <c r="R106">
        <v>2499</v>
      </c>
      <c r="S106">
        <v>733</v>
      </c>
      <c r="T106">
        <f>S106/(S106+R106)</f>
        <v>0.22679455445544555</v>
      </c>
      <c r="U106">
        <f>-4.062-2.5481*T106</f>
        <v>-4.6398952042079209</v>
      </c>
      <c r="V106">
        <f>L106-(SUM(R106:S106)*U106)</f>
        <v>28.144447000000582</v>
      </c>
      <c r="W106">
        <f>V106/(2*O106*Q106)</f>
        <v>3.6493410149376945E-2</v>
      </c>
      <c r="X106">
        <f>W106*16.02</f>
        <v>0.58462443059301861</v>
      </c>
    </row>
    <row r="107" spans="9:26" x14ac:dyDescent="0.2">
      <c r="J107">
        <v>100000</v>
      </c>
      <c r="K107">
        <v>929.85610499999996</v>
      </c>
      <c r="L107">
        <v>-14855.063565</v>
      </c>
      <c r="M107">
        <v>65140.152144</v>
      </c>
      <c r="N107">
        <v>-1.4111469999999999</v>
      </c>
      <c r="O107">
        <v>28.204965000000001</v>
      </c>
      <c r="P107">
        <v>168.716295</v>
      </c>
      <c r="Q107">
        <v>13.688882</v>
      </c>
      <c r="R107">
        <v>2541</v>
      </c>
      <c r="S107">
        <v>691</v>
      </c>
      <c r="T107">
        <f>S107/(S107+R107)</f>
        <v>0.21379950495049505</v>
      </c>
      <c r="U107">
        <f t="shared" ref="U107:U110" si="20">-4.062-2.5481*T107</f>
        <v>-4.6067825185643567</v>
      </c>
      <c r="V107">
        <f>L107-(SUM(R107:S107)*U107)</f>
        <v>34.057534999999916</v>
      </c>
      <c r="W107">
        <f>V107/(2*O107*Q107)</f>
        <v>4.4105187325360756E-2</v>
      </c>
      <c r="X107">
        <f>W107*16.02</f>
        <v>0.70656510095227931</v>
      </c>
    </row>
    <row r="108" spans="9:26" x14ac:dyDescent="0.2">
      <c r="J108">
        <v>100000</v>
      </c>
      <c r="K108">
        <v>929.67594899999995</v>
      </c>
      <c r="L108">
        <v>-14892.140476</v>
      </c>
      <c r="M108">
        <v>65025.215145000002</v>
      </c>
      <c r="N108">
        <v>-1.312052</v>
      </c>
      <c r="O108">
        <v>28.232094</v>
      </c>
      <c r="P108">
        <v>168.326717</v>
      </c>
      <c r="Q108">
        <v>13.683211</v>
      </c>
      <c r="R108">
        <v>2528</v>
      </c>
      <c r="S108">
        <v>704</v>
      </c>
      <c r="T108">
        <f>S108/(S108+R108)</f>
        <v>0.21782178217821782</v>
      </c>
      <c r="U108">
        <f t="shared" si="20"/>
        <v>-4.6170316831683174</v>
      </c>
      <c r="V108">
        <f>L108-(SUM(R108:S108)*U108)</f>
        <v>30.105924000001323</v>
      </c>
      <c r="W108">
        <f>V108/(2*O108*Q108)</f>
        <v>3.8966450746632575E-2</v>
      </c>
      <c r="X108">
        <f>W108*16.02</f>
        <v>0.6242425409610538</v>
      </c>
    </row>
    <row r="109" spans="9:26" x14ac:dyDescent="0.2">
      <c r="J109">
        <v>100000</v>
      </c>
      <c r="K109">
        <v>929.81874300000004</v>
      </c>
      <c r="L109">
        <v>-14786.521155</v>
      </c>
      <c r="M109">
        <v>65306.330265999997</v>
      </c>
      <c r="N109">
        <v>-1.3843179999999999</v>
      </c>
      <c r="O109">
        <v>28.298722999999999</v>
      </c>
      <c r="P109">
        <v>168.487495</v>
      </c>
      <c r="Q109">
        <v>13.696915000000001</v>
      </c>
      <c r="R109">
        <v>2568</v>
      </c>
      <c r="S109">
        <v>664</v>
      </c>
      <c r="T109">
        <f>S109/(S109+R109)</f>
        <v>0.20544554455445543</v>
      </c>
      <c r="U109">
        <f t="shared" si="20"/>
        <v>-4.5854957920792083</v>
      </c>
      <c r="V109">
        <f>L109-(SUM(R109:S109)*U109)</f>
        <v>33.801245000000563</v>
      </c>
      <c r="W109">
        <f>V109/(2*O109*Q109)</f>
        <v>4.3602671856999495E-2</v>
      </c>
      <c r="X109">
        <f>W109*16.02</f>
        <v>0.69851480314913184</v>
      </c>
    </row>
    <row r="110" spans="9:26" x14ac:dyDescent="0.2">
      <c r="J110">
        <v>100000</v>
      </c>
      <c r="K110">
        <v>929.76554899999996</v>
      </c>
      <c r="L110">
        <v>-15016.816408000001</v>
      </c>
      <c r="M110">
        <v>64716.285806</v>
      </c>
      <c r="N110">
        <v>-1.276816</v>
      </c>
      <c r="O110">
        <v>28.179760999999999</v>
      </c>
      <c r="P110">
        <v>168.07780500000001</v>
      </c>
      <c r="Q110">
        <v>13.663675</v>
      </c>
      <c r="R110">
        <v>2479</v>
      </c>
      <c r="S110">
        <v>753</v>
      </c>
      <c r="T110">
        <f>S110/(S110+R110)</f>
        <v>0.23298267326732675</v>
      </c>
      <c r="U110">
        <f t="shared" si="20"/>
        <v>-4.6556631497524759</v>
      </c>
      <c r="V110">
        <f>L110-(SUM(R110:S110)*U110)</f>
        <v>30.286892000001899</v>
      </c>
      <c r="W110">
        <f>V110/(2*O110*Q110)</f>
        <v>3.9329632138588408E-2</v>
      </c>
      <c r="X110">
        <f>W110*16.02</f>
        <v>0.63006070686018623</v>
      </c>
      <c r="Y110" s="1">
        <f>AVERAGE(X106:X110)</f>
        <v>0.648801516503134</v>
      </c>
      <c r="Z110" s="1">
        <f>STDEV(X106:X110)</f>
        <v>5.2156260744096482E-2</v>
      </c>
    </row>
    <row r="111" spans="9:26" x14ac:dyDescent="0.2">
      <c r="Y111" s="1"/>
      <c r="Z111" s="10"/>
    </row>
    <row r="112" spans="9:26" x14ac:dyDescent="0.2">
      <c r="I112" t="s">
        <v>27</v>
      </c>
      <c r="J112">
        <v>100000</v>
      </c>
      <c r="K112">
        <v>929.824747</v>
      </c>
      <c r="L112">
        <v>-22138.247938</v>
      </c>
      <c r="M112">
        <v>96498.637724999993</v>
      </c>
      <c r="N112">
        <v>-0.972414</v>
      </c>
      <c r="O112">
        <v>32.502338999999999</v>
      </c>
      <c r="P112">
        <v>217.19124099999999</v>
      </c>
      <c r="Q112">
        <v>13.669905999999999</v>
      </c>
      <c r="R112">
        <v>3752</v>
      </c>
      <c r="S112">
        <v>1048</v>
      </c>
      <c r="T112">
        <f>S112/(S112+R112)</f>
        <v>0.21833333333333332</v>
      </c>
      <c r="U112">
        <f>-4.062-2.5481*T112</f>
        <v>-4.6183351666666672</v>
      </c>
      <c r="V112">
        <f>L112-(SUM(R112:S112)*U112)</f>
        <v>29.760862000002817</v>
      </c>
      <c r="W112">
        <f>V112/(2*O112*Q112)</f>
        <v>3.3491559193316867E-2</v>
      </c>
      <c r="X112">
        <f>W112*16.02</f>
        <v>0.53653477827693619</v>
      </c>
    </row>
    <row r="113" spans="9:26" x14ac:dyDescent="0.2">
      <c r="J113">
        <v>100000</v>
      </c>
      <c r="K113">
        <v>929.68112399999995</v>
      </c>
      <c r="L113">
        <v>-22128.544737</v>
      </c>
      <c r="M113">
        <v>96529.688834999994</v>
      </c>
      <c r="N113">
        <v>-0.82516500000000004</v>
      </c>
      <c r="O113">
        <v>32.467461999999998</v>
      </c>
      <c r="P113">
        <v>217.41265000000001</v>
      </c>
      <c r="Q113">
        <v>13.675058999999999</v>
      </c>
      <c r="R113">
        <v>3754</v>
      </c>
      <c r="S113">
        <v>1046</v>
      </c>
      <c r="T113">
        <f>S113/(S113+R113)</f>
        <v>0.21791666666666668</v>
      </c>
      <c r="U113">
        <f t="shared" ref="U113:U116" si="21">-4.062-2.5481*T113</f>
        <v>-4.6172734583333339</v>
      </c>
      <c r="V113">
        <f>L113-(SUM(R113:S113)*U113)</f>
        <v>34.367863000003126</v>
      </c>
      <c r="W113">
        <f>V113/(2*O113*Q113)</f>
        <v>3.8703031476463326E-2</v>
      </c>
      <c r="X113">
        <f>W113*16.02</f>
        <v>0.62002256425294244</v>
      </c>
    </row>
    <row r="114" spans="9:26" x14ac:dyDescent="0.2">
      <c r="J114">
        <v>100000</v>
      </c>
      <c r="K114">
        <v>930.03824799999995</v>
      </c>
      <c r="L114">
        <v>-22170.552216</v>
      </c>
      <c r="M114">
        <v>96435.012809000007</v>
      </c>
      <c r="N114">
        <v>-0.81356700000000004</v>
      </c>
      <c r="O114">
        <v>32.491540999999998</v>
      </c>
      <c r="P114">
        <v>217.14191299999999</v>
      </c>
      <c r="Q114">
        <v>13.668528</v>
      </c>
      <c r="R114">
        <v>3736</v>
      </c>
      <c r="S114">
        <v>1064</v>
      </c>
      <c r="T114">
        <f>S114/(S114+R114)</f>
        <v>0.22166666666666668</v>
      </c>
      <c r="U114">
        <f t="shared" si="21"/>
        <v>-4.6268288333333336</v>
      </c>
      <c r="V114">
        <f>L114-(SUM(R114:S114)*U114)</f>
        <v>38.226184000002831</v>
      </c>
      <c r="W114">
        <f>V114/(2*O114*Q114)</f>
        <v>4.3036693190739453E-2</v>
      </c>
      <c r="X114">
        <f>W114*16.02</f>
        <v>0.68944782491564605</v>
      </c>
      <c r="Z114" s="10"/>
    </row>
    <row r="115" spans="9:26" x14ac:dyDescent="0.2">
      <c r="J115">
        <v>100000</v>
      </c>
      <c r="K115">
        <v>929.56100200000003</v>
      </c>
      <c r="L115">
        <v>-22092.089898999999</v>
      </c>
      <c r="M115">
        <v>96625.295006999993</v>
      </c>
      <c r="N115">
        <v>-0.62039699999999998</v>
      </c>
      <c r="O115">
        <v>32.493355999999999</v>
      </c>
      <c r="P115">
        <v>217.27753200000001</v>
      </c>
      <c r="Q115">
        <v>13.686191000000001</v>
      </c>
      <c r="R115">
        <v>3767</v>
      </c>
      <c r="S115">
        <v>1033</v>
      </c>
      <c r="T115">
        <f>S115/(S115+R115)</f>
        <v>0.21520833333333333</v>
      </c>
      <c r="U115">
        <f t="shared" si="21"/>
        <v>-4.6103723541666666</v>
      </c>
      <c r="V115">
        <f>L115-(SUM(R115:S115)*U115)</f>
        <v>37.697401000001264</v>
      </c>
      <c r="W115">
        <f>V115/(2*O115*Q115)</f>
        <v>4.238422518722066E-2</v>
      </c>
      <c r="X115">
        <f>W115*16.02</f>
        <v>0.67899528749927496</v>
      </c>
      <c r="Z115" s="10"/>
    </row>
    <row r="116" spans="9:26" x14ac:dyDescent="0.2">
      <c r="J116">
        <v>100000</v>
      </c>
      <c r="K116">
        <v>929.80229099999997</v>
      </c>
      <c r="L116">
        <v>-22107.401494000002</v>
      </c>
      <c r="M116">
        <v>96605.497141</v>
      </c>
      <c r="N116">
        <v>-0.89520200000000005</v>
      </c>
      <c r="O116">
        <v>32.513406000000003</v>
      </c>
      <c r="P116">
        <v>217.322946</v>
      </c>
      <c r="Q116">
        <v>13.672094</v>
      </c>
      <c r="R116">
        <v>3761</v>
      </c>
      <c r="S116">
        <v>1039</v>
      </c>
      <c r="T116">
        <f>S116/(S116+R116)</f>
        <v>0.21645833333333334</v>
      </c>
      <c r="U116">
        <f t="shared" si="21"/>
        <v>-4.6135574791666674</v>
      </c>
      <c r="V116">
        <f>L116-(SUM(R116:S116)*U116)</f>
        <v>37.674406000001909</v>
      </c>
      <c r="W116">
        <f>V116/(2*O116*Q116)</f>
        <v>4.2375898060321299E-2</v>
      </c>
      <c r="X116">
        <f>W116*16.02</f>
        <v>0.67886188692634719</v>
      </c>
      <c r="Y116" s="1">
        <f>AVERAGE(X112:X116)</f>
        <v>0.6407724683742293</v>
      </c>
      <c r="Z116" s="1">
        <f>STDEV(X112:X116)</f>
        <v>6.4376106980385858E-2</v>
      </c>
    </row>
    <row r="117" spans="9:26" x14ac:dyDescent="0.2">
      <c r="Z117" s="10"/>
    </row>
    <row r="118" spans="9:26" x14ac:dyDescent="0.2">
      <c r="I118" t="s">
        <v>172</v>
      </c>
      <c r="J118">
        <v>100000</v>
      </c>
      <c r="K118">
        <v>929.45325800000001</v>
      </c>
      <c r="L118">
        <v>-17014.716182</v>
      </c>
      <c r="M118">
        <v>73867.732571999994</v>
      </c>
      <c r="N118">
        <v>-1.3060149999999999</v>
      </c>
      <c r="O118">
        <v>26.080482</v>
      </c>
      <c r="P118">
        <v>207.25758999999999</v>
      </c>
      <c r="Q118">
        <v>13.665641000000001</v>
      </c>
      <c r="R118">
        <v>2857</v>
      </c>
      <c r="S118">
        <v>823</v>
      </c>
      <c r="T118">
        <f>S118/(S118+R118)</f>
        <v>0.22364130434782609</v>
      </c>
      <c r="U118">
        <f>-4.062-2.5481*T118</f>
        <v>-4.6318604076086958</v>
      </c>
      <c r="V118">
        <f>L118-(SUM(R118:S118)*U118)</f>
        <v>30.530117999998765</v>
      </c>
      <c r="W118">
        <f>V118/(2*O118*Q118)</f>
        <v>4.2830472574384285E-2</v>
      </c>
      <c r="X118">
        <f>W118*16.02</f>
        <v>0.68614417064163624</v>
      </c>
    </row>
    <row r="119" spans="9:26" x14ac:dyDescent="0.2">
      <c r="J119">
        <v>100000</v>
      </c>
      <c r="K119">
        <v>929.32058900000004</v>
      </c>
      <c r="L119">
        <v>-16999.531554000001</v>
      </c>
      <c r="M119">
        <v>73901.160655</v>
      </c>
      <c r="N119">
        <v>-1.1390229999999999</v>
      </c>
      <c r="O119">
        <v>26.055869000000001</v>
      </c>
      <c r="P119">
        <v>207.41569799999999</v>
      </c>
      <c r="Q119">
        <v>13.674303</v>
      </c>
      <c r="R119">
        <v>2862</v>
      </c>
      <c r="S119">
        <v>818</v>
      </c>
      <c r="T119">
        <f>S119/(S119+R119)</f>
        <v>0.22228260869565217</v>
      </c>
      <c r="U119">
        <f t="shared" ref="U119:U122" si="22">-4.062-2.5481*T119</f>
        <v>-4.6283983152173915</v>
      </c>
      <c r="V119">
        <f>L119-(SUM(R119:S119)*U119)</f>
        <v>32.974246000001585</v>
      </c>
      <c r="W119">
        <f>V119/(2*O119*Q119)</f>
        <v>4.6273688311188957E-2</v>
      </c>
      <c r="X119">
        <f>W119*16.02</f>
        <v>0.74130448674524707</v>
      </c>
    </row>
    <row r="120" spans="9:26" x14ac:dyDescent="0.2">
      <c r="J120">
        <v>100000</v>
      </c>
      <c r="K120">
        <v>929.56196</v>
      </c>
      <c r="L120">
        <v>-17015.693481999999</v>
      </c>
      <c r="M120">
        <v>73876.719689000005</v>
      </c>
      <c r="N120">
        <v>-1.121394</v>
      </c>
      <c r="O120">
        <v>26.084294</v>
      </c>
      <c r="P120">
        <v>207.06231</v>
      </c>
      <c r="Q120">
        <v>13.678197000000001</v>
      </c>
      <c r="R120">
        <v>2855</v>
      </c>
      <c r="S120">
        <v>825</v>
      </c>
      <c r="T120">
        <f>S120/(S120+R120)</f>
        <v>0.22418478260869565</v>
      </c>
      <c r="U120">
        <f t="shared" si="22"/>
        <v>-4.6332452445652175</v>
      </c>
      <c r="V120">
        <f>L120-(SUM(R120:S120)*U120)</f>
        <v>34.649018000000069</v>
      </c>
      <c r="W120">
        <f>V120/(2*O120*Q120)</f>
        <v>4.8557128263486217E-2</v>
      </c>
      <c r="X120">
        <f>W120*16.02</f>
        <v>0.77788519478104923</v>
      </c>
    </row>
    <row r="121" spans="9:26" x14ac:dyDescent="0.2">
      <c r="J121">
        <v>100000</v>
      </c>
      <c r="K121">
        <v>929.51445899999999</v>
      </c>
      <c r="L121">
        <v>-16939.537370999999</v>
      </c>
      <c r="M121">
        <v>74083.993235999995</v>
      </c>
      <c r="N121">
        <v>-1.0548500000000001</v>
      </c>
      <c r="O121">
        <v>26.072990000000001</v>
      </c>
      <c r="P121">
        <v>207.587897</v>
      </c>
      <c r="Q121">
        <v>13.687778</v>
      </c>
      <c r="R121">
        <v>2886</v>
      </c>
      <c r="S121">
        <v>794</v>
      </c>
      <c r="T121">
        <f>S121/(S121+R121)</f>
        <v>0.21576086956521739</v>
      </c>
      <c r="U121">
        <f t="shared" si="22"/>
        <v>-4.6117802717391303</v>
      </c>
      <c r="V121">
        <f>L121-(SUM(R121:S121)*U121)</f>
        <v>31.814029000001028</v>
      </c>
      <c r="W121">
        <f>V121/(2*O121*Q121)</f>
        <v>4.4572283692945143E-2</v>
      </c>
      <c r="X121">
        <f>W121*16.02</f>
        <v>0.71404798476098119</v>
      </c>
    </row>
    <row r="122" spans="9:26" x14ac:dyDescent="0.2">
      <c r="J122">
        <v>100000</v>
      </c>
      <c r="K122">
        <v>929.890491</v>
      </c>
      <c r="L122">
        <v>-17020.165592000001</v>
      </c>
      <c r="M122">
        <v>73875.482172999997</v>
      </c>
      <c r="N122">
        <v>-1.184693</v>
      </c>
      <c r="O122">
        <v>26.050681000000001</v>
      </c>
      <c r="P122">
        <v>207.31283999999999</v>
      </c>
      <c r="Q122">
        <v>13.679059000000001</v>
      </c>
      <c r="R122">
        <v>2856</v>
      </c>
      <c r="S122">
        <v>824</v>
      </c>
      <c r="T122">
        <f>S122/(S122+R122)</f>
        <v>0.22391304347826088</v>
      </c>
      <c r="U122">
        <f t="shared" si="22"/>
        <v>-4.6325528260869566</v>
      </c>
      <c r="V122">
        <f>L122-(SUM(R122:S122)*U122)</f>
        <v>27.628807999997662</v>
      </c>
      <c r="W122">
        <f>V122/(2*O122*Q122)</f>
        <v>3.8766522876963999E-2</v>
      </c>
      <c r="X122">
        <f>W122*16.02</f>
        <v>0.62103969648896329</v>
      </c>
      <c r="Y122" s="1">
        <f>AVERAGE(X118:X122)</f>
        <v>0.70808430668357525</v>
      </c>
      <c r="Z122" s="1">
        <f>STDEV(X118:X122)</f>
        <v>5.9307342572837575E-2</v>
      </c>
    </row>
    <row r="124" spans="9:26" x14ac:dyDescent="0.2">
      <c r="I124" t="s">
        <v>17</v>
      </c>
      <c r="J124">
        <v>100000</v>
      </c>
      <c r="K124">
        <v>929.75794399999995</v>
      </c>
      <c r="L124">
        <v>-35223.157270999996</v>
      </c>
      <c r="M124">
        <v>152894.084436</v>
      </c>
      <c r="N124">
        <v>-0.713005</v>
      </c>
      <c r="O124">
        <v>30.633384</v>
      </c>
      <c r="P124">
        <v>182.641368</v>
      </c>
      <c r="Q124">
        <v>27.327327</v>
      </c>
      <c r="R124">
        <v>5909</v>
      </c>
      <c r="S124">
        <v>1707</v>
      </c>
      <c r="T124">
        <f>S124/(S124+R124)</f>
        <v>0.22413340336134455</v>
      </c>
      <c r="U124">
        <f>-4.062-2.5481*T124</f>
        <v>-4.6331143251050424</v>
      </c>
      <c r="V124">
        <f>L124-(SUM(R124:S124)*U124)</f>
        <v>62.641429000002972</v>
      </c>
      <c r="W124">
        <f>V124/(2*O124*Q124)</f>
        <v>3.741446437073194E-2</v>
      </c>
      <c r="X124">
        <f>W124*16.02</f>
        <v>0.5993797192191257</v>
      </c>
    </row>
    <row r="125" spans="9:26" x14ac:dyDescent="0.2">
      <c r="J125">
        <v>100000</v>
      </c>
      <c r="K125">
        <v>929.82684400000005</v>
      </c>
      <c r="L125">
        <v>-35171.408066000004</v>
      </c>
      <c r="M125">
        <v>153017.02279799999</v>
      </c>
      <c r="N125">
        <v>-0.39018000000000003</v>
      </c>
      <c r="O125">
        <v>30.650283999999999</v>
      </c>
      <c r="P125">
        <v>182.63449900000001</v>
      </c>
      <c r="Q125">
        <v>27.335255</v>
      </c>
      <c r="R125">
        <v>5930</v>
      </c>
      <c r="S125">
        <v>1686</v>
      </c>
      <c r="T125">
        <f>S125/(S125+R125)</f>
        <v>0.22137605042016806</v>
      </c>
      <c r="U125">
        <f t="shared" ref="U125:U128" si="23">-4.062-2.5481*T125</f>
        <v>-4.6260883140756306</v>
      </c>
      <c r="V125">
        <f>L125-(SUM(R125:S125)*U125)</f>
        <v>60.88053399999626</v>
      </c>
      <c r="W125">
        <f>V125/(2*O125*Q125)</f>
        <v>3.6332127104200571E-2</v>
      </c>
      <c r="X125">
        <f>W125*16.02</f>
        <v>0.58204067620929312</v>
      </c>
    </row>
    <row r="126" spans="9:26" x14ac:dyDescent="0.2">
      <c r="J126">
        <v>100000</v>
      </c>
      <c r="K126">
        <v>929.49720400000001</v>
      </c>
      <c r="L126">
        <v>-35168.343852999998</v>
      </c>
      <c r="M126">
        <v>153003.26424399999</v>
      </c>
      <c r="N126">
        <v>-0.41677199999999998</v>
      </c>
      <c r="O126">
        <v>30.633635999999999</v>
      </c>
      <c r="P126">
        <v>182.74535900000001</v>
      </c>
      <c r="Q126">
        <v>27.331056</v>
      </c>
      <c r="R126">
        <v>5929</v>
      </c>
      <c r="S126">
        <v>1687</v>
      </c>
      <c r="T126">
        <f>S126/(S126+R126)</f>
        <v>0.22150735294117646</v>
      </c>
      <c r="U126">
        <f t="shared" si="23"/>
        <v>-4.6264228860294123</v>
      </c>
      <c r="V126">
        <f>L126-(SUM(R126:S126)*U126)</f>
        <v>66.492847000008624</v>
      </c>
      <c r="W126">
        <f>V126/(2*O126*Q126)</f>
        <v>3.9709093520174384E-2</v>
      </c>
      <c r="X126">
        <f>W126*16.02</f>
        <v>0.63613967819319361</v>
      </c>
    </row>
    <row r="127" spans="9:26" x14ac:dyDescent="0.2">
      <c r="J127">
        <v>100000</v>
      </c>
      <c r="K127">
        <v>929.56859299999996</v>
      </c>
      <c r="L127">
        <v>-35036.926764999997</v>
      </c>
      <c r="M127">
        <v>153344.82947999999</v>
      </c>
      <c r="N127">
        <v>-0.49896600000000002</v>
      </c>
      <c r="O127">
        <v>30.658891000000001</v>
      </c>
      <c r="P127">
        <v>182.858937</v>
      </c>
      <c r="Q127">
        <v>27.352499999999999</v>
      </c>
      <c r="R127">
        <v>5982</v>
      </c>
      <c r="S127">
        <v>1634</v>
      </c>
      <c r="T127">
        <f>S127/(S127+R127)</f>
        <v>0.21454831932773108</v>
      </c>
      <c r="U127">
        <f t="shared" si="23"/>
        <v>-4.6086905724789915</v>
      </c>
      <c r="V127">
        <f>L127-(SUM(R127:S127)*U127)</f>
        <v>62.86063500000455</v>
      </c>
      <c r="W127">
        <f>V127/(2*O127*Q127)</f>
        <v>3.7479630446489054E-2</v>
      </c>
      <c r="X127">
        <f>W127*16.02</f>
        <v>0.60042367975275468</v>
      </c>
    </row>
    <row r="128" spans="9:26" x14ac:dyDescent="0.2">
      <c r="J128">
        <v>100000</v>
      </c>
      <c r="K128">
        <v>929.64277100000004</v>
      </c>
      <c r="L128">
        <v>-35092.224634999999</v>
      </c>
      <c r="M128">
        <v>153204.06761699999</v>
      </c>
      <c r="N128">
        <v>-0.64182600000000001</v>
      </c>
      <c r="O128">
        <v>30.653511000000002</v>
      </c>
      <c r="P128">
        <v>182.89253600000001</v>
      </c>
      <c r="Q128">
        <v>27.327175</v>
      </c>
      <c r="R128">
        <v>5961</v>
      </c>
      <c r="S128">
        <v>1655</v>
      </c>
      <c r="T128">
        <f>S128/(S128+R128)</f>
        <v>0.21730567226890757</v>
      </c>
      <c r="U128">
        <f t="shared" si="23"/>
        <v>-4.6157165835084033</v>
      </c>
      <c r="V128">
        <f>L128-(SUM(R128:S128)*U128)</f>
        <v>61.072865000001912</v>
      </c>
      <c r="W128">
        <f>V128/(2*O128*Q128)</f>
        <v>3.6453844363287261E-2</v>
      </c>
      <c r="X128">
        <f>W128*16.02</f>
        <v>0.58399058669986192</v>
      </c>
      <c r="Y128" s="1">
        <f>AVERAGE(X124:X128)</f>
        <v>0.60039486801484576</v>
      </c>
      <c r="Z128" s="1">
        <f>STDEV(X124:X128)</f>
        <v>2.170656360514002E-2</v>
      </c>
    </row>
    <row r="130" spans="9:26" x14ac:dyDescent="0.2">
      <c r="I130" t="s">
        <v>173</v>
      </c>
      <c r="J130">
        <v>100000</v>
      </c>
      <c r="K130">
        <v>929.75668599999995</v>
      </c>
      <c r="L130">
        <v>-29875.825669999998</v>
      </c>
      <c r="M130">
        <v>130546.800301</v>
      </c>
      <c r="N130">
        <v>-0.78983499999999995</v>
      </c>
      <c r="O130">
        <v>39.949114999999999</v>
      </c>
      <c r="P130">
        <v>238.750944</v>
      </c>
      <c r="Q130">
        <v>13.687207000000001</v>
      </c>
      <c r="R130">
        <v>5087</v>
      </c>
      <c r="S130">
        <v>1401</v>
      </c>
      <c r="T130">
        <f>S130/(S130+R130)</f>
        <v>0.21593711467324292</v>
      </c>
      <c r="U130">
        <f>-4.062-2.5481*T130</f>
        <v>-4.6122293618988905</v>
      </c>
      <c r="V130">
        <f>L130-(SUM(R130:S130)*U130)</f>
        <v>48.318430000002991</v>
      </c>
      <c r="W130">
        <f>V130/(2*O130*Q130)</f>
        <v>4.4183571725205158E-2</v>
      </c>
      <c r="X130">
        <f>W130*16.02</f>
        <v>0.7078208190377866</v>
      </c>
    </row>
    <row r="131" spans="9:26" x14ac:dyDescent="0.2">
      <c r="J131">
        <v>100000</v>
      </c>
      <c r="K131">
        <v>929.99457500000005</v>
      </c>
      <c r="L131">
        <v>-30051.659273000001</v>
      </c>
      <c r="M131">
        <v>130102.75031</v>
      </c>
      <c r="N131">
        <v>-0.74704499999999996</v>
      </c>
      <c r="O131">
        <v>39.908644000000002</v>
      </c>
      <c r="P131">
        <v>238.66483600000001</v>
      </c>
      <c r="Q131">
        <v>13.659407</v>
      </c>
      <c r="R131">
        <v>5020</v>
      </c>
      <c r="S131">
        <v>1468</v>
      </c>
      <c r="T131">
        <f>S131/(S131+R131)</f>
        <v>0.22626387176325524</v>
      </c>
      <c r="U131">
        <f t="shared" ref="U131:U134" si="24">-4.062-2.5481*T131</f>
        <v>-4.6385429716399509</v>
      </c>
      <c r="V131">
        <f>L131-(SUM(R131:S131)*U131)</f>
        <v>43.207526999998663</v>
      </c>
      <c r="W131">
        <f>V131/(2*O131*Q131)</f>
        <v>3.9630595389228578E-2</v>
      </c>
      <c r="X131">
        <f>W131*16.02</f>
        <v>0.63488213813544181</v>
      </c>
    </row>
    <row r="132" spans="9:26" x14ac:dyDescent="0.2">
      <c r="J132">
        <v>100000</v>
      </c>
      <c r="K132">
        <v>929.70891600000004</v>
      </c>
      <c r="L132">
        <v>-29952.989577</v>
      </c>
      <c r="M132">
        <v>130367.131224</v>
      </c>
      <c r="N132">
        <v>-0.64861100000000005</v>
      </c>
      <c r="O132">
        <v>39.939231999999997</v>
      </c>
      <c r="P132">
        <v>238.595035</v>
      </c>
      <c r="Q132">
        <v>13.680675000000001</v>
      </c>
      <c r="R132">
        <v>5056</v>
      </c>
      <c r="S132">
        <v>1432</v>
      </c>
      <c r="T132">
        <f>S132/(S132+R132)</f>
        <v>0.22071516646115907</v>
      </c>
      <c r="U132">
        <f t="shared" si="24"/>
        <v>-4.6244043156596799</v>
      </c>
      <c r="V132">
        <f>L132-(SUM(R132:S132)*U132)</f>
        <v>50.14562300000398</v>
      </c>
      <c r="W132">
        <f>V132/(2*O132*Q132)</f>
        <v>4.5887648216446114E-2</v>
      </c>
      <c r="X132">
        <f>W132*16.02</f>
        <v>0.73512012442746677</v>
      </c>
    </row>
    <row r="133" spans="9:26" x14ac:dyDescent="0.2">
      <c r="J133">
        <v>100000</v>
      </c>
      <c r="K133">
        <v>929.677953</v>
      </c>
      <c r="L133">
        <v>-29922.339530000001</v>
      </c>
      <c r="M133">
        <v>130452.25260199999</v>
      </c>
      <c r="N133">
        <v>-0.53133900000000001</v>
      </c>
      <c r="O133">
        <v>39.952548999999998</v>
      </c>
      <c r="P133">
        <v>238.70506399999999</v>
      </c>
      <c r="Q133">
        <v>13.678743000000001</v>
      </c>
      <c r="R133">
        <v>5068</v>
      </c>
      <c r="S133">
        <v>1420</v>
      </c>
      <c r="T133">
        <f>S133/(S133+R133)</f>
        <v>0.21886559802712702</v>
      </c>
      <c r="U133">
        <f t="shared" si="24"/>
        <v>-4.6196914303329226</v>
      </c>
      <c r="V133">
        <f>L133-(SUM(R133:S133)*U133)</f>
        <v>50.218469999999797</v>
      </c>
      <c r="W133">
        <f>V133/(2*O133*Q133)</f>
        <v>4.5945480580062106E-2</v>
      </c>
      <c r="X133">
        <f>W133*16.02</f>
        <v>0.73604659889259494</v>
      </c>
    </row>
    <row r="134" spans="9:26" x14ac:dyDescent="0.2">
      <c r="J134">
        <v>100000</v>
      </c>
      <c r="K134">
        <v>929.64712599999996</v>
      </c>
      <c r="L134">
        <v>-29869.825349999999</v>
      </c>
      <c r="M134">
        <v>130577.356348</v>
      </c>
      <c r="N134">
        <v>-0.56840999999999997</v>
      </c>
      <c r="O134">
        <v>39.959761999999998</v>
      </c>
      <c r="P134">
        <v>238.70769799999999</v>
      </c>
      <c r="Q134">
        <v>13.689238</v>
      </c>
      <c r="R134">
        <v>5087</v>
      </c>
      <c r="S134">
        <v>1401</v>
      </c>
      <c r="T134">
        <f>S134/(S134+R134)</f>
        <v>0.21593711467324292</v>
      </c>
      <c r="U134">
        <f t="shared" si="24"/>
        <v>-4.6122293618988905</v>
      </c>
      <c r="V134">
        <f>L134-(SUM(R134:S134)*U134)</f>
        <v>54.318750000002183</v>
      </c>
      <c r="W134">
        <f>V134/(2*O134*Q134)</f>
        <v>4.9649811560896082E-2</v>
      </c>
      <c r="X134">
        <f>W134*16.02</f>
        <v>0.79538998120555515</v>
      </c>
      <c r="Y134" s="1">
        <f>AVERAGE(X130:X134)</f>
        <v>0.72185193233976908</v>
      </c>
      <c r="Z134" s="1">
        <f>STDEV(X130:X134)</f>
        <v>5.8193632287486585E-2</v>
      </c>
    </row>
    <row r="136" spans="9:26" x14ac:dyDescent="0.2">
      <c r="I136" t="s">
        <v>174</v>
      </c>
      <c r="J136">
        <v>100000</v>
      </c>
      <c r="K136">
        <v>929.82813099999998</v>
      </c>
      <c r="L136">
        <v>-15238.845697000001</v>
      </c>
      <c r="M136">
        <v>66173.514056</v>
      </c>
      <c r="N136">
        <v>-1.270526</v>
      </c>
      <c r="O136">
        <v>24.697026999999999</v>
      </c>
      <c r="P136">
        <v>195.969335</v>
      </c>
      <c r="Q136">
        <v>13.672651</v>
      </c>
      <c r="R136">
        <v>2558</v>
      </c>
      <c r="S136">
        <v>738</v>
      </c>
      <c r="T136">
        <f>S136/(S136+R136)</f>
        <v>0.22390776699029127</v>
      </c>
      <c r="U136">
        <f>-4.062-2.5481*T136</f>
        <v>-4.6325393810679616</v>
      </c>
      <c r="V136">
        <f>L136-(SUM(R136:S136)*U136)</f>
        <v>30.004103000001123</v>
      </c>
      <c r="W136">
        <f>V136/(2*O136*Q136)</f>
        <v>4.4427640304949396E-2</v>
      </c>
      <c r="X136">
        <f>W136*16.02</f>
        <v>0.71173079768528935</v>
      </c>
    </row>
    <row r="137" spans="9:26" x14ac:dyDescent="0.2">
      <c r="J137">
        <v>100000</v>
      </c>
      <c r="K137">
        <v>929.63216</v>
      </c>
      <c r="L137">
        <v>-15158.954995</v>
      </c>
      <c r="M137">
        <v>66358.754126</v>
      </c>
      <c r="N137">
        <v>-1.406215</v>
      </c>
      <c r="O137">
        <v>24.711666000000001</v>
      </c>
      <c r="P137">
        <v>196.31045700000001</v>
      </c>
      <c r="Q137">
        <v>13.679001</v>
      </c>
      <c r="R137">
        <v>2591</v>
      </c>
      <c r="S137">
        <v>705</v>
      </c>
      <c r="T137">
        <f>S137/(S137+R137)</f>
        <v>0.21389563106796117</v>
      </c>
      <c r="U137">
        <f t="shared" ref="U137:U140" si="25">-4.062-2.5481*T137</f>
        <v>-4.6070274575242722</v>
      </c>
      <c r="V137">
        <f>L137-(SUM(R137:S137)*U137)</f>
        <v>25.807505000000674</v>
      </c>
      <c r="W137">
        <f>V137/(2*O137*Q137)</f>
        <v>3.8173292294120864E-2</v>
      </c>
      <c r="X137">
        <f>W137*16.02</f>
        <v>0.61153614255181621</v>
      </c>
    </row>
    <row r="138" spans="9:26" x14ac:dyDescent="0.2">
      <c r="J138">
        <v>100000</v>
      </c>
      <c r="K138">
        <v>929.69464300000004</v>
      </c>
      <c r="L138">
        <v>-15035.563399999999</v>
      </c>
      <c r="M138">
        <v>66699.675623999996</v>
      </c>
      <c r="N138">
        <v>-1.176272</v>
      </c>
      <c r="O138">
        <v>24.760003000000001</v>
      </c>
      <c r="P138">
        <v>196.484497</v>
      </c>
      <c r="Q138">
        <v>13.710277</v>
      </c>
      <c r="R138">
        <v>2638</v>
      </c>
      <c r="S138">
        <v>658</v>
      </c>
      <c r="T138">
        <f>S138/(S138+R138)</f>
        <v>0.19963592233009708</v>
      </c>
      <c r="U138">
        <f t="shared" si="25"/>
        <v>-4.5706922936893211</v>
      </c>
      <c r="V138">
        <f>L138-(SUM(R138:S138)*U138)</f>
        <v>29.43840000000273</v>
      </c>
      <c r="W138">
        <f>V138/(2*O138*Q138)</f>
        <v>4.3359801379933699E-2</v>
      </c>
      <c r="X138">
        <f>W138*16.02</f>
        <v>0.69462401810653784</v>
      </c>
    </row>
    <row r="139" spans="9:26" x14ac:dyDescent="0.2">
      <c r="J139">
        <v>100000</v>
      </c>
      <c r="K139">
        <v>929.85512700000004</v>
      </c>
      <c r="L139">
        <v>-15130.64255</v>
      </c>
      <c r="M139">
        <v>66468.407162000003</v>
      </c>
      <c r="N139">
        <v>-1.1699299999999999</v>
      </c>
      <c r="O139">
        <v>24.730437999999999</v>
      </c>
      <c r="P139">
        <v>196.39727600000001</v>
      </c>
      <c r="Q139">
        <v>13.685154000000001</v>
      </c>
      <c r="R139">
        <v>2600</v>
      </c>
      <c r="S139">
        <v>696</v>
      </c>
      <c r="T139">
        <f>S139/(S139+R139)</f>
        <v>0.21116504854368931</v>
      </c>
      <c r="U139">
        <f t="shared" si="25"/>
        <v>-4.6000696601941753</v>
      </c>
      <c r="V139">
        <f>L139-(SUM(R139:S139)*U139)</f>
        <v>31.187050000000454</v>
      </c>
      <c r="W139">
        <f>V139/(2*O139*Q139)</f>
        <v>4.6074730514179409E-2</v>
      </c>
      <c r="X139">
        <f>W139*16.02</f>
        <v>0.73811718283715411</v>
      </c>
    </row>
    <row r="140" spans="9:26" x14ac:dyDescent="0.2">
      <c r="J140">
        <v>100000</v>
      </c>
      <c r="K140">
        <v>929.26846799999998</v>
      </c>
      <c r="L140">
        <v>-15140.353012</v>
      </c>
      <c r="M140">
        <v>66419.664971000006</v>
      </c>
      <c r="N140">
        <v>-1.290416</v>
      </c>
      <c r="O140">
        <v>24.714683999999998</v>
      </c>
      <c r="P140">
        <v>196.46437599999999</v>
      </c>
      <c r="Q140">
        <v>13.679167</v>
      </c>
      <c r="R140">
        <v>2596</v>
      </c>
      <c r="S140">
        <v>700</v>
      </c>
      <c r="T140">
        <f>S140/(S140+R140)</f>
        <v>0.21237864077669902</v>
      </c>
      <c r="U140">
        <f t="shared" si="25"/>
        <v>-4.6031620145631074</v>
      </c>
      <c r="V140">
        <f>L140-(SUM(R140:S140)*U140)</f>
        <v>31.668988000003083</v>
      </c>
      <c r="W140">
        <f>V140/(2*O140*Q140)</f>
        <v>4.6837043822032937E-2</v>
      </c>
      <c r="X140">
        <f>W140*16.02</f>
        <v>0.75032944202896767</v>
      </c>
      <c r="Y140" s="1">
        <f>AVERAGE(X136:X140)</f>
        <v>0.70126751664195308</v>
      </c>
      <c r="Z140" s="1">
        <f>STDEV(X136:X140)</f>
        <v>5.470444735225994E-2</v>
      </c>
    </row>
    <row r="142" spans="9:26" x14ac:dyDescent="0.2">
      <c r="I142" t="s">
        <v>175</v>
      </c>
      <c r="J142">
        <v>100000</v>
      </c>
      <c r="K142">
        <v>929.41945899999996</v>
      </c>
      <c r="L142">
        <v>-21815.645219999999</v>
      </c>
      <c r="M142">
        <v>95773.325414999999</v>
      </c>
      <c r="N142">
        <v>-0.92729600000000001</v>
      </c>
      <c r="O142">
        <v>34.287202000000001</v>
      </c>
      <c r="P142">
        <v>204.20578399999999</v>
      </c>
      <c r="Q142">
        <v>13.678717000000001</v>
      </c>
      <c r="R142">
        <v>3752</v>
      </c>
      <c r="S142">
        <v>1000</v>
      </c>
      <c r="T142">
        <f>S142/(S142+R142)</f>
        <v>0.21043771043771045</v>
      </c>
      <c r="U142">
        <f>-4.062-2.5481*T142</f>
        <v>-4.5982163299663306</v>
      </c>
      <c r="V142">
        <f>L142-(SUM(R142:S142)*U142)</f>
        <v>35.078780000003462</v>
      </c>
      <c r="W142">
        <f>V142/(2*O142*Q142)</f>
        <v>3.7397026705677704E-2</v>
      </c>
      <c r="X142">
        <f>W142*16.02</f>
        <v>0.59910036782495679</v>
      </c>
    </row>
    <row r="143" spans="9:26" x14ac:dyDescent="0.2">
      <c r="J143">
        <v>100000</v>
      </c>
      <c r="K143">
        <v>929.69870500000002</v>
      </c>
      <c r="L143">
        <v>-21863.912455000002</v>
      </c>
      <c r="M143">
        <v>95662.447153000001</v>
      </c>
      <c r="N143">
        <v>-1.053461</v>
      </c>
      <c r="O143">
        <v>34.274726000000001</v>
      </c>
      <c r="P143">
        <v>204.09248400000001</v>
      </c>
      <c r="Q143">
        <v>13.675435999999999</v>
      </c>
      <c r="R143">
        <v>3733</v>
      </c>
      <c r="S143">
        <v>1019</v>
      </c>
      <c r="T143">
        <f>S143/(S143+R143)</f>
        <v>0.21443602693602692</v>
      </c>
      <c r="U143">
        <f t="shared" ref="U143:U146" si="26">-4.062-2.5481*T143</f>
        <v>-4.6084044402356907</v>
      </c>
      <c r="V143">
        <f>L143-(SUM(R143:S143)*U143)</f>
        <v>35.225445000000036</v>
      </c>
      <c r="W143">
        <f>V143/(2*O143*Q143)</f>
        <v>3.7576066826194854E-2</v>
      </c>
      <c r="X143">
        <f>W143*16.02</f>
        <v>0.60196859055564156</v>
      </c>
    </row>
    <row r="144" spans="9:26" x14ac:dyDescent="0.2">
      <c r="J144">
        <v>100000</v>
      </c>
      <c r="K144">
        <v>929.48828600000002</v>
      </c>
      <c r="L144">
        <v>-21910.348238999999</v>
      </c>
      <c r="M144">
        <v>95561.692251999993</v>
      </c>
      <c r="N144">
        <v>-0.910582</v>
      </c>
      <c r="O144">
        <v>34.253044000000003</v>
      </c>
      <c r="P144">
        <v>203.84180499999999</v>
      </c>
      <c r="Q144">
        <v>13.686503999999999</v>
      </c>
      <c r="R144">
        <v>3714</v>
      </c>
      <c r="S144">
        <v>1038</v>
      </c>
      <c r="T144">
        <f>S144/(S144+R144)</f>
        <v>0.21843434343434343</v>
      </c>
      <c r="U144">
        <f t="shared" si="26"/>
        <v>-4.6185925505050509</v>
      </c>
      <c r="V144">
        <f>L144-(SUM(R144:S144)*U144)</f>
        <v>37.203561000002082</v>
      </c>
      <c r="W144">
        <f>V144/(2*O144*Q144)</f>
        <v>3.9679191489847353E-2</v>
      </c>
      <c r="X144">
        <f>W144*16.02</f>
        <v>0.63566064766735453</v>
      </c>
    </row>
    <row r="145" spans="9:26" x14ac:dyDescent="0.2">
      <c r="J145">
        <v>100000</v>
      </c>
      <c r="K145">
        <v>929.47747400000003</v>
      </c>
      <c r="L145">
        <v>-21866.438155</v>
      </c>
      <c r="M145">
        <v>95660.124498999998</v>
      </c>
      <c r="N145">
        <v>-0.69000300000000003</v>
      </c>
      <c r="O145">
        <v>34.294054000000003</v>
      </c>
      <c r="P145">
        <v>203.919679</v>
      </c>
      <c r="Q145">
        <v>13.678986999999999</v>
      </c>
      <c r="R145">
        <v>3730</v>
      </c>
      <c r="S145">
        <v>1022</v>
      </c>
      <c r="T145">
        <f>S145/(S145+R145)</f>
        <v>0.21506734006734007</v>
      </c>
      <c r="U145">
        <f t="shared" si="26"/>
        <v>-4.6100130892255891</v>
      </c>
      <c r="V145">
        <f>L145-(SUM(R145:S145)*U145)</f>
        <v>40.344044999998005</v>
      </c>
      <c r="W145">
        <f>V145/(2*O145*Q145)</f>
        <v>4.3000814289680139E-2</v>
      </c>
      <c r="X145">
        <f>W145*16.02</f>
        <v>0.6888730449206758</v>
      </c>
    </row>
    <row r="146" spans="9:26" x14ac:dyDescent="0.2">
      <c r="J146">
        <v>100000</v>
      </c>
      <c r="K146">
        <v>929.81275000000005</v>
      </c>
      <c r="L146">
        <v>-21789.817043999999</v>
      </c>
      <c r="M146">
        <v>95802.917480000004</v>
      </c>
      <c r="N146">
        <v>-0.883629</v>
      </c>
      <c r="O146">
        <v>34.316758</v>
      </c>
      <c r="P146">
        <v>204.09378699999999</v>
      </c>
      <c r="Q146">
        <v>13.678666</v>
      </c>
      <c r="R146">
        <v>3766</v>
      </c>
      <c r="S146">
        <v>986</v>
      </c>
      <c r="T146">
        <f>S146/(S146+R146)</f>
        <v>0.2074915824915825</v>
      </c>
      <c r="U146">
        <f t="shared" si="26"/>
        <v>-4.5907093013468021</v>
      </c>
      <c r="V146">
        <f>L146-(SUM(R146:S146)*U146)</f>
        <v>25.233556000002864</v>
      </c>
      <c r="W146">
        <f>V146/(2*O146*Q146)</f>
        <v>2.6878093729993138E-2</v>
      </c>
      <c r="X146">
        <f>W146*16.02</f>
        <v>0.43058706155449006</v>
      </c>
      <c r="Y146" s="1">
        <f>AVERAGE(X142:X146)</f>
        <v>0.59123794250462369</v>
      </c>
      <c r="Z146" s="1">
        <f>STDEV(X142:X146)</f>
        <v>9.6813816223893054E-2</v>
      </c>
    </row>
    <row r="148" spans="9:26" x14ac:dyDescent="0.2">
      <c r="J148">
        <v>800</v>
      </c>
      <c r="K148" t="s">
        <v>32</v>
      </c>
      <c r="W148" t="s">
        <v>25</v>
      </c>
      <c r="X148" t="s">
        <v>24</v>
      </c>
    </row>
    <row r="149" spans="9:26" x14ac:dyDescent="0.2">
      <c r="J149" t="s">
        <v>176</v>
      </c>
      <c r="K149" t="s">
        <v>18</v>
      </c>
      <c r="L149" t="s">
        <v>5</v>
      </c>
      <c r="M149" t="s">
        <v>7</v>
      </c>
      <c r="N149" t="s">
        <v>19</v>
      </c>
      <c r="O149" t="s">
        <v>20</v>
      </c>
      <c r="P149" t="s">
        <v>21</v>
      </c>
      <c r="Q149" t="s">
        <v>22</v>
      </c>
      <c r="R149" t="s">
        <v>4</v>
      </c>
      <c r="S149" t="s">
        <v>10</v>
      </c>
      <c r="T149" t="s">
        <v>13</v>
      </c>
      <c r="U149" t="s">
        <v>26</v>
      </c>
      <c r="V149" t="s">
        <v>12</v>
      </c>
      <c r="W149" t="s">
        <v>23</v>
      </c>
      <c r="X149" t="s">
        <v>23</v>
      </c>
    </row>
    <row r="150" spans="9:26" x14ac:dyDescent="0.2">
      <c r="I150" t="s">
        <v>55</v>
      </c>
      <c r="J150">
        <v>100000</v>
      </c>
      <c r="K150">
        <v>694.073846</v>
      </c>
      <c r="L150">
        <v>-18149.825883000001</v>
      </c>
      <c r="M150">
        <v>77837.675010999999</v>
      </c>
      <c r="N150">
        <v>-0.70774400000000004</v>
      </c>
      <c r="O150">
        <v>30.899732</v>
      </c>
      <c r="P150">
        <v>184.213717</v>
      </c>
      <c r="Q150">
        <v>13.674597</v>
      </c>
      <c r="R150">
        <v>3036</v>
      </c>
      <c r="S150">
        <v>868</v>
      </c>
      <c r="T150">
        <f>S150/(S150+R150)</f>
        <v>0.2223360655737705</v>
      </c>
      <c r="U150">
        <f>-4.0853-2.5639*T150</f>
        <v>-4.6553474385245899</v>
      </c>
      <c r="V150">
        <f>L150-(SUM(R150:S150)*U150)</f>
        <v>24.650516999998217</v>
      </c>
      <c r="W150">
        <f>V150/(2*O150*Q150)</f>
        <v>2.9169352423760855E-2</v>
      </c>
      <c r="X150">
        <f>W150*16.02</f>
        <v>0.4672930258286489</v>
      </c>
      <c r="Z150" s="10"/>
    </row>
    <row r="151" spans="9:26" x14ac:dyDescent="0.2">
      <c r="J151">
        <v>100000</v>
      </c>
      <c r="K151">
        <v>694.210644</v>
      </c>
      <c r="L151">
        <v>-18072.522939999999</v>
      </c>
      <c r="M151">
        <v>78044.316070000001</v>
      </c>
      <c r="N151">
        <v>-0.73314599999999996</v>
      </c>
      <c r="O151">
        <v>30.965796999999998</v>
      </c>
      <c r="P151">
        <v>184.44269399999999</v>
      </c>
      <c r="Q151">
        <v>13.664662</v>
      </c>
      <c r="R151">
        <v>3063</v>
      </c>
      <c r="S151">
        <v>841</v>
      </c>
      <c r="T151">
        <f>S151/(S151+R151)</f>
        <v>0.21542008196721313</v>
      </c>
      <c r="U151">
        <f t="shared" ref="U151:U154" si="27">-4.0853-2.5639*T151</f>
        <v>-4.637615548155738</v>
      </c>
      <c r="V151">
        <f>L151-(SUM(R151:S151)*U151)</f>
        <v>32.72816000000239</v>
      </c>
      <c r="W151">
        <f>V151/(2*O151*Q151)</f>
        <v>3.8673229275189631E-2</v>
      </c>
      <c r="X151">
        <f>W151*16.02</f>
        <v>0.61954513298853786</v>
      </c>
      <c r="Z151" s="10"/>
    </row>
    <row r="152" spans="9:26" x14ac:dyDescent="0.2">
      <c r="J152">
        <v>100000</v>
      </c>
      <c r="K152">
        <v>694.01198999999997</v>
      </c>
      <c r="L152">
        <v>-18161.684201</v>
      </c>
      <c r="M152">
        <v>77796.238821000006</v>
      </c>
      <c r="N152">
        <v>-0.70999900000000005</v>
      </c>
      <c r="O152">
        <v>30.910753</v>
      </c>
      <c r="P152">
        <v>184.322146</v>
      </c>
      <c r="Q152">
        <v>13.654408</v>
      </c>
      <c r="R152">
        <v>3029</v>
      </c>
      <c r="S152">
        <v>875</v>
      </c>
      <c r="T152">
        <f>S152/(S152+R152)</f>
        <v>0.22412909836065573</v>
      </c>
      <c r="U152">
        <f t="shared" si="27"/>
        <v>-4.659944595286885</v>
      </c>
      <c r="V152">
        <f>L152-(SUM(R152:S152)*U152)</f>
        <v>30.739498999999341</v>
      </c>
      <c r="W152">
        <f>V152/(2*O152*Q152)</f>
        <v>3.6415336619931037E-2</v>
      </c>
      <c r="X152">
        <f>W152*16.02</f>
        <v>0.58337369265129524</v>
      </c>
    </row>
    <row r="153" spans="9:26" x14ac:dyDescent="0.2">
      <c r="J153">
        <v>100000</v>
      </c>
      <c r="K153">
        <v>694.11578299999996</v>
      </c>
      <c r="L153">
        <v>-18044.515403000001</v>
      </c>
      <c r="M153">
        <v>78123.672902999999</v>
      </c>
      <c r="N153">
        <v>-0.67961099999999997</v>
      </c>
      <c r="O153">
        <v>30.969044</v>
      </c>
      <c r="P153">
        <v>184.695606</v>
      </c>
      <c r="Q153">
        <v>13.658398</v>
      </c>
      <c r="R153">
        <v>3075</v>
      </c>
      <c r="S153">
        <v>829</v>
      </c>
      <c r="T153">
        <f>S153/(S153+R153)</f>
        <v>0.21234631147540983</v>
      </c>
      <c r="U153">
        <f t="shared" si="27"/>
        <v>-4.629734707991803</v>
      </c>
      <c r="V153">
        <f>L153-(SUM(R153:S153)*U153)</f>
        <v>29.968896999998833</v>
      </c>
      <c r="W153">
        <f>V153/(2*O153*Q153)</f>
        <v>3.5425272580679804E-2</v>
      </c>
      <c r="X153">
        <f>W153*16.02</f>
        <v>0.56751286674249046</v>
      </c>
    </row>
    <row r="154" spans="9:26" x14ac:dyDescent="0.2">
      <c r="J154">
        <v>100000</v>
      </c>
      <c r="K154">
        <v>693.99573599999997</v>
      </c>
      <c r="L154">
        <v>-18071.312354999998</v>
      </c>
      <c r="M154">
        <v>78031.601018000001</v>
      </c>
      <c r="N154">
        <v>-0.61955499999999997</v>
      </c>
      <c r="O154">
        <v>30.946361</v>
      </c>
      <c r="P154">
        <v>184.50162800000001</v>
      </c>
      <c r="Q154">
        <v>13.666648</v>
      </c>
      <c r="R154">
        <v>3066</v>
      </c>
      <c r="S154">
        <v>838</v>
      </c>
      <c r="T154">
        <f>S154/(S154+R154)</f>
        <v>0.21465163934426229</v>
      </c>
      <c r="U154">
        <f t="shared" si="27"/>
        <v>-4.6356453381147542</v>
      </c>
      <c r="V154">
        <f>L154-(SUM(R154:S154)*U154)</f>
        <v>26.247045000003709</v>
      </c>
      <c r="W154">
        <f>V154/(2*O154*Q154)</f>
        <v>3.1029789107543816E-2</v>
      </c>
      <c r="X154">
        <f>W154*16.02</f>
        <v>0.4970972215028519</v>
      </c>
      <c r="Y154" s="1">
        <f>AVERAGE(X150:X154)</f>
        <v>0.54696438794276481</v>
      </c>
      <c r="Z154" s="1">
        <f>STDEV(X150:X154)</f>
        <v>6.2948594566530125E-2</v>
      </c>
    </row>
    <row r="155" spans="9:26" x14ac:dyDescent="0.2">
      <c r="Y155" s="1"/>
    </row>
    <row r="156" spans="9:26" x14ac:dyDescent="0.2">
      <c r="I156" t="s">
        <v>133</v>
      </c>
      <c r="J156">
        <v>100000</v>
      </c>
      <c r="K156">
        <v>743.81538999999998</v>
      </c>
      <c r="L156">
        <v>-14710.480002</v>
      </c>
      <c r="M156">
        <v>63240.218545000003</v>
      </c>
      <c r="N156">
        <v>-1.17936</v>
      </c>
      <c r="O156">
        <v>24.163029000000002</v>
      </c>
      <c r="P156">
        <v>191.68808200000001</v>
      </c>
      <c r="Q156">
        <v>13.653632999999999</v>
      </c>
      <c r="R156">
        <v>2467</v>
      </c>
      <c r="S156">
        <v>701</v>
      </c>
      <c r="T156">
        <f>S156/(S156+R156)</f>
        <v>0.22127525252525251</v>
      </c>
      <c r="U156">
        <f>-4.0853-2.5639*T156</f>
        <v>-4.6526276199494951</v>
      </c>
      <c r="V156">
        <f>L156-(SUM(R156:S156)*U156)</f>
        <v>29.044298000000708</v>
      </c>
      <c r="W156">
        <f>V156/(2*O156*Q156)</f>
        <v>4.4018099534523569E-2</v>
      </c>
      <c r="X156">
        <f>W156*16.02</f>
        <v>0.70516995454306752</v>
      </c>
    </row>
    <row r="157" spans="9:26" x14ac:dyDescent="0.2">
      <c r="J157">
        <v>100000</v>
      </c>
      <c r="K157">
        <v>743.86640499999999</v>
      </c>
      <c r="L157">
        <v>-14699.624446</v>
      </c>
      <c r="M157">
        <v>63250.885903000002</v>
      </c>
      <c r="N157">
        <v>-1.240896</v>
      </c>
      <c r="O157">
        <v>24.166889999999999</v>
      </c>
      <c r="P157">
        <v>191.690269</v>
      </c>
      <c r="Q157">
        <v>13.653606999999999</v>
      </c>
      <c r="R157">
        <v>2476</v>
      </c>
      <c r="S157">
        <v>692</v>
      </c>
      <c r="T157">
        <f>S157/(S157+R157)</f>
        <v>0.21843434343434343</v>
      </c>
      <c r="U157">
        <f t="shared" ref="U157:U160" si="28">-4.0853-2.5639*T157</f>
        <v>-4.6453438131313129</v>
      </c>
      <c r="V157">
        <f>L157-(SUM(R157:S157)*U157)</f>
        <v>16.824753999999302</v>
      </c>
      <c r="W157">
        <f>V157/(2*O157*Q157)</f>
        <v>2.5494738624118475E-2</v>
      </c>
      <c r="X157">
        <f>W157*16.02</f>
        <v>0.40842571275837797</v>
      </c>
    </row>
    <row r="158" spans="9:26" x14ac:dyDescent="0.2">
      <c r="J158">
        <v>100000</v>
      </c>
      <c r="K158">
        <v>743.46995100000004</v>
      </c>
      <c r="L158">
        <v>-14686.801506</v>
      </c>
      <c r="M158">
        <v>63298.851102000001</v>
      </c>
      <c r="N158">
        <v>-1.1702490000000001</v>
      </c>
      <c r="O158">
        <v>24.166242</v>
      </c>
      <c r="P158">
        <v>191.970393</v>
      </c>
      <c r="Q158">
        <v>13.644394</v>
      </c>
      <c r="R158">
        <v>2478</v>
      </c>
      <c r="S158">
        <v>690</v>
      </c>
      <c r="T158">
        <f>S158/(S158+R158)</f>
        <v>0.2178030303030303</v>
      </c>
      <c r="U158">
        <f t="shared" si="28"/>
        <v>-4.6437251893939395</v>
      </c>
      <c r="V158">
        <f>L158-(SUM(R158:S158)*U158)</f>
        <v>24.519894000000932</v>
      </c>
      <c r="W158">
        <f>V158/(2*O158*Q158)</f>
        <v>3.7181355691544397E-2</v>
      </c>
      <c r="X158">
        <f>W158*16.02</f>
        <v>0.59564531817854127</v>
      </c>
    </row>
    <row r="159" spans="9:26" x14ac:dyDescent="0.2">
      <c r="J159">
        <v>100000</v>
      </c>
      <c r="K159">
        <v>743.46237499999995</v>
      </c>
      <c r="L159">
        <v>-14724.423032999999</v>
      </c>
      <c r="M159">
        <v>63179.640979000003</v>
      </c>
      <c r="N159">
        <v>-0.75316000000000005</v>
      </c>
      <c r="O159">
        <v>24.143191999999999</v>
      </c>
      <c r="P159">
        <v>191.296426</v>
      </c>
      <c r="Q159">
        <v>13.679719</v>
      </c>
      <c r="R159">
        <v>2465</v>
      </c>
      <c r="S159">
        <v>703</v>
      </c>
      <c r="T159">
        <f>S159/(S159+R159)</f>
        <v>0.22190656565656566</v>
      </c>
      <c r="U159">
        <f t="shared" si="28"/>
        <v>-4.6542462436868686</v>
      </c>
      <c r="V159">
        <f>L159-(SUM(R159:S159)*U159)</f>
        <v>20.229067000000214</v>
      </c>
      <c r="W159">
        <f>V159/(2*O159*Q159)</f>
        <v>3.0624851573457578E-2</v>
      </c>
      <c r="X159">
        <f>W159*16.02</f>
        <v>0.4906101222067904</v>
      </c>
    </row>
    <row r="160" spans="9:26" x14ac:dyDescent="0.2">
      <c r="J160">
        <v>100000</v>
      </c>
      <c r="K160">
        <v>744.00798199999997</v>
      </c>
      <c r="L160">
        <v>-14730.258992999999</v>
      </c>
      <c r="M160">
        <v>63159.706120000003</v>
      </c>
      <c r="N160">
        <v>-1.1214580000000001</v>
      </c>
      <c r="O160">
        <v>24.128692999999998</v>
      </c>
      <c r="P160">
        <v>191.864205</v>
      </c>
      <c r="Q160">
        <v>13.643126000000001</v>
      </c>
      <c r="R160">
        <v>2463</v>
      </c>
      <c r="S160">
        <v>705</v>
      </c>
      <c r="T160">
        <f>S160/(S160+R160)</f>
        <v>0.22253787878787878</v>
      </c>
      <c r="U160">
        <f t="shared" si="28"/>
        <v>-4.6558648674242429</v>
      </c>
      <c r="V160">
        <f>L160-(SUM(R160:S160)*U160)</f>
        <v>19.520907000001898</v>
      </c>
      <c r="W160">
        <f>V160/(2*O160*Q160)</f>
        <v>2.9649836918760268E-2</v>
      </c>
      <c r="X160">
        <f>W160*16.02</f>
        <v>0.4749903874385395</v>
      </c>
      <c r="Y160" s="1">
        <f>AVERAGE(X156:X160)</f>
        <v>0.53496829902506327</v>
      </c>
      <c r="Z160" s="1">
        <f>STDEV(X156:X160)</f>
        <v>0.11643488315621367</v>
      </c>
    </row>
    <row r="161" spans="9:26" x14ac:dyDescent="0.2">
      <c r="Y161" s="1"/>
    </row>
    <row r="162" spans="9:26" x14ac:dyDescent="0.2">
      <c r="I162" t="s">
        <v>28</v>
      </c>
      <c r="J162">
        <v>100000</v>
      </c>
      <c r="K162">
        <v>744.01494700000001</v>
      </c>
      <c r="L162">
        <v>-11506.838027</v>
      </c>
      <c r="M162">
        <v>49255.813074999998</v>
      </c>
      <c r="N162">
        <v>-1.429613</v>
      </c>
      <c r="O162">
        <v>34.842281999999997</v>
      </c>
      <c r="P162">
        <v>138.36603400000001</v>
      </c>
      <c r="Q162">
        <v>10.217003</v>
      </c>
      <c r="R162">
        <v>1913</v>
      </c>
      <c r="S162">
        <v>559</v>
      </c>
      <c r="T162">
        <f>S162/(S162+R162)</f>
        <v>0.22613268608414239</v>
      </c>
      <c r="U162">
        <f>-4.0853-2.5639*T162</f>
        <v>-4.6650815938511325</v>
      </c>
      <c r="V162">
        <f>L162-(SUM(R162:S162)*U162)</f>
        <v>25.243672999999035</v>
      </c>
      <c r="W162">
        <f>V162/(2*O162*Q162)</f>
        <v>3.5456220354744515E-2</v>
      </c>
      <c r="X162">
        <f>W162*16.02</f>
        <v>0.56800865008300716</v>
      </c>
      <c r="Z162" s="10"/>
    </row>
    <row r="163" spans="9:26" x14ac:dyDescent="0.2">
      <c r="J163">
        <v>100000</v>
      </c>
      <c r="K163">
        <v>743.70349699999997</v>
      </c>
      <c r="L163">
        <v>-11465.225608000001</v>
      </c>
      <c r="M163">
        <v>49376.021988</v>
      </c>
      <c r="N163">
        <v>-1.299534</v>
      </c>
      <c r="O163">
        <v>34.898766999999999</v>
      </c>
      <c r="P163">
        <v>138.27444</v>
      </c>
      <c r="Q163">
        <v>10.232129</v>
      </c>
      <c r="R163">
        <v>1928</v>
      </c>
      <c r="S163">
        <v>544</v>
      </c>
      <c r="T163">
        <f>S163/(S163+R163)</f>
        <v>0.22006472491909385</v>
      </c>
      <c r="U163">
        <f t="shared" ref="U163:U166" si="29">-4.0853-2.5639*T163</f>
        <v>-4.6495239482200645</v>
      </c>
      <c r="V163">
        <f>L163-(SUM(R163:S163)*U163)</f>
        <v>28.397591999999349</v>
      </c>
      <c r="W163">
        <f>V163/(2*O163*Q163)</f>
        <v>3.9762659981264839E-2</v>
      </c>
      <c r="X163">
        <f>W163*16.02</f>
        <v>0.63699781289986268</v>
      </c>
      <c r="Z163" s="10"/>
    </row>
    <row r="164" spans="9:26" x14ac:dyDescent="0.2">
      <c r="J164">
        <v>100000</v>
      </c>
      <c r="K164">
        <v>744.01898600000004</v>
      </c>
      <c r="L164">
        <v>-11468.154146000001</v>
      </c>
      <c r="M164">
        <v>49377.237787999999</v>
      </c>
      <c r="N164">
        <v>-1.3809560000000001</v>
      </c>
      <c r="O164">
        <v>34.881163000000001</v>
      </c>
      <c r="P164">
        <v>138.61864399999999</v>
      </c>
      <c r="Q164">
        <v>10.212135</v>
      </c>
      <c r="R164">
        <v>1928</v>
      </c>
      <c r="S164">
        <v>544</v>
      </c>
      <c r="T164">
        <f>S164/(S164+R164)</f>
        <v>0.22006472491909385</v>
      </c>
      <c r="U164">
        <f t="shared" si="29"/>
        <v>-4.6495239482200645</v>
      </c>
      <c r="V164">
        <f>L164-(SUM(R164:S164)*U164)</f>
        <v>25.469053999999232</v>
      </c>
      <c r="W164">
        <f>V164/(2*O164*Q164)</f>
        <v>3.5749939777037908E-2</v>
      </c>
      <c r="X164">
        <f>W164*16.02</f>
        <v>0.57271403522814723</v>
      </c>
      <c r="Z164" s="10"/>
    </row>
    <row r="165" spans="9:26" x14ac:dyDescent="0.2">
      <c r="J165">
        <v>100000</v>
      </c>
      <c r="K165">
        <v>743.796289</v>
      </c>
      <c r="L165">
        <v>-11420.970724999999</v>
      </c>
      <c r="M165">
        <v>49487.185182000001</v>
      </c>
      <c r="N165">
        <v>-1.384639</v>
      </c>
      <c r="O165">
        <v>34.942838999999999</v>
      </c>
      <c r="P165">
        <v>138.73551599999999</v>
      </c>
      <c r="Q165">
        <v>10.208190999999999</v>
      </c>
      <c r="R165">
        <v>1944</v>
      </c>
      <c r="S165">
        <v>528</v>
      </c>
      <c r="T165">
        <f>S165/(S165+R165)</f>
        <v>0.21359223300970873</v>
      </c>
      <c r="U165">
        <f t="shared" si="29"/>
        <v>-4.6329291262135923</v>
      </c>
      <c r="V165">
        <f>L165-(SUM(R165:S165)*U165)</f>
        <v>31.630075000000943</v>
      </c>
      <c r="W165">
        <f>V165/(2*O165*Q165)</f>
        <v>4.4336688390817176E-2</v>
      </c>
      <c r="X165">
        <f>W165*16.02</f>
        <v>0.71027374802089116</v>
      </c>
      <c r="Z165" s="10"/>
    </row>
    <row r="166" spans="9:26" x14ac:dyDescent="0.2">
      <c r="J166">
        <v>100000</v>
      </c>
      <c r="K166">
        <v>743.76909899999998</v>
      </c>
      <c r="L166">
        <v>-11487.784517</v>
      </c>
      <c r="M166">
        <v>49339.300153999997</v>
      </c>
      <c r="N166">
        <v>-1.3983829999999999</v>
      </c>
      <c r="O166">
        <v>34.868549999999999</v>
      </c>
      <c r="P166">
        <v>138.67798199999999</v>
      </c>
      <c r="Q166">
        <v>10.203628999999999</v>
      </c>
      <c r="R166">
        <v>1919</v>
      </c>
      <c r="S166">
        <v>553</v>
      </c>
      <c r="T166">
        <f>S166/(S166+R166)</f>
        <v>0.22370550161812297</v>
      </c>
      <c r="U166">
        <f t="shared" si="29"/>
        <v>-4.6588585355987053</v>
      </c>
      <c r="V166">
        <f>L166-(SUM(R166:S166)*U166)</f>
        <v>28.913782999999967</v>
      </c>
      <c r="W166">
        <f>V166/(2*O166*Q166)</f>
        <v>4.0633700429457041E-2</v>
      </c>
      <c r="X166">
        <f>W166*16.02</f>
        <v>0.65095188087990175</v>
      </c>
      <c r="Y166" s="1">
        <f>AVERAGE(X162:X166)</f>
        <v>0.62778922542236193</v>
      </c>
      <c r="Z166" s="1">
        <f>STDEV(X162:X166)</f>
        <v>5.9228365084467674E-2</v>
      </c>
    </row>
    <row r="167" spans="9:26" x14ac:dyDescent="0.2">
      <c r="Y167" s="1"/>
      <c r="Z167" s="10"/>
    </row>
    <row r="168" spans="9:26" x14ac:dyDescent="0.2">
      <c r="I168" t="s">
        <v>134</v>
      </c>
      <c r="J168">
        <v>100000</v>
      </c>
      <c r="K168">
        <v>743.96638499999995</v>
      </c>
      <c r="L168">
        <v>-14947.935986</v>
      </c>
      <c r="M168">
        <v>64688.847137999997</v>
      </c>
      <c r="N168">
        <v>-1.067258</v>
      </c>
      <c r="O168">
        <v>28.193189</v>
      </c>
      <c r="P168">
        <v>168.11672999999999</v>
      </c>
      <c r="Q168">
        <v>13.648206999999999</v>
      </c>
      <c r="R168">
        <v>2540</v>
      </c>
      <c r="S168">
        <v>692</v>
      </c>
      <c r="T168">
        <f>S168/(S168+R168)</f>
        <v>0.2141089108910891</v>
      </c>
      <c r="U168">
        <f>-4.0853-2.5639*T168</f>
        <v>-4.6342538366336639</v>
      </c>
      <c r="V168">
        <f>L168-(SUM(R168:S168)*U168)</f>
        <v>29.972414000001663</v>
      </c>
      <c r="W168">
        <f>V168/(2*O168*Q168)</f>
        <v>3.8946812842669071E-2</v>
      </c>
      <c r="X168">
        <f>W168*16.02</f>
        <v>0.62392794173955846</v>
      </c>
    </row>
    <row r="169" spans="9:26" x14ac:dyDescent="0.2">
      <c r="J169">
        <v>100000</v>
      </c>
      <c r="K169">
        <v>743.67527900000005</v>
      </c>
      <c r="L169">
        <v>-15053.118635999999</v>
      </c>
      <c r="M169">
        <v>64406.693601999999</v>
      </c>
      <c r="N169">
        <v>-1.1580539999999999</v>
      </c>
      <c r="O169">
        <v>28.172654000000001</v>
      </c>
      <c r="P169">
        <v>167.59606700000001</v>
      </c>
      <c r="Q169">
        <v>13.640831</v>
      </c>
      <c r="R169">
        <v>2499</v>
      </c>
      <c r="S169">
        <v>733</v>
      </c>
      <c r="T169">
        <f>S169/(S169+R169)</f>
        <v>0.22679455445544555</v>
      </c>
      <c r="U169">
        <f t="shared" ref="U169:U172" si="30">-4.0853-2.5639*T169</f>
        <v>-4.6667785581683168</v>
      </c>
      <c r="V169">
        <f>L169-(SUM(R169:S169)*U169)</f>
        <v>29.909664000000703</v>
      </c>
      <c r="W169">
        <f>V169/(2*O169*Q169)</f>
        <v>3.8914633866922906E-2</v>
      </c>
      <c r="X169">
        <f>W169*16.02</f>
        <v>0.62341243454810491</v>
      </c>
    </row>
    <row r="170" spans="9:26" x14ac:dyDescent="0.2">
      <c r="J170">
        <v>100000</v>
      </c>
      <c r="K170">
        <v>743.75706000000002</v>
      </c>
      <c r="L170">
        <v>-14960.060353000001</v>
      </c>
      <c r="M170">
        <v>64628.116907000003</v>
      </c>
      <c r="N170">
        <v>-0.97807999999999995</v>
      </c>
      <c r="O170">
        <v>28.144625999999999</v>
      </c>
      <c r="P170">
        <v>167.941418</v>
      </c>
      <c r="Q170">
        <v>13.673183999999999</v>
      </c>
      <c r="R170">
        <v>2535</v>
      </c>
      <c r="S170">
        <v>697</v>
      </c>
      <c r="T170">
        <f>S170/(S170+R170)</f>
        <v>0.2156559405940594</v>
      </c>
      <c r="U170">
        <f t="shared" si="30"/>
        <v>-4.6382202660891085</v>
      </c>
      <c r="V170">
        <f>L170-(SUM(R170:S170)*U170)</f>
        <v>30.667546999997285</v>
      </c>
      <c r="W170">
        <f>V170/(2*O170*Q170)</f>
        <v>3.9845924141733144E-2</v>
      </c>
      <c r="X170">
        <f>W170*16.02</f>
        <v>0.638331704750565</v>
      </c>
    </row>
    <row r="171" spans="9:26" x14ac:dyDescent="0.2">
      <c r="J171">
        <v>100000</v>
      </c>
      <c r="K171">
        <v>743.65174300000001</v>
      </c>
      <c r="L171">
        <v>-14981.284236</v>
      </c>
      <c r="M171">
        <v>64569.795704999997</v>
      </c>
      <c r="N171">
        <v>-1.1954959999999999</v>
      </c>
      <c r="O171">
        <v>28.171571</v>
      </c>
      <c r="P171">
        <v>167.99588499999999</v>
      </c>
      <c r="Q171">
        <v>13.643345</v>
      </c>
      <c r="R171">
        <v>2527</v>
      </c>
      <c r="S171">
        <v>705</v>
      </c>
      <c r="T171">
        <f>S171/(S171+R171)</f>
        <v>0.21813118811881188</v>
      </c>
      <c r="U171">
        <f t="shared" si="30"/>
        <v>-4.644566553217822</v>
      </c>
      <c r="V171">
        <f>L171-(SUM(R171:S171)*U171)</f>
        <v>29.95486400000118</v>
      </c>
      <c r="W171">
        <f>V171/(2*O171*Q171)</f>
        <v>3.8967758845887698E-2</v>
      </c>
      <c r="X171">
        <f>W171*16.02</f>
        <v>0.62426349671112091</v>
      </c>
    </row>
    <row r="172" spans="9:26" x14ac:dyDescent="0.2">
      <c r="J172">
        <v>100000</v>
      </c>
      <c r="K172">
        <v>743.46190799999999</v>
      </c>
      <c r="L172">
        <v>-15032.657651</v>
      </c>
      <c r="M172">
        <v>64432.791528000002</v>
      </c>
      <c r="N172">
        <v>-1.2295050000000001</v>
      </c>
      <c r="O172">
        <v>28.17876</v>
      </c>
      <c r="P172">
        <v>167.67191500000001</v>
      </c>
      <c r="Q172">
        <v>13.637233</v>
      </c>
      <c r="R172">
        <v>2507</v>
      </c>
      <c r="S172">
        <v>725</v>
      </c>
      <c r="T172">
        <f>S172/(S172+R172)</f>
        <v>0.22431930693069307</v>
      </c>
      <c r="U172">
        <f t="shared" si="30"/>
        <v>-4.6604322710396042</v>
      </c>
      <c r="V172">
        <f>L172-(SUM(R172:S172)*U172)</f>
        <v>29.859449000001405</v>
      </c>
      <c r="W172">
        <f>V172/(2*O172*Q172)</f>
        <v>3.8851129988387183E-2</v>
      </c>
      <c r="X172">
        <f>W172*16.02</f>
        <v>0.62239510241396268</v>
      </c>
      <c r="Y172" s="1">
        <f>AVERAGE(X168:X172)</f>
        <v>0.62646613603266244</v>
      </c>
      <c r="Z172" s="1">
        <f>STDEV(X168:X172)</f>
        <v>6.6705355619130552E-3</v>
      </c>
    </row>
    <row r="173" spans="9:26" x14ac:dyDescent="0.2">
      <c r="Y173" s="1"/>
      <c r="Z173" s="10"/>
    </row>
    <row r="174" spans="9:26" x14ac:dyDescent="0.2">
      <c r="I174" t="s">
        <v>27</v>
      </c>
      <c r="J174">
        <v>100000</v>
      </c>
      <c r="K174">
        <v>743.78895</v>
      </c>
      <c r="L174">
        <v>-13366.867593999999</v>
      </c>
      <c r="M174">
        <v>57532.275750000001</v>
      </c>
      <c r="N174">
        <v>-1.211768</v>
      </c>
      <c r="O174">
        <v>32.395353999999998</v>
      </c>
      <c r="P174">
        <v>130.27361500000001</v>
      </c>
      <c r="Q174">
        <v>13.632438</v>
      </c>
      <c r="R174">
        <v>2243</v>
      </c>
      <c r="S174">
        <v>637</v>
      </c>
      <c r="T174">
        <f>S174/(S174+R174)</f>
        <v>0.22118055555555555</v>
      </c>
      <c r="U174">
        <f>-4.0853-2.5639*T174</f>
        <v>-4.6523848263888894</v>
      </c>
      <c r="V174">
        <f>L174-(SUM(R174:S174)*U174)</f>
        <v>32.000706000002538</v>
      </c>
      <c r="W174">
        <f>V174/(2*O174*Q174)</f>
        <v>3.6230414519389728E-2</v>
      </c>
      <c r="X174">
        <f>W174*16.02</f>
        <v>0.58041124060062343</v>
      </c>
    </row>
    <row r="175" spans="9:26" x14ac:dyDescent="0.2">
      <c r="J175">
        <v>100000</v>
      </c>
      <c r="K175">
        <v>743.90809999999999</v>
      </c>
      <c r="L175">
        <v>-13326.570632000001</v>
      </c>
      <c r="M175">
        <v>57644.212031000003</v>
      </c>
      <c r="N175">
        <v>-1.046951</v>
      </c>
      <c r="O175">
        <v>32.423710999999997</v>
      </c>
      <c r="P175">
        <v>130.41170500000001</v>
      </c>
      <c r="Q175">
        <v>13.632567999999999</v>
      </c>
      <c r="R175">
        <v>2259</v>
      </c>
      <c r="S175">
        <v>621</v>
      </c>
      <c r="T175">
        <f>S175/(S175+R175)</f>
        <v>0.21562500000000001</v>
      </c>
      <c r="U175">
        <f t="shared" ref="U175:U178" si="31">-4.0853-2.5639*T175</f>
        <v>-4.6381409375000002</v>
      </c>
      <c r="V175">
        <f>L175-(SUM(R175:S175)*U175)</f>
        <v>31.275267999999414</v>
      </c>
      <c r="W175">
        <f>V175/(2*O175*Q175)</f>
        <v>3.5377786099621999E-2</v>
      </c>
      <c r="X175">
        <f>W175*16.02</f>
        <v>0.56675213331594443</v>
      </c>
    </row>
    <row r="176" spans="9:26" x14ac:dyDescent="0.2">
      <c r="J176">
        <v>100000</v>
      </c>
      <c r="K176">
        <v>743.66586800000005</v>
      </c>
      <c r="L176">
        <v>-13365.797982</v>
      </c>
      <c r="M176">
        <v>57515.395949999998</v>
      </c>
      <c r="N176">
        <v>-1.3197760000000001</v>
      </c>
      <c r="O176">
        <v>32.400705000000002</v>
      </c>
      <c r="P176">
        <v>130.28543500000001</v>
      </c>
      <c r="Q176">
        <v>13.624973000000001</v>
      </c>
      <c r="R176">
        <v>2245</v>
      </c>
      <c r="S176">
        <v>635</v>
      </c>
      <c r="T176">
        <f>S176/(S176+R176)</f>
        <v>0.2204861111111111</v>
      </c>
      <c r="U176">
        <f t="shared" si="31"/>
        <v>-4.6506043402777779</v>
      </c>
      <c r="V176">
        <f>L176-(SUM(R176:S176)*U176)</f>
        <v>27.942517999999836</v>
      </c>
      <c r="W176">
        <f>V176/(2*O176*Q176)</f>
        <v>3.164793903722956E-2</v>
      </c>
      <c r="X176">
        <f>W176*16.02</f>
        <v>0.5069999833764175</v>
      </c>
      <c r="Z176" s="10"/>
    </row>
    <row r="177" spans="9:26" x14ac:dyDescent="0.2">
      <c r="J177">
        <v>100000</v>
      </c>
      <c r="K177">
        <v>743.90804900000001</v>
      </c>
      <c r="L177">
        <v>-13334.567546</v>
      </c>
      <c r="M177">
        <v>57610.992445999997</v>
      </c>
      <c r="N177">
        <v>-1.2744409999999999</v>
      </c>
      <c r="O177">
        <v>32.428508999999998</v>
      </c>
      <c r="P177">
        <v>130.227621</v>
      </c>
      <c r="Q177">
        <v>13.641953000000001</v>
      </c>
      <c r="R177">
        <v>2255</v>
      </c>
      <c r="S177">
        <v>625</v>
      </c>
      <c r="T177">
        <f>S177/(S177+R177)</f>
        <v>0.2170138888888889</v>
      </c>
      <c r="U177">
        <f t="shared" si="31"/>
        <v>-4.6417019097222223</v>
      </c>
      <c r="V177">
        <f>L177-(SUM(R177:S177)*U177)</f>
        <v>33.533954000000449</v>
      </c>
      <c r="W177">
        <f>V177/(2*O177*Q177)</f>
        <v>3.7901049723572389E-2</v>
      </c>
      <c r="X177">
        <f>W177*16.02</f>
        <v>0.60717481657162964</v>
      </c>
      <c r="Z177" s="10"/>
    </row>
    <row r="178" spans="9:26" x14ac:dyDescent="0.2">
      <c r="J178">
        <v>100000</v>
      </c>
      <c r="K178">
        <v>743.85763099999997</v>
      </c>
      <c r="L178">
        <v>-13346.476086000001</v>
      </c>
      <c r="M178">
        <v>57576.201430000001</v>
      </c>
      <c r="N178">
        <v>-1.166639</v>
      </c>
      <c r="O178">
        <v>32.442875999999998</v>
      </c>
      <c r="P178">
        <v>130.39770100000001</v>
      </c>
      <c r="Q178">
        <v>13.609897</v>
      </c>
      <c r="R178">
        <v>2251</v>
      </c>
      <c r="S178">
        <v>629</v>
      </c>
      <c r="T178">
        <f>S178/(S178+R178)</f>
        <v>0.21840277777777778</v>
      </c>
      <c r="U178">
        <f t="shared" si="31"/>
        <v>-4.6452628819444444</v>
      </c>
      <c r="V178">
        <f>L178-(SUM(R178:S178)*U178)</f>
        <v>31.881013999998686</v>
      </c>
      <c r="W178">
        <f>V178/(2*O178*Q178)</f>
        <v>3.6101724296566218E-2</v>
      </c>
      <c r="X178">
        <f>W178*16.02</f>
        <v>0.57834962323099082</v>
      </c>
      <c r="Y178" s="1">
        <f>AVERAGE(X174:X178)</f>
        <v>0.56793755941912116</v>
      </c>
      <c r="Z178" s="1">
        <f>STDEV(X174:X178)</f>
        <v>3.7142830912905225E-2</v>
      </c>
    </row>
    <row r="179" spans="9:26" x14ac:dyDescent="0.2">
      <c r="Z179" s="10"/>
    </row>
    <row r="180" spans="9:26" x14ac:dyDescent="0.2">
      <c r="I180" t="s">
        <v>172</v>
      </c>
      <c r="J180">
        <v>100000</v>
      </c>
      <c r="K180">
        <v>743.756394</v>
      </c>
      <c r="L180">
        <v>-17016.835780000001</v>
      </c>
      <c r="M180">
        <v>73637.912137000007</v>
      </c>
      <c r="N180">
        <v>-1.0589280000000001</v>
      </c>
      <c r="O180">
        <v>26.053266000000001</v>
      </c>
      <c r="P180">
        <v>206.947562</v>
      </c>
      <c r="Q180">
        <v>13.657783999999999</v>
      </c>
      <c r="R180">
        <v>2894</v>
      </c>
      <c r="S180">
        <v>786</v>
      </c>
      <c r="T180">
        <f>S180/(S180+R180)</f>
        <v>0.21358695652173912</v>
      </c>
      <c r="U180">
        <f>-4.0853-2.5639*T180</f>
        <v>-4.632915597826087</v>
      </c>
      <c r="V180">
        <f>L180-(SUM(R180:S180)*U180)</f>
        <v>32.293620000000374</v>
      </c>
      <c r="W180">
        <f>V180/(2*O180*Q180)</f>
        <v>4.5377892440247383E-2</v>
      </c>
      <c r="X180">
        <f>W180*16.02</f>
        <v>0.72695383689276305</v>
      </c>
    </row>
    <row r="181" spans="9:26" x14ac:dyDescent="0.2">
      <c r="J181">
        <v>100000</v>
      </c>
      <c r="K181">
        <v>743.55874500000004</v>
      </c>
      <c r="L181">
        <v>-17058.255467999999</v>
      </c>
      <c r="M181">
        <v>73545.411338999998</v>
      </c>
      <c r="N181">
        <v>-0.96365800000000001</v>
      </c>
      <c r="O181">
        <v>26.039632999999998</v>
      </c>
      <c r="P181">
        <v>206.88429199999999</v>
      </c>
      <c r="Q181">
        <v>13.651935999999999</v>
      </c>
      <c r="R181">
        <v>2881</v>
      </c>
      <c r="S181">
        <v>799</v>
      </c>
      <c r="T181">
        <f>S181/(S181+R181)</f>
        <v>0.21711956521739131</v>
      </c>
      <c r="U181">
        <f t="shared" ref="U181:U184" si="32">-4.0853-2.5639*T181</f>
        <v>-4.6419728532608699</v>
      </c>
      <c r="V181">
        <f>L181-(SUM(R181:S181)*U181)</f>
        <v>24.204632000000856</v>
      </c>
      <c r="W181">
        <f>V181/(2*O181*Q181)</f>
        <v>3.4043906242902745E-2</v>
      </c>
      <c r="X181">
        <f>W181*16.02</f>
        <v>0.54538337801130199</v>
      </c>
    </row>
    <row r="182" spans="9:26" x14ac:dyDescent="0.2">
      <c r="J182">
        <v>100000</v>
      </c>
      <c r="K182">
        <v>743.649225</v>
      </c>
      <c r="L182">
        <v>-16944.781877000001</v>
      </c>
      <c r="M182">
        <v>73828.416098000002</v>
      </c>
      <c r="N182">
        <v>-1.0685500000000001</v>
      </c>
      <c r="O182">
        <v>26.067084999999999</v>
      </c>
      <c r="P182">
        <v>207.16974099999999</v>
      </c>
      <c r="Q182">
        <v>13.671182999999999</v>
      </c>
      <c r="R182">
        <v>2922</v>
      </c>
      <c r="S182">
        <v>758</v>
      </c>
      <c r="T182">
        <f>S182/(S182+R182)</f>
        <v>0.20597826086956522</v>
      </c>
      <c r="U182">
        <f t="shared" si="32"/>
        <v>-4.6134076630434784</v>
      </c>
      <c r="V182">
        <f>L182-(SUM(R182:S182)*U182)</f>
        <v>32.558322999997472</v>
      </c>
      <c r="W182">
        <f>V182/(2*O182*Q182)</f>
        <v>4.5680775367969988E-2</v>
      </c>
      <c r="X182">
        <f>W182*16.02</f>
        <v>0.73180602139487916</v>
      </c>
    </row>
    <row r="183" spans="9:26" x14ac:dyDescent="0.2">
      <c r="J183">
        <v>100000</v>
      </c>
      <c r="K183">
        <v>743.78694499999995</v>
      </c>
      <c r="L183">
        <v>-17106.663264999999</v>
      </c>
      <c r="M183">
        <v>73412.360667999994</v>
      </c>
      <c r="N183">
        <v>-0.93412099999999998</v>
      </c>
      <c r="O183">
        <v>26.019141000000001</v>
      </c>
      <c r="P183">
        <v>206.763892</v>
      </c>
      <c r="Q183">
        <v>13.645913999999999</v>
      </c>
      <c r="R183">
        <v>2859</v>
      </c>
      <c r="S183">
        <v>821</v>
      </c>
      <c r="T183">
        <f>S183/(S183+R183)</f>
        <v>0.22309782608695652</v>
      </c>
      <c r="U183">
        <f t="shared" si="32"/>
        <v>-4.6573005163043479</v>
      </c>
      <c r="V183">
        <f>L183-(SUM(R183:S183)*U183)</f>
        <v>32.202635000001465</v>
      </c>
      <c r="W183">
        <f>V183/(2*O183*Q183)</f>
        <v>4.5348803126290568E-2</v>
      </c>
      <c r="X183">
        <f>W183*16.02</f>
        <v>0.72648782608317486</v>
      </c>
    </row>
    <row r="184" spans="9:26" x14ac:dyDescent="0.2">
      <c r="J184">
        <v>100000</v>
      </c>
      <c r="K184">
        <v>743.61386000000005</v>
      </c>
      <c r="L184">
        <v>-17120.247696999999</v>
      </c>
      <c r="M184">
        <v>73395.461798999997</v>
      </c>
      <c r="N184">
        <v>-1.065644</v>
      </c>
      <c r="O184">
        <v>26.036020000000001</v>
      </c>
      <c r="P184">
        <v>206.82216099999999</v>
      </c>
      <c r="Q184">
        <v>13.630087</v>
      </c>
      <c r="R184">
        <v>2853</v>
      </c>
      <c r="S184">
        <v>827</v>
      </c>
      <c r="T184">
        <f>S184/(S184+R184)</f>
        <v>0.22472826086956521</v>
      </c>
      <c r="U184">
        <f t="shared" si="32"/>
        <v>-4.6614807880434785</v>
      </c>
      <c r="V184">
        <f>L184-(SUM(R184:S184)*U184)</f>
        <v>34.001603000000614</v>
      </c>
      <c r="W184">
        <f>V184/(2*O184*Q184)</f>
        <v>4.7906690757249376E-2</v>
      </c>
      <c r="X184">
        <f>W184*16.02</f>
        <v>0.767465185931135</v>
      </c>
      <c r="Y184" s="1">
        <f>AVERAGE(X180:X184)</f>
        <v>0.69961924966265077</v>
      </c>
      <c r="Z184" s="1">
        <f>STDEV(X180:X184)</f>
        <v>8.7887518318370439E-2</v>
      </c>
    </row>
    <row r="186" spans="9:26" x14ac:dyDescent="0.2">
      <c r="I186" t="s">
        <v>17</v>
      </c>
      <c r="J186">
        <v>100000</v>
      </c>
      <c r="K186">
        <v>693.94192799999996</v>
      </c>
      <c r="L186">
        <v>-17507.478397999999</v>
      </c>
      <c r="M186">
        <v>75465.948539999998</v>
      </c>
      <c r="N186">
        <v>-0.75961599999999996</v>
      </c>
      <c r="O186">
        <v>30.607465999999999</v>
      </c>
      <c r="P186">
        <v>90.659251999999995</v>
      </c>
      <c r="Q186">
        <v>27.196476000000001</v>
      </c>
      <c r="R186">
        <v>2940</v>
      </c>
      <c r="S186">
        <v>836</v>
      </c>
      <c r="T186">
        <f>S186/(S186+R186)</f>
        <v>0.22139830508474576</v>
      </c>
      <c r="U186">
        <f>-4.0853-2.5639*T186</f>
        <v>-4.6529431144067797</v>
      </c>
      <c r="V186">
        <f>L186-(SUM(R186:S186)*U186)</f>
        <v>62.034802000001946</v>
      </c>
      <c r="W186">
        <f>V186/(2*O186*Q186)</f>
        <v>3.7261934260790053E-2</v>
      </c>
      <c r="X186">
        <f>W186*16.02</f>
        <v>0.59693618685785665</v>
      </c>
    </row>
    <row r="187" spans="9:26" x14ac:dyDescent="0.2">
      <c r="J187">
        <v>100000</v>
      </c>
      <c r="K187">
        <v>694.10965999999996</v>
      </c>
      <c r="L187">
        <v>-17499.382683</v>
      </c>
      <c r="M187">
        <v>75515.394518000001</v>
      </c>
      <c r="N187">
        <v>-0.67106500000000002</v>
      </c>
      <c r="O187">
        <v>30.577404000000001</v>
      </c>
      <c r="P187">
        <v>90.625494000000003</v>
      </c>
      <c r="Q187">
        <v>27.251193000000001</v>
      </c>
      <c r="R187">
        <v>2944</v>
      </c>
      <c r="S187">
        <v>832</v>
      </c>
      <c r="T187">
        <f>S187/(S187+R187)</f>
        <v>0.22033898305084745</v>
      </c>
      <c r="U187">
        <f t="shared" ref="U187:U190" si="33">-4.0853-2.5639*T187</f>
        <v>-4.650227118644068</v>
      </c>
      <c r="V187">
        <f>L187-(SUM(R187:S187)*U187)</f>
        <v>59.874917000001005</v>
      </c>
      <c r="W187">
        <f>V187/(2*O187*Q187)</f>
        <v>3.5927648890560403E-2</v>
      </c>
      <c r="X187">
        <f>W187*16.02</f>
        <v>0.57556093522677765</v>
      </c>
    </row>
    <row r="188" spans="9:26" x14ac:dyDescent="0.2">
      <c r="J188">
        <v>100000</v>
      </c>
      <c r="K188">
        <v>694.03900399999998</v>
      </c>
      <c r="L188">
        <v>-17507.591763</v>
      </c>
      <c r="M188">
        <v>75462.929241999998</v>
      </c>
      <c r="N188">
        <v>-0.79363700000000004</v>
      </c>
      <c r="O188">
        <v>30.60089</v>
      </c>
      <c r="P188">
        <v>90.518694999999994</v>
      </c>
      <c r="Q188">
        <v>27.243462999999998</v>
      </c>
      <c r="R188">
        <v>2940</v>
      </c>
      <c r="S188">
        <v>836</v>
      </c>
      <c r="T188">
        <f>S188/(S188+R188)</f>
        <v>0.22139830508474576</v>
      </c>
      <c r="U188">
        <f t="shared" si="33"/>
        <v>-4.6529431144067797</v>
      </c>
      <c r="V188">
        <f>L188-(SUM(R188:S188)*U188)</f>
        <v>61.921437000000878</v>
      </c>
      <c r="W188">
        <f>V188/(2*O188*Q188)</f>
        <v>3.7137670761755726E-2</v>
      </c>
      <c r="X188">
        <f>W188*16.02</f>
        <v>0.59494548560332672</v>
      </c>
    </row>
    <row r="189" spans="9:26" x14ac:dyDescent="0.2">
      <c r="J189">
        <v>100000</v>
      </c>
      <c r="K189">
        <v>694.04927499999997</v>
      </c>
      <c r="L189">
        <v>-17483.588033</v>
      </c>
      <c r="M189">
        <v>75526.758853000007</v>
      </c>
      <c r="N189">
        <v>-0.76167200000000002</v>
      </c>
      <c r="O189">
        <v>30.631191999999999</v>
      </c>
      <c r="P189">
        <v>90.600131000000005</v>
      </c>
      <c r="Q189">
        <v>27.215047999999999</v>
      </c>
      <c r="R189">
        <v>2951</v>
      </c>
      <c r="S189">
        <v>825</v>
      </c>
      <c r="T189">
        <f>S189/(S189+R189)</f>
        <v>0.21848516949152541</v>
      </c>
      <c r="U189">
        <f t="shared" si="33"/>
        <v>-4.6454741260593222</v>
      </c>
      <c r="V189">
        <f>L189-(SUM(R189:S189)*U189)</f>
        <v>57.722267000001011</v>
      </c>
      <c r="W189">
        <f>V189/(2*O189*Q189)</f>
        <v>3.4621061667041902E-2</v>
      </c>
      <c r="X189">
        <f>W189*16.02</f>
        <v>0.55462940790601123</v>
      </c>
    </row>
    <row r="190" spans="9:26" x14ac:dyDescent="0.2">
      <c r="J190">
        <v>100000</v>
      </c>
      <c r="K190">
        <v>694.10877800000003</v>
      </c>
      <c r="L190">
        <v>-17459.193604</v>
      </c>
      <c r="M190">
        <v>75609.807279999994</v>
      </c>
      <c r="N190">
        <v>-0.72544699999999995</v>
      </c>
      <c r="O190">
        <v>30.640630999999999</v>
      </c>
      <c r="P190">
        <v>90.688919999999996</v>
      </c>
      <c r="Q190">
        <v>27.209907999999999</v>
      </c>
      <c r="R190">
        <v>2959</v>
      </c>
      <c r="S190">
        <v>817</v>
      </c>
      <c r="T190">
        <f>S190/(S190+R190)</f>
        <v>0.21636652542372881</v>
      </c>
      <c r="U190">
        <f t="shared" si="33"/>
        <v>-4.640042134533898</v>
      </c>
      <c r="V190">
        <f>L190-(SUM(R190:S190)*U190)</f>
        <v>61.60549600000013</v>
      </c>
      <c r="W190">
        <f>V190/(2*O190*Q190)</f>
        <v>3.6945766808292278E-2</v>
      </c>
      <c r="X190">
        <f>W190*16.02</f>
        <v>0.59187118426884233</v>
      </c>
      <c r="Y190" s="1">
        <f>AVERAGE(X186:X190)</f>
        <v>0.58278863997256292</v>
      </c>
      <c r="Z190" s="1">
        <f>STDEV(X186:X190)</f>
        <v>1.7857888004505482E-2</v>
      </c>
    </row>
    <row r="192" spans="9:26" x14ac:dyDescent="0.2">
      <c r="I192" t="s">
        <v>173</v>
      </c>
      <c r="J192">
        <v>100000</v>
      </c>
      <c r="K192">
        <v>743.68008599999996</v>
      </c>
      <c r="L192">
        <v>-30239.758539999999</v>
      </c>
      <c r="M192">
        <v>129212.373599</v>
      </c>
      <c r="N192">
        <v>-0.56589199999999995</v>
      </c>
      <c r="O192">
        <v>39.822961999999997</v>
      </c>
      <c r="P192">
        <v>238.116454</v>
      </c>
      <c r="Q192">
        <v>13.626417</v>
      </c>
      <c r="R192">
        <v>5014</v>
      </c>
      <c r="S192">
        <v>1474</v>
      </c>
      <c r="T192">
        <f>S192/(S192+R192)</f>
        <v>0.22718865598027127</v>
      </c>
      <c r="U192">
        <f>-4.0853-2.5639*T192</f>
        <v>-4.6677889950678173</v>
      </c>
      <c r="V192">
        <f>L192-(SUM(R192:S192)*U192)</f>
        <v>44.856459999999061</v>
      </c>
      <c r="W192">
        <f>V192/(2*O192*Q192)</f>
        <v>4.1331366721509943E-2</v>
      </c>
      <c r="X192">
        <f>W192*16.02</f>
        <v>0.66212849487858927</v>
      </c>
    </row>
    <row r="193" spans="9:26" x14ac:dyDescent="0.2">
      <c r="J193">
        <v>100000</v>
      </c>
      <c r="K193">
        <v>743.84269400000005</v>
      </c>
      <c r="L193">
        <v>-30076.793890000001</v>
      </c>
      <c r="M193">
        <v>129614.96268500001</v>
      </c>
      <c r="N193">
        <v>-0.38802799999999998</v>
      </c>
      <c r="O193">
        <v>39.860042999999997</v>
      </c>
      <c r="P193">
        <v>238.09699800000001</v>
      </c>
      <c r="Q193">
        <v>13.657276</v>
      </c>
      <c r="R193">
        <v>5078</v>
      </c>
      <c r="S193">
        <v>1410</v>
      </c>
      <c r="T193">
        <f>S193/(S193+R193)</f>
        <v>0.21732429099876696</v>
      </c>
      <c r="U193">
        <f t="shared" ref="U193:U196" si="34">-4.0853-2.5639*T193</f>
        <v>-4.6424977496917386</v>
      </c>
      <c r="V193">
        <f>L193-(SUM(R193:S193)*U193)</f>
        <v>43.731509999997797</v>
      </c>
      <c r="W193">
        <f>V193/(2*O193*Q193)</f>
        <v>4.0166374077297458E-2</v>
      </c>
      <c r="X193">
        <f>W193*16.02</f>
        <v>0.6434653127183052</v>
      </c>
    </row>
    <row r="194" spans="9:26" x14ac:dyDescent="0.2">
      <c r="J194">
        <v>100000</v>
      </c>
      <c r="K194">
        <v>743.60366399999998</v>
      </c>
      <c r="L194">
        <v>-30103.150581000002</v>
      </c>
      <c r="M194">
        <v>129566.87454</v>
      </c>
      <c r="N194">
        <v>-0.56760999999999995</v>
      </c>
      <c r="O194">
        <v>39.897246000000003</v>
      </c>
      <c r="P194">
        <v>237.96539100000001</v>
      </c>
      <c r="Q194">
        <v>13.647017999999999</v>
      </c>
      <c r="R194">
        <v>5066</v>
      </c>
      <c r="S194">
        <v>1422</v>
      </c>
      <c r="T194">
        <f>S194/(S194+R194)</f>
        <v>0.21917385943279902</v>
      </c>
      <c r="U194">
        <f t="shared" si="34"/>
        <v>-4.6472398581997538</v>
      </c>
      <c r="V194">
        <f>L194-(SUM(R194:S194)*U194)</f>
        <v>48.14161900000181</v>
      </c>
      <c r="W194">
        <f>V194/(2*O194*Q194)</f>
        <v>4.4208930938463571E-2</v>
      </c>
      <c r="X194">
        <f>W194*16.02</f>
        <v>0.70822707363418635</v>
      </c>
    </row>
    <row r="195" spans="9:26" x14ac:dyDescent="0.2">
      <c r="J195">
        <v>100000</v>
      </c>
      <c r="K195">
        <v>743.94106199999999</v>
      </c>
      <c r="L195">
        <v>-29947.236502</v>
      </c>
      <c r="M195">
        <v>129994.86632299999</v>
      </c>
      <c r="N195">
        <v>-0.55150299999999997</v>
      </c>
      <c r="O195">
        <v>39.908676999999997</v>
      </c>
      <c r="P195">
        <v>238.426695</v>
      </c>
      <c r="Q195">
        <v>13.661692</v>
      </c>
      <c r="R195">
        <v>5127</v>
      </c>
      <c r="S195">
        <v>1361</v>
      </c>
      <c r="T195">
        <f>S195/(S195+R195)</f>
        <v>0.20977188655980272</v>
      </c>
      <c r="U195">
        <f t="shared" si="34"/>
        <v>-4.623134139950678</v>
      </c>
      <c r="V195">
        <f>L195-(SUM(R195:S195)*U195)</f>
        <v>47.657798000000184</v>
      </c>
      <c r="W195">
        <f>V195/(2*O195*Q195)</f>
        <v>4.3705103757113103E-2</v>
      </c>
      <c r="X195">
        <f>W195*16.02</f>
        <v>0.70015576218895192</v>
      </c>
    </row>
    <row r="196" spans="9:26" x14ac:dyDescent="0.2">
      <c r="J196">
        <v>100000</v>
      </c>
      <c r="K196">
        <v>743.61936800000001</v>
      </c>
      <c r="L196">
        <v>-30022.312999999998</v>
      </c>
      <c r="M196">
        <v>129745.573235</v>
      </c>
      <c r="N196">
        <v>-0.54320800000000002</v>
      </c>
      <c r="O196">
        <v>39.873786000000003</v>
      </c>
      <c r="P196">
        <v>238.31003999999999</v>
      </c>
      <c r="Q196">
        <v>13.654104999999999</v>
      </c>
      <c r="R196">
        <v>5098</v>
      </c>
      <c r="S196">
        <v>1390</v>
      </c>
      <c r="T196">
        <f>S196/(S196+R196)</f>
        <v>0.21424167694204685</v>
      </c>
      <c r="U196">
        <f t="shared" si="34"/>
        <v>-4.634594235511714</v>
      </c>
      <c r="V196">
        <f>L196-(SUM(R196:S196)*U196)</f>
        <v>46.934400000001915</v>
      </c>
      <c r="W196">
        <f>V196/(2*O196*Q196)</f>
        <v>4.3103304123579926E-2</v>
      </c>
      <c r="X196">
        <f>W196*16.02</f>
        <v>0.69051493205975045</v>
      </c>
      <c r="Y196" s="1">
        <f>AVERAGE(X192:X196)</f>
        <v>0.68089831509595666</v>
      </c>
      <c r="Z196" s="1">
        <f>STDEV(X192:X196)</f>
        <v>2.7220054425029415E-2</v>
      </c>
    </row>
    <row r="198" spans="9:26" x14ac:dyDescent="0.2">
      <c r="I198" t="s">
        <v>174</v>
      </c>
      <c r="J198">
        <v>100000</v>
      </c>
      <c r="K198">
        <v>743.65351699999997</v>
      </c>
      <c r="L198">
        <v>-15294.074954</v>
      </c>
      <c r="M198">
        <v>65807.790894000005</v>
      </c>
      <c r="N198">
        <v>-0.97474499999999997</v>
      </c>
      <c r="O198">
        <v>24.651596999999999</v>
      </c>
      <c r="P198">
        <v>195.54087799999999</v>
      </c>
      <c r="Q198">
        <v>13.651975</v>
      </c>
      <c r="R198">
        <v>2573</v>
      </c>
      <c r="S198">
        <v>723</v>
      </c>
      <c r="T198">
        <f>S198/(S198+R198)</f>
        <v>0.21935679611650485</v>
      </c>
      <c r="U198">
        <f>-4.0853-2.5639*T198</f>
        <v>-4.6477088895631073</v>
      </c>
      <c r="V198">
        <f>L198-(SUM(R198:S198)*U198)</f>
        <v>24.77354600000217</v>
      </c>
      <c r="W198">
        <f>V198/(2*O198*Q198)</f>
        <v>3.6805916382079633E-2</v>
      </c>
      <c r="X198">
        <f>W198*16.02</f>
        <v>0.58963078044091566</v>
      </c>
    </row>
    <row r="199" spans="9:26" x14ac:dyDescent="0.2">
      <c r="J199">
        <v>100000</v>
      </c>
      <c r="K199">
        <v>743.67667400000005</v>
      </c>
      <c r="L199">
        <v>-15234.936199</v>
      </c>
      <c r="M199">
        <v>65942.402587999997</v>
      </c>
      <c r="N199">
        <v>-1.0493840000000001</v>
      </c>
      <c r="O199">
        <v>24.66947</v>
      </c>
      <c r="P199">
        <v>195.90564499999999</v>
      </c>
      <c r="Q199">
        <v>13.644539</v>
      </c>
      <c r="R199">
        <v>2596</v>
      </c>
      <c r="S199">
        <v>700</v>
      </c>
      <c r="T199">
        <f>S199/(S199+R199)</f>
        <v>0.21237864077669902</v>
      </c>
      <c r="U199">
        <f t="shared" ref="U199:U202" si="35">-4.0853-2.5639*T199</f>
        <v>-4.6298175970873787</v>
      </c>
      <c r="V199">
        <f>L199-(SUM(R199:S199)*U199)</f>
        <v>24.94260100000065</v>
      </c>
      <c r="W199">
        <f>V199/(2*O199*Q199)</f>
        <v>3.705041335965039E-2</v>
      </c>
      <c r="X199">
        <f>W199*16.02</f>
        <v>0.59354762202159927</v>
      </c>
    </row>
    <row r="200" spans="9:26" x14ac:dyDescent="0.2">
      <c r="J200">
        <v>100000</v>
      </c>
      <c r="K200">
        <v>743.68308100000002</v>
      </c>
      <c r="L200">
        <v>-15401.708363</v>
      </c>
      <c r="M200">
        <v>65542.944193999996</v>
      </c>
      <c r="N200">
        <v>-0.89516899999999999</v>
      </c>
      <c r="O200">
        <v>24.61777</v>
      </c>
      <c r="P200">
        <v>195.66505900000001</v>
      </c>
      <c r="Q200">
        <v>13.607077</v>
      </c>
      <c r="R200">
        <v>2529</v>
      </c>
      <c r="S200">
        <v>767</v>
      </c>
      <c r="T200">
        <f>S200/(S200+R200)</f>
        <v>0.23270631067961164</v>
      </c>
      <c r="U200">
        <f t="shared" si="35"/>
        <v>-4.681935709951456</v>
      </c>
      <c r="V200">
        <f>L200-(SUM(R200:S200)*U200)</f>
        <v>29.951736999999412</v>
      </c>
      <c r="W200">
        <f>V200/(2*O200*Q200)</f>
        <v>4.4707302404509895E-2</v>
      </c>
      <c r="X200">
        <f>W200*16.02</f>
        <v>0.71621098452024845</v>
      </c>
    </row>
    <row r="201" spans="9:26" x14ac:dyDescent="0.2">
      <c r="J201">
        <v>100000</v>
      </c>
      <c r="K201">
        <v>743.68132000000003</v>
      </c>
      <c r="L201">
        <v>-15247.958769999999</v>
      </c>
      <c r="M201">
        <v>65933.817794000002</v>
      </c>
      <c r="N201">
        <v>-1.196148</v>
      </c>
      <c r="O201">
        <v>24.647649999999999</v>
      </c>
      <c r="P201">
        <v>195.79797500000001</v>
      </c>
      <c r="Q201">
        <v>13.662353</v>
      </c>
      <c r="R201">
        <v>2591</v>
      </c>
      <c r="S201">
        <v>705</v>
      </c>
      <c r="T201">
        <f>S201/(S201+R201)</f>
        <v>0.21389563106796117</v>
      </c>
      <c r="U201">
        <f t="shared" si="35"/>
        <v>-4.6337070084951453</v>
      </c>
      <c r="V201">
        <f>L201-(SUM(R201:S201)*U201)</f>
        <v>24.739529999998922</v>
      </c>
      <c r="W201">
        <f>V201/(2*O201*Q201)</f>
        <v>3.6733340836307554E-2</v>
      </c>
      <c r="X201">
        <f>W201*16.02</f>
        <v>0.58846812019764705</v>
      </c>
    </row>
    <row r="202" spans="9:26" x14ac:dyDescent="0.2">
      <c r="J202">
        <v>100000</v>
      </c>
      <c r="K202">
        <v>744.05117800000005</v>
      </c>
      <c r="L202">
        <v>-15319.350623</v>
      </c>
      <c r="M202">
        <v>65750.761847999995</v>
      </c>
      <c r="N202">
        <v>-0.78782600000000003</v>
      </c>
      <c r="O202">
        <v>24.647984999999998</v>
      </c>
      <c r="P202">
        <v>195.80510200000001</v>
      </c>
      <c r="Q202">
        <v>13.623745</v>
      </c>
      <c r="R202">
        <v>2561</v>
      </c>
      <c r="S202">
        <v>735</v>
      </c>
      <c r="T202">
        <f>S202/(S202+R202)</f>
        <v>0.22299757281553398</v>
      </c>
      <c r="U202">
        <f t="shared" si="35"/>
        <v>-4.6570434769417481</v>
      </c>
      <c r="V202">
        <f>L202-(SUM(R202:S202)*U202)</f>
        <v>30.264677000001029</v>
      </c>
      <c r="W202">
        <f>V202/(2*O202*Q202)</f>
        <v>4.5063832127086666E-2</v>
      </c>
      <c r="X202">
        <f>W202*16.02</f>
        <v>0.72192259067592834</v>
      </c>
      <c r="Y202" s="1">
        <f>AVERAGE(X198:X202)</f>
        <v>0.6419560195712678</v>
      </c>
      <c r="Z202" s="1">
        <f>STDEV(X198:X202)</f>
        <v>7.0446276155288964E-2</v>
      </c>
    </row>
    <row r="204" spans="9:26" x14ac:dyDescent="0.2">
      <c r="I204" t="s">
        <v>175</v>
      </c>
      <c r="J204">
        <v>100000</v>
      </c>
      <c r="K204">
        <v>743.77174100000002</v>
      </c>
      <c r="L204">
        <v>-21988.808206000002</v>
      </c>
      <c r="M204">
        <v>95018.508543999997</v>
      </c>
      <c r="N204">
        <v>-0.73677999999999999</v>
      </c>
      <c r="O204">
        <v>34.230013</v>
      </c>
      <c r="P204">
        <v>203.819613</v>
      </c>
      <c r="Q204">
        <v>13.619336000000001</v>
      </c>
      <c r="R204">
        <v>3733</v>
      </c>
      <c r="S204">
        <v>1019</v>
      </c>
      <c r="T204">
        <f>S204/(S204+R204)</f>
        <v>0.21443602693602692</v>
      </c>
      <c r="U204">
        <f>-4.0853-2.5639*T204</f>
        <v>-4.6350925294612795</v>
      </c>
      <c r="V204">
        <f>L204-(SUM(R204:S204)*U204)</f>
        <v>37.151493999997911</v>
      </c>
      <c r="W204">
        <f>V204/(2*O204*Q204)</f>
        <v>3.98458677238758E-2</v>
      </c>
      <c r="X204">
        <f>W204*16.02</f>
        <v>0.63833080093649031</v>
      </c>
    </row>
    <row r="205" spans="9:26" x14ac:dyDescent="0.2">
      <c r="J205">
        <v>100000</v>
      </c>
      <c r="K205">
        <v>743.81533000000002</v>
      </c>
      <c r="L205">
        <v>-21913.323738999999</v>
      </c>
      <c r="M205">
        <v>95220.620901000002</v>
      </c>
      <c r="N205">
        <v>-0.57900399999999996</v>
      </c>
      <c r="O205">
        <v>34.235092999999999</v>
      </c>
      <c r="P205">
        <v>203.690674</v>
      </c>
      <c r="Q205">
        <v>13.654916</v>
      </c>
      <c r="R205">
        <v>3766</v>
      </c>
      <c r="S205">
        <v>986</v>
      </c>
      <c r="T205">
        <f>S205/(S205+R205)</f>
        <v>0.2074915824915825</v>
      </c>
      <c r="U205">
        <f t="shared" ref="U205:U208" si="36">-4.0853-2.5639*T205</f>
        <v>-4.6172876683501682</v>
      </c>
      <c r="V205">
        <f>L205-(SUM(R205:S205)*U205)</f>
        <v>28.027260999999271</v>
      </c>
      <c r="W205">
        <f>V205/(2*O205*Q205)</f>
        <v>2.9977134559094658E-2</v>
      </c>
      <c r="X205">
        <f>W205*16.02</f>
        <v>0.48023369563669643</v>
      </c>
    </row>
    <row r="206" spans="9:26" x14ac:dyDescent="0.2">
      <c r="J206">
        <v>100000</v>
      </c>
      <c r="K206">
        <v>743.61757699999998</v>
      </c>
      <c r="L206">
        <v>-21942.683857</v>
      </c>
      <c r="M206">
        <v>95138.934047999996</v>
      </c>
      <c r="N206">
        <v>-0.73976200000000003</v>
      </c>
      <c r="O206">
        <v>34.190387000000001</v>
      </c>
      <c r="P206">
        <v>203.52362299999999</v>
      </c>
      <c r="Q206">
        <v>13.672255</v>
      </c>
      <c r="R206">
        <v>3753</v>
      </c>
      <c r="S206">
        <v>999</v>
      </c>
      <c r="T206">
        <f>S206/(S206+R206)</f>
        <v>0.21022727272727273</v>
      </c>
      <c r="U206">
        <f t="shared" si="36"/>
        <v>-4.6243017045454549</v>
      </c>
      <c r="V206">
        <f>L206-(SUM(R206:S206)*U206)</f>
        <v>31.997843000001012</v>
      </c>
      <c r="W206">
        <f>V206/(2*O206*Q206)</f>
        <v>3.4225243064822247E-2</v>
      </c>
      <c r="X206">
        <f>W206*16.02</f>
        <v>0.54828839389845241</v>
      </c>
    </row>
    <row r="207" spans="9:26" x14ac:dyDescent="0.2">
      <c r="J207">
        <v>100000</v>
      </c>
      <c r="K207">
        <v>743.87765000000002</v>
      </c>
      <c r="L207">
        <v>-22023.569023</v>
      </c>
      <c r="M207">
        <v>94944.746981999997</v>
      </c>
      <c r="N207">
        <v>-0.74225399999999997</v>
      </c>
      <c r="O207">
        <v>34.181167000000002</v>
      </c>
      <c r="P207">
        <v>203.43750399999999</v>
      </c>
      <c r="Q207">
        <v>13.65381</v>
      </c>
      <c r="R207">
        <v>3722</v>
      </c>
      <c r="S207">
        <v>1030</v>
      </c>
      <c r="T207">
        <f>S207/(S207+R207)</f>
        <v>0.21675084175084175</v>
      </c>
      <c r="U207">
        <f t="shared" si="36"/>
        <v>-4.6410274831649829</v>
      </c>
      <c r="V207">
        <f>L207-(SUM(R207:S207)*U207)</f>
        <v>30.593576999999641</v>
      </c>
      <c r="W207">
        <f>V207/(2*O207*Q207)</f>
        <v>3.27762694100407E-2</v>
      </c>
      <c r="X207">
        <f>W207*16.02</f>
        <v>0.52507583594885199</v>
      </c>
    </row>
    <row r="208" spans="9:26" x14ac:dyDescent="0.2">
      <c r="J208">
        <v>100000</v>
      </c>
      <c r="K208">
        <v>743.807637</v>
      </c>
      <c r="L208">
        <v>-21941.118248999999</v>
      </c>
      <c r="M208">
        <v>95147.745162000007</v>
      </c>
      <c r="N208">
        <v>-0.568191</v>
      </c>
      <c r="O208">
        <v>34.232626000000003</v>
      </c>
      <c r="P208">
        <v>203.63237599999999</v>
      </c>
      <c r="Q208">
        <v>13.649359</v>
      </c>
      <c r="R208">
        <v>3752</v>
      </c>
      <c r="S208">
        <v>1000</v>
      </c>
      <c r="T208">
        <f>S208/(S208+R208)</f>
        <v>0.21043771043771045</v>
      </c>
      <c r="U208">
        <f t="shared" si="36"/>
        <v>-4.624841245791246</v>
      </c>
      <c r="V208">
        <f>L208-(SUM(R208:S208)*U208)</f>
        <v>36.127351000002818</v>
      </c>
      <c r="W208">
        <f>V208/(2*O208*Q208)</f>
        <v>3.8659270175300117E-2</v>
      </c>
      <c r="X208">
        <f>W208*16.02</f>
        <v>0.61932150820830789</v>
      </c>
      <c r="Y208" s="1">
        <f>AVERAGE(X204:X208)</f>
        <v>0.56225004692575986</v>
      </c>
      <c r="Z208" s="1">
        <f>STDEV(X204:X208)</f>
        <v>6.5857733827448348E-2</v>
      </c>
    </row>
    <row r="210" spans="9:26" x14ac:dyDescent="0.2">
      <c r="J210">
        <v>600</v>
      </c>
      <c r="K210" t="s">
        <v>32</v>
      </c>
      <c r="W210" t="s">
        <v>25</v>
      </c>
      <c r="X210" t="s">
        <v>24</v>
      </c>
    </row>
    <row r="211" spans="9:26" x14ac:dyDescent="0.2">
      <c r="J211" t="s">
        <v>176</v>
      </c>
      <c r="K211" t="s">
        <v>18</v>
      </c>
      <c r="L211" t="s">
        <v>5</v>
      </c>
      <c r="M211" t="s">
        <v>7</v>
      </c>
      <c r="N211" t="s">
        <v>19</v>
      </c>
      <c r="O211" t="s">
        <v>20</v>
      </c>
      <c r="P211" t="s">
        <v>21</v>
      </c>
      <c r="Q211" t="s">
        <v>22</v>
      </c>
      <c r="R211" t="s">
        <v>4</v>
      </c>
      <c r="S211" t="s">
        <v>10</v>
      </c>
      <c r="T211" t="s">
        <v>13</v>
      </c>
      <c r="U211" t="s">
        <v>26</v>
      </c>
      <c r="V211" t="s">
        <v>12</v>
      </c>
      <c r="W211" t="s">
        <v>23</v>
      </c>
      <c r="X211" t="s">
        <v>23</v>
      </c>
    </row>
    <row r="212" spans="9:26" x14ac:dyDescent="0.2">
      <c r="I212" t="s">
        <v>55</v>
      </c>
      <c r="J212">
        <v>100000</v>
      </c>
      <c r="K212">
        <v>520.51040999999998</v>
      </c>
      <c r="L212">
        <v>-18275.975610000001</v>
      </c>
      <c r="M212">
        <v>77274.740844999993</v>
      </c>
      <c r="N212">
        <v>-0.566913</v>
      </c>
      <c r="O212">
        <v>30.873111000000002</v>
      </c>
      <c r="P212">
        <v>183.666822</v>
      </c>
      <c r="Q212">
        <v>13.627848</v>
      </c>
      <c r="R212">
        <v>3025</v>
      </c>
      <c r="S212">
        <v>879</v>
      </c>
      <c r="T212">
        <f>S212/(S212+R212)</f>
        <v>0.22515368852459017</v>
      </c>
      <c r="U212">
        <f>-4.1148-2.5513*T212</f>
        <v>-4.6892346055327865</v>
      </c>
      <c r="V212">
        <f>L212-(SUM(R212:S212)*U212)</f>
        <v>30.796289999998407</v>
      </c>
      <c r="W212">
        <f>V212/(2*O212*Q212)</f>
        <v>3.6598284564326386E-2</v>
      </c>
      <c r="X212">
        <f>W212*16.02</f>
        <v>0.5863045187205087</v>
      </c>
      <c r="Z212" s="10"/>
    </row>
    <row r="213" spans="9:26" x14ac:dyDescent="0.2">
      <c r="J213">
        <v>100000</v>
      </c>
      <c r="K213">
        <v>520.40550699999994</v>
      </c>
      <c r="L213">
        <v>-18202.574332</v>
      </c>
      <c r="M213">
        <v>77489.781000000003</v>
      </c>
      <c r="N213">
        <v>-0.53496100000000002</v>
      </c>
      <c r="O213">
        <v>30.873386</v>
      </c>
      <c r="P213">
        <v>183.803325</v>
      </c>
      <c r="Q213">
        <v>13.655507999999999</v>
      </c>
      <c r="R213">
        <v>3056</v>
      </c>
      <c r="S213">
        <v>848</v>
      </c>
      <c r="T213">
        <f>S213/(S213+R213)</f>
        <v>0.21721311475409835</v>
      </c>
      <c r="U213">
        <f t="shared" ref="U213:U216" si="37">-4.1148-2.5513*T213</f>
        <v>-4.6689758196721307</v>
      </c>
      <c r="V213">
        <f>L213-(SUM(R213:S213)*U213)</f>
        <v>25.107267999999749</v>
      </c>
      <c r="W213">
        <f>V213/(2*O213*Q213)</f>
        <v>2.9776753029566644E-2</v>
      </c>
      <c r="X213">
        <f>W213*16.02</f>
        <v>0.47702358353365765</v>
      </c>
      <c r="Z213" s="10"/>
    </row>
    <row r="214" spans="9:26" x14ac:dyDescent="0.2">
      <c r="J214">
        <v>100000</v>
      </c>
      <c r="K214">
        <v>520.56316900000002</v>
      </c>
      <c r="L214">
        <v>-18223.852175</v>
      </c>
      <c r="M214">
        <v>77381.073831999995</v>
      </c>
      <c r="N214">
        <v>-0.48951</v>
      </c>
      <c r="O214">
        <v>30.848191</v>
      </c>
      <c r="P214">
        <v>183.885166</v>
      </c>
      <c r="Q214">
        <v>13.641408</v>
      </c>
      <c r="R214">
        <v>3048</v>
      </c>
      <c r="S214">
        <v>856</v>
      </c>
      <c r="T214">
        <f>S214/(S214+R214)</f>
        <v>0.21926229508196721</v>
      </c>
      <c r="U214">
        <f t="shared" si="37"/>
        <v>-4.6742038934426224</v>
      </c>
      <c r="V214">
        <f>L214-(SUM(R214:S214)*U214)</f>
        <v>24.239824999996927</v>
      </c>
      <c r="W214">
        <f>V214/(2*O214*Q214)</f>
        <v>2.8801200121884956E-2</v>
      </c>
      <c r="X214">
        <f>W214*16.02</f>
        <v>0.46139522595259697</v>
      </c>
    </row>
    <row r="215" spans="9:26" x14ac:dyDescent="0.2">
      <c r="J215">
        <v>100000</v>
      </c>
      <c r="K215">
        <v>520.57677699999999</v>
      </c>
      <c r="L215">
        <v>-18300.081914999999</v>
      </c>
      <c r="M215">
        <v>77217.435280999998</v>
      </c>
      <c r="N215">
        <v>-0.54252400000000001</v>
      </c>
      <c r="O215">
        <v>30.881695000000001</v>
      </c>
      <c r="P215">
        <v>183.58734999999999</v>
      </c>
      <c r="Q215">
        <v>13.619853000000001</v>
      </c>
      <c r="R215">
        <v>3018</v>
      </c>
      <c r="S215">
        <v>886</v>
      </c>
      <c r="T215">
        <f>S215/(S215+R215)</f>
        <v>0.22694672131147542</v>
      </c>
      <c r="U215">
        <f t="shared" si="37"/>
        <v>-4.6938091700819671</v>
      </c>
      <c r="V215">
        <f>L215-(SUM(R215:S215)*U215)</f>
        <v>24.549085000002378</v>
      </c>
      <c r="W215">
        <f>V215/(2*O215*Q215)</f>
        <v>2.9183122915563735E-2</v>
      </c>
      <c r="X215">
        <f>W215*16.02</f>
        <v>0.46751362910733102</v>
      </c>
    </row>
    <row r="216" spans="9:26" x14ac:dyDescent="0.2">
      <c r="J216">
        <v>100000</v>
      </c>
      <c r="K216">
        <v>520.44277599999998</v>
      </c>
      <c r="L216">
        <v>-18219.450529000002</v>
      </c>
      <c r="M216">
        <v>77441.981255000006</v>
      </c>
      <c r="N216">
        <v>-0.54853799999999997</v>
      </c>
      <c r="O216">
        <v>30.835139999999999</v>
      </c>
      <c r="P216">
        <v>184.02041199999999</v>
      </c>
      <c r="Q216">
        <v>13.647887000000001</v>
      </c>
      <c r="R216">
        <v>3049</v>
      </c>
      <c r="S216">
        <v>855</v>
      </c>
      <c r="T216">
        <f>S216/(S216+R216)</f>
        <v>0.2190061475409836</v>
      </c>
      <c r="U216">
        <f t="shared" si="37"/>
        <v>-4.6735503842213113</v>
      </c>
      <c r="V216">
        <f>L216-(SUM(R216:S216)*U216)</f>
        <v>26.090170999996189</v>
      </c>
      <c r="W216">
        <f>V216/(2*O216*Q216)</f>
        <v>3.0998136567190537E-2</v>
      </c>
      <c r="X216">
        <f>W216*16.02</f>
        <v>0.49659014780639238</v>
      </c>
      <c r="Y216" s="1">
        <f>AVERAGE(X212:X216)</f>
        <v>0.49776542102409732</v>
      </c>
      <c r="Z216" s="1">
        <f>STDEV(X212:X216)</f>
        <v>5.1256070163018398E-2</v>
      </c>
    </row>
    <row r="217" spans="9:26" x14ac:dyDescent="0.2">
      <c r="Y217" s="1"/>
    </row>
    <row r="218" spans="9:26" x14ac:dyDescent="0.2">
      <c r="I218" t="s">
        <v>133</v>
      </c>
      <c r="J218">
        <v>100000</v>
      </c>
      <c r="K218">
        <v>557.79110400000002</v>
      </c>
      <c r="L218">
        <v>-14769.422296000001</v>
      </c>
      <c r="M218">
        <v>62844.930991000001</v>
      </c>
      <c r="N218">
        <v>-0.89297700000000002</v>
      </c>
      <c r="O218">
        <v>24.098075999999999</v>
      </c>
      <c r="P218">
        <v>191.374593</v>
      </c>
      <c r="Q218">
        <v>13.627140000000001</v>
      </c>
      <c r="R218">
        <v>2481</v>
      </c>
      <c r="S218">
        <v>687</v>
      </c>
      <c r="T218">
        <f>S218/(S218+R218)</f>
        <v>0.21685606060606061</v>
      </c>
      <c r="U218">
        <f>-4.1148-2.5513*T218</f>
        <v>-4.668064867424242</v>
      </c>
      <c r="V218">
        <f>L218-(SUM(R218:S218)*U218)</f>
        <v>19.007203999997728</v>
      </c>
      <c r="W218">
        <f>V218/(2*O218*Q218)</f>
        <v>2.8940174991932011E-2</v>
      </c>
      <c r="X218">
        <f>W218*16.02</f>
        <v>0.46362160337075081</v>
      </c>
    </row>
    <row r="219" spans="9:26" x14ac:dyDescent="0.2">
      <c r="J219">
        <v>100000</v>
      </c>
      <c r="K219">
        <v>557.54706999999996</v>
      </c>
      <c r="L219">
        <v>-14725.542144999999</v>
      </c>
      <c r="M219">
        <v>62997.485154000002</v>
      </c>
      <c r="N219">
        <v>-0.74415900000000001</v>
      </c>
      <c r="O219">
        <v>24.135003999999999</v>
      </c>
      <c r="P219">
        <v>191.369607</v>
      </c>
      <c r="Q219">
        <v>13.639671</v>
      </c>
      <c r="R219">
        <v>2497</v>
      </c>
      <c r="S219">
        <v>671</v>
      </c>
      <c r="T219">
        <f>S219/(S219+R219)</f>
        <v>0.21180555555555555</v>
      </c>
      <c r="U219">
        <f t="shared" ref="U219:U222" si="38">-4.1148-2.5513*T219</f>
        <v>-4.6551795138888883</v>
      </c>
      <c r="V219">
        <f>L219-(SUM(R219:S219)*U219)</f>
        <v>22.066554999999425</v>
      </c>
      <c r="W219">
        <f>V219/(2*O219*Q219)</f>
        <v>3.351608408415966E-2</v>
      </c>
      <c r="X219">
        <f>W219*16.02</f>
        <v>0.53692766702823769</v>
      </c>
    </row>
    <row r="220" spans="9:26" x14ac:dyDescent="0.2">
      <c r="J220">
        <v>100000</v>
      </c>
      <c r="K220">
        <v>557.86602300000004</v>
      </c>
      <c r="L220">
        <v>-14829.802828</v>
      </c>
      <c r="M220">
        <v>62736.528887</v>
      </c>
      <c r="N220">
        <v>-0.76975199999999999</v>
      </c>
      <c r="O220">
        <v>24.091421</v>
      </c>
      <c r="P220">
        <v>191.32071999999999</v>
      </c>
      <c r="Q220">
        <v>13.611217</v>
      </c>
      <c r="R220">
        <v>2456</v>
      </c>
      <c r="S220">
        <v>712</v>
      </c>
      <c r="T220">
        <f>S220/(S220+R220)</f>
        <v>0.22474747474747475</v>
      </c>
      <c r="U220">
        <f t="shared" si="38"/>
        <v>-4.6881982323232325</v>
      </c>
      <c r="V220">
        <f>L220-(SUM(R220:S220)*U220)</f>
        <v>22.40917200000149</v>
      </c>
      <c r="W220">
        <f>V220/(2*O220*Q220)</f>
        <v>3.416932813574465E-2</v>
      </c>
      <c r="X220">
        <f>W220*16.02</f>
        <v>0.54739263673462923</v>
      </c>
    </row>
    <row r="221" spans="9:26" x14ac:dyDescent="0.2">
      <c r="J221">
        <v>100000</v>
      </c>
      <c r="K221">
        <v>557.70365300000003</v>
      </c>
      <c r="L221">
        <v>-14741.593644</v>
      </c>
      <c r="M221">
        <v>62963.143521999998</v>
      </c>
      <c r="N221">
        <v>-0.80274000000000001</v>
      </c>
      <c r="O221">
        <v>24.164080999999999</v>
      </c>
      <c r="P221">
        <v>191.31266299999999</v>
      </c>
      <c r="Q221">
        <v>13.619891000000001</v>
      </c>
      <c r="R221">
        <v>2490</v>
      </c>
      <c r="S221">
        <v>678</v>
      </c>
      <c r="T221">
        <f>S221/(S221+R221)</f>
        <v>0.21401515151515152</v>
      </c>
      <c r="U221">
        <f t="shared" si="38"/>
        <v>-4.660816856060606</v>
      </c>
      <c r="V221">
        <f>L221-(SUM(R221:S221)*U221)</f>
        <v>23.874155999999857</v>
      </c>
      <c r="W221">
        <f>V221/(2*O221*Q221)</f>
        <v>3.6270547970087524E-2</v>
      </c>
      <c r="X221">
        <f>W221*16.02</f>
        <v>0.5810541784808021</v>
      </c>
    </row>
    <row r="222" spans="9:26" x14ac:dyDescent="0.2">
      <c r="J222">
        <v>100000</v>
      </c>
      <c r="K222">
        <v>557.78670299999999</v>
      </c>
      <c r="L222">
        <v>-14842.742765999999</v>
      </c>
      <c r="M222">
        <v>62668.334991000003</v>
      </c>
      <c r="N222">
        <v>-0.867448</v>
      </c>
      <c r="O222">
        <v>24.061540999999998</v>
      </c>
      <c r="P222">
        <v>191.24234000000001</v>
      </c>
      <c r="Q222">
        <v>13.61889</v>
      </c>
      <c r="R222">
        <v>2452</v>
      </c>
      <c r="S222">
        <v>716</v>
      </c>
      <c r="T222">
        <f>S222/(S222+R222)</f>
        <v>0.22601010101010102</v>
      </c>
      <c r="U222">
        <f t="shared" si="38"/>
        <v>-4.6914195707070707</v>
      </c>
      <c r="V222">
        <f>L222-(SUM(R222:S222)*U222)</f>
        <v>19.674434000000474</v>
      </c>
      <c r="W222">
        <f>V222/(2*O222*Q222)</f>
        <v>3.0019752105588385E-2</v>
      </c>
      <c r="X222">
        <f>W222*16.02</f>
        <v>0.4809164287315259</v>
      </c>
      <c r="Y222" s="1">
        <f>AVERAGE(X218:X222)</f>
        <v>0.52198250286918912</v>
      </c>
      <c r="Z222" s="1">
        <f>STDEV(X218:X222)</f>
        <v>4.8607902468917018E-2</v>
      </c>
    </row>
    <row r="223" spans="9:26" x14ac:dyDescent="0.2">
      <c r="Y223" s="1"/>
    </row>
    <row r="224" spans="9:26" x14ac:dyDescent="0.2">
      <c r="I224" t="s">
        <v>28</v>
      </c>
      <c r="J224">
        <v>100000</v>
      </c>
      <c r="K224">
        <v>557.98311899999999</v>
      </c>
      <c r="L224">
        <v>-11572.524755</v>
      </c>
      <c r="M224">
        <v>48946.340736999999</v>
      </c>
      <c r="N224">
        <v>-0.89788400000000002</v>
      </c>
      <c r="O224">
        <v>34.832016000000003</v>
      </c>
      <c r="P224">
        <v>138.10796199999999</v>
      </c>
      <c r="Q224">
        <v>10.174756</v>
      </c>
      <c r="R224">
        <v>1912</v>
      </c>
      <c r="S224">
        <v>560</v>
      </c>
      <c r="T224">
        <f>S224/(S224+R224)</f>
        <v>0.22653721682847897</v>
      </c>
      <c r="U224">
        <f>-4.1148-2.5513*T224</f>
        <v>-4.6927644012944985</v>
      </c>
      <c r="V224">
        <f>L224-(SUM(R224:S224)*U224)</f>
        <v>27.988844999999856</v>
      </c>
      <c r="W224">
        <f>V224/(2*O224*Q224)</f>
        <v>3.9486838814814317E-2</v>
      </c>
      <c r="X224">
        <f>W224*16.02</f>
        <v>0.6325791578133253</v>
      </c>
      <c r="Z224" s="10"/>
    </row>
    <row r="225" spans="9:26" x14ac:dyDescent="0.2">
      <c r="J225">
        <v>100000</v>
      </c>
      <c r="K225">
        <v>557.783546</v>
      </c>
      <c r="L225">
        <v>-11505.485409999999</v>
      </c>
      <c r="M225">
        <v>49098.014197999997</v>
      </c>
      <c r="N225">
        <v>-1.0062180000000001</v>
      </c>
      <c r="O225">
        <v>34.797604</v>
      </c>
      <c r="P225">
        <v>138.320527</v>
      </c>
      <c r="Q225">
        <v>10.200689000000001</v>
      </c>
      <c r="R225">
        <v>1940</v>
      </c>
      <c r="S225">
        <v>532</v>
      </c>
      <c r="T225">
        <f>S225/(S225+R225)</f>
        <v>0.21521035598705501</v>
      </c>
      <c r="U225">
        <f t="shared" ref="U225:U228" si="39">-4.1148-2.5513*T225</f>
        <v>-4.663866181229773</v>
      </c>
      <c r="V225">
        <f>L225-(SUM(R225:S225)*U225)</f>
        <v>23.591790000000401</v>
      </c>
      <c r="W225">
        <f>V225/(2*O225*Q225)</f>
        <v>3.3231661054450912E-2</v>
      </c>
      <c r="X225">
        <f>W225*16.02</f>
        <v>0.53237121009230359</v>
      </c>
      <c r="Z225" s="10"/>
    </row>
    <row r="226" spans="9:26" x14ac:dyDescent="0.2">
      <c r="J226">
        <v>100000</v>
      </c>
      <c r="K226">
        <v>557.89092800000003</v>
      </c>
      <c r="L226">
        <v>-11526.025833</v>
      </c>
      <c r="M226">
        <v>49062.054855000002</v>
      </c>
      <c r="N226">
        <v>-0.98082199999999997</v>
      </c>
      <c r="O226">
        <v>34.804839999999999</v>
      </c>
      <c r="P226">
        <v>138.03440800000001</v>
      </c>
      <c r="Q226">
        <v>10.212218</v>
      </c>
      <c r="R226">
        <v>1932</v>
      </c>
      <c r="S226">
        <v>540</v>
      </c>
      <c r="T226">
        <f>S226/(S226+R226)</f>
        <v>0.21844660194174756</v>
      </c>
      <c r="U226">
        <f t="shared" si="39"/>
        <v>-4.6721228155339807</v>
      </c>
      <c r="V226">
        <f>L226-(SUM(R226:S226)*U226)</f>
        <v>23.461767000000691</v>
      </c>
      <c r="W226">
        <f>V226/(2*O226*Q226)</f>
        <v>3.3004336249995624E-2</v>
      </c>
      <c r="X226">
        <f>W226*16.02</f>
        <v>0.52872946672492993</v>
      </c>
      <c r="Z226" s="10"/>
    </row>
    <row r="227" spans="9:26" x14ac:dyDescent="0.2">
      <c r="J227">
        <v>100000</v>
      </c>
      <c r="K227">
        <v>557.87573999999995</v>
      </c>
      <c r="L227">
        <v>-11717.679854</v>
      </c>
      <c r="M227">
        <v>48578.382180000001</v>
      </c>
      <c r="N227">
        <v>-0.99868999999999997</v>
      </c>
      <c r="O227">
        <v>34.639395999999998</v>
      </c>
      <c r="P227">
        <v>137.529326</v>
      </c>
      <c r="Q227">
        <v>10.197148</v>
      </c>
      <c r="R227">
        <v>1855</v>
      </c>
      <c r="S227">
        <v>617</v>
      </c>
      <c r="T227">
        <f>S227/(S227+R227)</f>
        <v>0.24959546925566342</v>
      </c>
      <c r="U227">
        <f t="shared" si="39"/>
        <v>-4.7515929207119738</v>
      </c>
      <c r="V227">
        <f>L227-(SUM(R227:S227)*U227)</f>
        <v>28.257845999998608</v>
      </c>
      <c r="W227">
        <f>V227/(2*O227*Q227)</f>
        <v>4.0000003098028265E-2</v>
      </c>
      <c r="X227">
        <f>W227*16.02</f>
        <v>0.64080004963041282</v>
      </c>
      <c r="Z227" s="10"/>
    </row>
    <row r="228" spans="9:26" x14ac:dyDescent="0.2">
      <c r="J228">
        <v>100000</v>
      </c>
      <c r="K228">
        <v>557.891572</v>
      </c>
      <c r="L228">
        <v>-11601.227061</v>
      </c>
      <c r="M228">
        <v>48874.666570000001</v>
      </c>
      <c r="N228">
        <v>-0.86603399999999997</v>
      </c>
      <c r="O228">
        <v>34.70234</v>
      </c>
      <c r="P228">
        <v>138.331817</v>
      </c>
      <c r="Q228">
        <v>10.181331999999999</v>
      </c>
      <c r="R228">
        <v>1902</v>
      </c>
      <c r="S228">
        <v>570</v>
      </c>
      <c r="T228">
        <f>S228/(S228+R228)</f>
        <v>0.23058252427184467</v>
      </c>
      <c r="U228">
        <f t="shared" si="39"/>
        <v>-4.7030851941747569</v>
      </c>
      <c r="V228">
        <f>L228-(SUM(R228:S228)*U228)</f>
        <v>24.799538999999641</v>
      </c>
      <c r="W228">
        <f>V228/(2*O228*Q228)</f>
        <v>3.509540448392609E-2</v>
      </c>
      <c r="X228">
        <f>W228*16.02</f>
        <v>0.56222837983249596</v>
      </c>
      <c r="Y228" s="1">
        <f>AVERAGE(X224:X228)</f>
        <v>0.57934165281869343</v>
      </c>
      <c r="Z228" s="1">
        <f>STDEV(X224:X228)</f>
        <v>5.4018622853889808E-2</v>
      </c>
    </row>
    <row r="229" spans="9:26" x14ac:dyDescent="0.2">
      <c r="Y229" s="1"/>
      <c r="Z229" s="10"/>
    </row>
    <row r="230" spans="9:26" x14ac:dyDescent="0.2">
      <c r="I230" t="s">
        <v>134</v>
      </c>
      <c r="J230">
        <v>100000</v>
      </c>
      <c r="K230">
        <v>557.85947199999998</v>
      </c>
      <c r="L230">
        <v>-15163.614269</v>
      </c>
      <c r="M230">
        <v>63932.498168999999</v>
      </c>
      <c r="N230">
        <v>-0.79453099999999999</v>
      </c>
      <c r="O230">
        <v>28.058831000000001</v>
      </c>
      <c r="P230">
        <v>167.34345300000001</v>
      </c>
      <c r="Q230">
        <v>13.615831999999999</v>
      </c>
      <c r="R230">
        <v>2492</v>
      </c>
      <c r="S230">
        <v>740</v>
      </c>
      <c r="T230">
        <f>S230/(S230+R230)</f>
        <v>0.22896039603960397</v>
      </c>
      <c r="U230">
        <f>-4.1148-2.5513*T230</f>
        <v>-4.6989466584158412</v>
      </c>
      <c r="V230">
        <f>L230-(SUM(R230:S230)*U230)</f>
        <v>23.381330999998681</v>
      </c>
      <c r="W230">
        <f>V230/(2*O230*Q230)</f>
        <v>3.0600285391541939E-2</v>
      </c>
      <c r="X230">
        <f>W230*16.02</f>
        <v>0.49021657197250185</v>
      </c>
    </row>
    <row r="231" spans="9:26" x14ac:dyDescent="0.2">
      <c r="J231">
        <v>100000</v>
      </c>
      <c r="K231">
        <v>557.71483599999999</v>
      </c>
      <c r="L231">
        <v>-14937.353445000001</v>
      </c>
      <c r="M231">
        <v>64505.643322000004</v>
      </c>
      <c r="N231">
        <v>-0.74826999999999999</v>
      </c>
      <c r="O231">
        <v>28.162125</v>
      </c>
      <c r="P231">
        <v>168.05634499999999</v>
      </c>
      <c r="Q231">
        <v>13.62946</v>
      </c>
      <c r="R231">
        <v>2578</v>
      </c>
      <c r="S231">
        <v>654</v>
      </c>
      <c r="T231">
        <f>S231/(S231+R231)</f>
        <v>0.20235148514851486</v>
      </c>
      <c r="U231">
        <f t="shared" ref="U231:U234" si="40">-4.1148-2.5513*T231</f>
        <v>-4.6310593440594054</v>
      </c>
      <c r="V231">
        <f>L231-(SUM(R231:S231)*U231)</f>
        <v>30.230354999997871</v>
      </c>
      <c r="W231">
        <f>V231/(2*O231*Q231)</f>
        <v>3.9379407757191634E-2</v>
      </c>
      <c r="X231">
        <f>W231*16.02</f>
        <v>0.63085811227020994</v>
      </c>
    </row>
    <row r="232" spans="9:26" x14ac:dyDescent="0.2">
      <c r="J232">
        <v>100000</v>
      </c>
      <c r="K232">
        <v>557.767201</v>
      </c>
      <c r="L232">
        <v>-15183.496126</v>
      </c>
      <c r="M232">
        <v>63866.695602</v>
      </c>
      <c r="N232">
        <v>-0.83118300000000001</v>
      </c>
      <c r="O232">
        <v>28.068034000000001</v>
      </c>
      <c r="P232">
        <v>167.25990100000001</v>
      </c>
      <c r="Q232">
        <v>13.604158</v>
      </c>
      <c r="R232">
        <v>2483</v>
      </c>
      <c r="S232">
        <v>749</v>
      </c>
      <c r="T232">
        <f>S232/(S232+R232)</f>
        <v>0.23174504950495051</v>
      </c>
      <c r="U232">
        <f t="shared" si="40"/>
        <v>-4.7060511448019797</v>
      </c>
      <c r="V232">
        <f>L232-(SUM(R232:S232)*U232)</f>
        <v>26.461173999998209</v>
      </c>
      <c r="W232">
        <f>V232/(2*O232*Q232)</f>
        <v>3.4649378707009397E-2</v>
      </c>
      <c r="X232">
        <f>W232*16.02</f>
        <v>0.55508304688629051</v>
      </c>
    </row>
    <row r="233" spans="9:26" x14ac:dyDescent="0.2">
      <c r="J233">
        <v>100000</v>
      </c>
      <c r="K233">
        <v>557.84222199999999</v>
      </c>
      <c r="L233">
        <v>-15083.229877</v>
      </c>
      <c r="M233">
        <v>64130.722966000001</v>
      </c>
      <c r="N233">
        <v>-0.92269299999999999</v>
      </c>
      <c r="O233">
        <v>28.133427000000001</v>
      </c>
      <c r="P233">
        <v>167.39535900000001</v>
      </c>
      <c r="Q233">
        <v>13.617613</v>
      </c>
      <c r="R233">
        <v>2521</v>
      </c>
      <c r="S233">
        <v>711</v>
      </c>
      <c r="T233">
        <f>S233/(S233+R233)</f>
        <v>0.21998762376237624</v>
      </c>
      <c r="U233">
        <f t="shared" si="40"/>
        <v>-4.67605442450495</v>
      </c>
      <c r="V233">
        <f>L233-(SUM(R233:S233)*U233)</f>
        <v>29.778022999998939</v>
      </c>
      <c r="W233">
        <f>V233/(2*O233*Q233)</f>
        <v>3.8863529502769945E-2</v>
      </c>
      <c r="X233">
        <f>W233*16.02</f>
        <v>0.6225937426343745</v>
      </c>
    </row>
    <row r="234" spans="9:26" x14ac:dyDescent="0.2">
      <c r="J234">
        <v>100000</v>
      </c>
      <c r="K234">
        <v>558.03433399999994</v>
      </c>
      <c r="L234">
        <v>-15071.533186000001</v>
      </c>
      <c r="M234">
        <v>64127.780199000001</v>
      </c>
      <c r="N234">
        <v>-0.90623399999999998</v>
      </c>
      <c r="O234">
        <v>28.137734999999999</v>
      </c>
      <c r="P234">
        <v>167.60826700000001</v>
      </c>
      <c r="Q234">
        <v>13.597619999999999</v>
      </c>
      <c r="R234">
        <v>2524</v>
      </c>
      <c r="S234">
        <v>708</v>
      </c>
      <c r="T234">
        <f>S234/(S234+R234)</f>
        <v>0.21905940594059406</v>
      </c>
      <c r="U234">
        <f t="shared" si="40"/>
        <v>-4.6736862623762372</v>
      </c>
      <c r="V234">
        <f>L234-(SUM(R234:S234)*U234)</f>
        <v>33.820813999998791</v>
      </c>
      <c r="W234">
        <f>V234/(2*O234*Q234)</f>
        <v>4.4197939693681222E-2</v>
      </c>
      <c r="X234">
        <f>W234*16.02</f>
        <v>0.70805099389277315</v>
      </c>
      <c r="Y234" s="1">
        <f>AVERAGE(X230:X234)</f>
        <v>0.60136049353123</v>
      </c>
      <c r="Z234" s="1">
        <f>STDEV(X230:X234)</f>
        <v>8.2459681986973413E-2</v>
      </c>
    </row>
    <row r="235" spans="9:26" x14ac:dyDescent="0.2">
      <c r="Y235" s="1"/>
      <c r="Z235" s="10"/>
    </row>
    <row r="236" spans="9:26" x14ac:dyDescent="0.2">
      <c r="I236" t="s">
        <v>27</v>
      </c>
      <c r="J236">
        <v>100000</v>
      </c>
      <c r="K236">
        <v>557.79272700000001</v>
      </c>
      <c r="L236">
        <v>-13419.412979000001</v>
      </c>
      <c r="M236">
        <v>57192.996958999996</v>
      </c>
      <c r="N236">
        <v>-0.85831400000000002</v>
      </c>
      <c r="O236">
        <v>32.346209000000002</v>
      </c>
      <c r="P236">
        <v>130.18200100000001</v>
      </c>
      <c r="Q236">
        <v>13.582178000000001</v>
      </c>
      <c r="R236">
        <v>2254</v>
      </c>
      <c r="S236">
        <v>626</v>
      </c>
      <c r="T236">
        <f>S236/(S236+R236)</f>
        <v>0.21736111111111112</v>
      </c>
      <c r="U236">
        <f>-4.1148-2.5513*T236</f>
        <v>-4.6693534027777774</v>
      </c>
      <c r="V236">
        <f>L236-(SUM(R236:S236)*U236)</f>
        <v>28.324820999998337</v>
      </c>
      <c r="W236">
        <f>V236/(2*O236*Q236)</f>
        <v>3.2236239388604031E-2</v>
      </c>
      <c r="X236">
        <f>W236*16.02</f>
        <v>0.5164245550054366</v>
      </c>
    </row>
    <row r="237" spans="9:26" x14ac:dyDescent="0.2">
      <c r="J237">
        <v>100000</v>
      </c>
      <c r="K237">
        <v>557.64953300000002</v>
      </c>
      <c r="L237">
        <v>-13371.834108999999</v>
      </c>
      <c r="M237">
        <v>57333.966234</v>
      </c>
      <c r="N237">
        <v>-0.68777999999999995</v>
      </c>
      <c r="O237">
        <v>32.309269999999998</v>
      </c>
      <c r="P237">
        <v>130.116849</v>
      </c>
      <c r="Q237">
        <v>13.638054</v>
      </c>
      <c r="R237">
        <v>2272</v>
      </c>
      <c r="S237">
        <v>608</v>
      </c>
      <c r="T237">
        <f>S237/(S237+R237)</f>
        <v>0.21111111111111111</v>
      </c>
      <c r="U237">
        <f t="shared" ref="U237:U240" si="41">-4.1148-2.5513*T237</f>
        <v>-4.6534077777777778</v>
      </c>
      <c r="V237">
        <f>L237-(SUM(R237:S237)*U237)</f>
        <v>29.980290999999852</v>
      </c>
      <c r="W237">
        <f>V237/(2*O237*Q237)</f>
        <v>3.4019372370143297E-2</v>
      </c>
      <c r="X237">
        <f>W237*16.02</f>
        <v>0.54499034536969559</v>
      </c>
    </row>
    <row r="238" spans="9:26" x14ac:dyDescent="0.2">
      <c r="J238">
        <v>100000</v>
      </c>
      <c r="K238">
        <v>557.56536300000005</v>
      </c>
      <c r="L238">
        <v>-13355.985651000001</v>
      </c>
      <c r="M238">
        <v>57371.144740000003</v>
      </c>
      <c r="N238">
        <v>-0.80652199999999996</v>
      </c>
      <c r="O238">
        <v>32.401141000000003</v>
      </c>
      <c r="P238">
        <v>130.14325099999999</v>
      </c>
      <c r="Q238">
        <v>13.605439000000001</v>
      </c>
      <c r="R238">
        <v>2278</v>
      </c>
      <c r="S238">
        <v>602</v>
      </c>
      <c r="T238">
        <f>S238/(S238+R238)</f>
        <v>0.20902777777777778</v>
      </c>
      <c r="U238">
        <f t="shared" si="41"/>
        <v>-4.6480925694444446</v>
      </c>
      <c r="V238">
        <f>L238-(SUM(R238:S238)*U238)</f>
        <v>30.520948999999746</v>
      </c>
      <c r="W238">
        <f>V238/(2*O238*Q238)</f>
        <v>3.4617457997980071E-2</v>
      </c>
      <c r="X238">
        <f>W238*16.02</f>
        <v>0.55457167712764077</v>
      </c>
      <c r="Z238" s="10"/>
    </row>
    <row r="239" spans="9:26" x14ac:dyDescent="0.2">
      <c r="J239">
        <v>100000</v>
      </c>
      <c r="K239">
        <v>557.81582500000002</v>
      </c>
      <c r="L239">
        <v>-13446.789282</v>
      </c>
      <c r="M239">
        <v>57130.208831000004</v>
      </c>
      <c r="N239">
        <v>-0.84982500000000005</v>
      </c>
      <c r="O239">
        <v>32.320490999999997</v>
      </c>
      <c r="P239">
        <v>130.088618</v>
      </c>
      <c r="Q239">
        <v>13.587821</v>
      </c>
      <c r="R239">
        <v>2242</v>
      </c>
      <c r="S239">
        <v>638</v>
      </c>
      <c r="T239">
        <f>S239/(S239+R239)</f>
        <v>0.22152777777777777</v>
      </c>
      <c r="U239">
        <f t="shared" si="41"/>
        <v>-4.6799838194444439</v>
      </c>
      <c r="V239">
        <f>L239-(SUM(R239:S239)*U239)</f>
        <v>31.564117999998416</v>
      </c>
      <c r="W239">
        <f>V239/(2*O239*Q239)</f>
        <v>3.5936509819082474E-2</v>
      </c>
      <c r="X239">
        <f>W239*16.02</f>
        <v>0.57570288730170127</v>
      </c>
      <c r="Z239" s="10"/>
    </row>
    <row r="240" spans="9:26" x14ac:dyDescent="0.2">
      <c r="J240">
        <v>100000</v>
      </c>
      <c r="K240">
        <v>557.58009300000003</v>
      </c>
      <c r="L240">
        <v>-13477.650577</v>
      </c>
      <c r="M240">
        <v>57052.764599000002</v>
      </c>
      <c r="N240">
        <v>-0.90978000000000003</v>
      </c>
      <c r="O240">
        <v>32.269376000000001</v>
      </c>
      <c r="P240">
        <v>130.064581</v>
      </c>
      <c r="Q240">
        <v>13.593393000000001</v>
      </c>
      <c r="R240">
        <v>2230</v>
      </c>
      <c r="S240">
        <v>650</v>
      </c>
      <c r="T240">
        <f>S240/(S240+R240)</f>
        <v>0.22569444444444445</v>
      </c>
      <c r="U240">
        <f t="shared" si="41"/>
        <v>-4.6906142361111112</v>
      </c>
      <c r="V240">
        <f>L240-(SUM(R240:S240)*U240)</f>
        <v>31.318423000000621</v>
      </c>
      <c r="W240">
        <f>V240/(2*O240*Q240)</f>
        <v>3.5698621769970393E-2</v>
      </c>
      <c r="X240">
        <f>W240*16.02</f>
        <v>0.57189192075492568</v>
      </c>
      <c r="Y240" s="1">
        <f>AVERAGE(X236:X240)</f>
        <v>0.55271627711187998</v>
      </c>
      <c r="Z240" s="1">
        <f>STDEV(X236:X240)</f>
        <v>2.3855351501804383E-2</v>
      </c>
    </row>
    <row r="241" spans="9:26" x14ac:dyDescent="0.2">
      <c r="Z241" s="10"/>
    </row>
    <row r="242" spans="9:26" x14ac:dyDescent="0.2">
      <c r="I242" t="s">
        <v>172</v>
      </c>
      <c r="J242">
        <v>100000</v>
      </c>
      <c r="K242">
        <v>557.80006000000003</v>
      </c>
      <c r="L242">
        <v>-17147.453372</v>
      </c>
      <c r="M242">
        <v>73094.618795999995</v>
      </c>
      <c r="N242">
        <v>-0.74998200000000004</v>
      </c>
      <c r="O242">
        <v>25.967282000000001</v>
      </c>
      <c r="P242">
        <v>206.58508599999999</v>
      </c>
      <c r="Q242">
        <v>13.625754000000001</v>
      </c>
      <c r="R242">
        <v>2883</v>
      </c>
      <c r="S242">
        <v>797</v>
      </c>
      <c r="T242">
        <f>S242/(S242+R242)</f>
        <v>0.21657608695652175</v>
      </c>
      <c r="U242">
        <f>-4.1148-2.5513*T242</f>
        <v>-4.6673505706521734</v>
      </c>
      <c r="V242">
        <f>L242-(SUM(R242:S242)*U242)</f>
        <v>28.396727999999712</v>
      </c>
      <c r="W242">
        <f>V242/(2*O242*Q242)</f>
        <v>4.0128346756813982E-2</v>
      </c>
      <c r="X242">
        <f>W242*16.02</f>
        <v>0.64285611504415996</v>
      </c>
    </row>
    <row r="243" spans="9:26" x14ac:dyDescent="0.2">
      <c r="J243">
        <v>100000</v>
      </c>
      <c r="K243">
        <v>557.84283600000003</v>
      </c>
      <c r="L243">
        <v>-17151.922965000002</v>
      </c>
      <c r="M243">
        <v>73058.419479999997</v>
      </c>
      <c r="N243">
        <v>-0.78541399999999995</v>
      </c>
      <c r="O243">
        <v>25.961537</v>
      </c>
      <c r="P243">
        <v>206.43708599999999</v>
      </c>
      <c r="Q243">
        <v>13.631793999999999</v>
      </c>
      <c r="R243">
        <v>2883</v>
      </c>
      <c r="S243">
        <v>797</v>
      </c>
      <c r="T243">
        <f>S243/(S243+R243)</f>
        <v>0.21657608695652175</v>
      </c>
      <c r="U243">
        <f t="shared" ref="U243:U246" si="42">-4.1148-2.5513*T243</f>
        <v>-4.6673505706521734</v>
      </c>
      <c r="V243">
        <f>L243-(SUM(R243:S243)*U243)</f>
        <v>23.927134999998088</v>
      </c>
      <c r="W243">
        <f>V243/(2*O243*Q243)</f>
        <v>3.3804715816469801E-2</v>
      </c>
      <c r="X243">
        <f>W243*16.02</f>
        <v>0.54155154737984623</v>
      </c>
    </row>
    <row r="244" spans="9:26" x14ac:dyDescent="0.2">
      <c r="J244">
        <v>100000</v>
      </c>
      <c r="K244">
        <v>557.67036299999995</v>
      </c>
      <c r="L244">
        <v>-17222.652709000002</v>
      </c>
      <c r="M244">
        <v>72886.222269000005</v>
      </c>
      <c r="N244">
        <v>-0.704152</v>
      </c>
      <c r="O244">
        <v>25.957249999999998</v>
      </c>
      <c r="P244">
        <v>206.481022</v>
      </c>
      <c r="Q244">
        <v>13.599019</v>
      </c>
      <c r="R244">
        <v>2853</v>
      </c>
      <c r="S244">
        <v>827</v>
      </c>
      <c r="T244">
        <f>S244/(S244+R244)</f>
        <v>0.22472826086956521</v>
      </c>
      <c r="U244">
        <f t="shared" si="42"/>
        <v>-4.6881492119565218</v>
      </c>
      <c r="V244">
        <f>L244-(SUM(R244:S244)*U244)</f>
        <v>29.736390999998548</v>
      </c>
      <c r="W244">
        <f>V244/(2*O244*Q244)</f>
        <v>4.2120353021882183E-2</v>
      </c>
      <c r="X244">
        <f>W244*16.02</f>
        <v>0.67476805541055251</v>
      </c>
    </row>
    <row r="245" spans="9:26" x14ac:dyDescent="0.2">
      <c r="J245">
        <v>100000</v>
      </c>
      <c r="K245">
        <v>557.675702</v>
      </c>
      <c r="L245">
        <v>-17110.848609000001</v>
      </c>
      <c r="M245">
        <v>73151.058669999999</v>
      </c>
      <c r="N245">
        <v>-0.74746599999999996</v>
      </c>
      <c r="O245">
        <v>26.011693000000001</v>
      </c>
      <c r="P245">
        <v>206.282636</v>
      </c>
      <c r="Q245">
        <v>13.632960000000001</v>
      </c>
      <c r="R245">
        <v>2897</v>
      </c>
      <c r="S245">
        <v>783</v>
      </c>
      <c r="T245">
        <f>S245/(S245+R245)</f>
        <v>0.21277173913043479</v>
      </c>
      <c r="U245">
        <f t="shared" si="42"/>
        <v>-4.6576445380434777</v>
      </c>
      <c r="V245">
        <f>L245-(SUM(R245:S245)*U245)</f>
        <v>29.283290999996098</v>
      </c>
      <c r="W245">
        <f>V245/(2*O245*Q245)</f>
        <v>4.1288690343560454E-2</v>
      </c>
      <c r="X245">
        <f>W245*16.02</f>
        <v>0.66144481930383847</v>
      </c>
    </row>
    <row r="246" spans="9:26" x14ac:dyDescent="0.2">
      <c r="J246">
        <v>100000</v>
      </c>
      <c r="K246">
        <v>557.80025799999999</v>
      </c>
      <c r="L246">
        <v>-17123.076899</v>
      </c>
      <c r="M246">
        <v>73135.700725000002</v>
      </c>
      <c r="N246">
        <v>-0.69654400000000005</v>
      </c>
      <c r="O246">
        <v>25.972787</v>
      </c>
      <c r="P246">
        <v>206.42264800000001</v>
      </c>
      <c r="Q246">
        <v>13.641258000000001</v>
      </c>
      <c r="R246">
        <v>2893</v>
      </c>
      <c r="S246">
        <v>787</v>
      </c>
      <c r="T246">
        <f>S246/(S246+R246)</f>
        <v>0.21385869565217391</v>
      </c>
      <c r="U246">
        <f t="shared" si="42"/>
        <v>-4.6604176902173915</v>
      </c>
      <c r="V246">
        <f>L246-(SUM(R246:S246)*U246)</f>
        <v>27.260201000000961</v>
      </c>
      <c r="W246">
        <f>V246/(2*O246*Q246)</f>
        <v>3.8470345015431992E-2</v>
      </c>
      <c r="X246">
        <f>W246*16.02</f>
        <v>0.61629492714722045</v>
      </c>
      <c r="Y246" s="1">
        <f>AVERAGE(X242:X246)</f>
        <v>0.62738309285712346</v>
      </c>
      <c r="Z246" s="1">
        <f>STDEV(X242:X246)</f>
        <v>5.2761140809665548E-2</v>
      </c>
    </row>
    <row r="248" spans="9:26" x14ac:dyDescent="0.2">
      <c r="I248" t="s">
        <v>17</v>
      </c>
      <c r="J248">
        <v>100000</v>
      </c>
      <c r="K248">
        <v>520.50614599999994</v>
      </c>
      <c r="L248">
        <v>-17606.349407999998</v>
      </c>
      <c r="M248">
        <v>74975.512986000002</v>
      </c>
      <c r="N248">
        <v>-0.54091299999999998</v>
      </c>
      <c r="O248">
        <v>30.557220000000001</v>
      </c>
      <c r="P248">
        <v>90.379649999999998</v>
      </c>
      <c r="Q248">
        <v>27.147857999999999</v>
      </c>
      <c r="R248">
        <v>2941</v>
      </c>
      <c r="S248">
        <v>835</v>
      </c>
      <c r="T248">
        <f>S248/(S248+R248)</f>
        <v>0.22113347457627119</v>
      </c>
      <c r="U248">
        <f>-4.1148-2.5513*T248</f>
        <v>-4.6789778336864405</v>
      </c>
      <c r="V248">
        <f>L248-(SUM(R248:S248)*U248)</f>
        <v>61.470892000001186</v>
      </c>
      <c r="W248">
        <f>V248/(2*O248*Q248)</f>
        <v>3.7050161865260979E-2</v>
      </c>
      <c r="X248">
        <f>W248*16.02</f>
        <v>0.59354359308148086</v>
      </c>
    </row>
    <row r="249" spans="9:26" x14ac:dyDescent="0.2">
      <c r="J249">
        <v>100000</v>
      </c>
      <c r="K249">
        <v>520.52786100000003</v>
      </c>
      <c r="L249">
        <v>-17553.134290999998</v>
      </c>
      <c r="M249">
        <v>75120.834824000005</v>
      </c>
      <c r="N249">
        <v>-0.51498200000000005</v>
      </c>
      <c r="O249">
        <v>30.528870000000001</v>
      </c>
      <c r="P249">
        <v>90.386120000000005</v>
      </c>
      <c r="Q249">
        <v>27.223794999999999</v>
      </c>
      <c r="R249">
        <v>2965</v>
      </c>
      <c r="S249">
        <v>811</v>
      </c>
      <c r="T249">
        <f>S249/(S249+R249)</f>
        <v>0.21477754237288135</v>
      </c>
      <c r="U249">
        <f t="shared" ref="U249:U252" si="43">-4.1148-2.5513*T249</f>
        <v>-4.6627619438559318</v>
      </c>
      <c r="V249">
        <f>L249-(SUM(R249:S249)*U249)</f>
        <v>53.454808999998932</v>
      </c>
      <c r="W249">
        <f>V249/(2*O249*Q249)</f>
        <v>3.2158619051411111E-2</v>
      </c>
      <c r="X249">
        <f>W249*16.02</f>
        <v>0.51518107720360595</v>
      </c>
    </row>
    <row r="250" spans="9:26" x14ac:dyDescent="0.2">
      <c r="J250">
        <v>100000</v>
      </c>
      <c r="K250">
        <v>520.51623099999995</v>
      </c>
      <c r="L250">
        <v>-17646.794869000001</v>
      </c>
      <c r="M250">
        <v>74882.916150000005</v>
      </c>
      <c r="N250">
        <v>-0.60904800000000003</v>
      </c>
      <c r="O250">
        <v>30.507293000000001</v>
      </c>
      <c r="P250">
        <v>90.433856000000006</v>
      </c>
      <c r="Q250">
        <v>27.142433</v>
      </c>
      <c r="R250">
        <v>2927</v>
      </c>
      <c r="S250">
        <v>849</v>
      </c>
      <c r="T250">
        <f>S250/(S250+R250)</f>
        <v>0.22484110169491525</v>
      </c>
      <c r="U250">
        <f t="shared" si="43"/>
        <v>-4.6884371027542375</v>
      </c>
      <c r="V250">
        <f>L250-(SUM(R250:S250)*U250)</f>
        <v>56.743631000001187</v>
      </c>
      <c r="W250">
        <f>V250/(2*O250*Q250)</f>
        <v>3.4263733175149427E-2</v>
      </c>
      <c r="X250">
        <f>W250*16.02</f>
        <v>0.54890500546589382</v>
      </c>
    </row>
    <row r="251" spans="9:26" x14ac:dyDescent="0.2">
      <c r="J251">
        <v>100000</v>
      </c>
      <c r="K251">
        <v>520.49388299999998</v>
      </c>
      <c r="L251">
        <v>-17618.155159999998</v>
      </c>
      <c r="M251">
        <v>74964.723379000003</v>
      </c>
      <c r="N251">
        <v>-0.49595</v>
      </c>
      <c r="O251">
        <v>30.506291999999998</v>
      </c>
      <c r="P251">
        <v>90.327399999999997</v>
      </c>
      <c r="Q251">
        <v>27.204999000000001</v>
      </c>
      <c r="R251">
        <v>2938</v>
      </c>
      <c r="S251">
        <v>838</v>
      </c>
      <c r="T251">
        <f>S251/(S251+R251)</f>
        <v>0.22192796610169491</v>
      </c>
      <c r="U251">
        <f t="shared" si="43"/>
        <v>-4.6810048199152536</v>
      </c>
      <c r="V251">
        <f>L251-(SUM(R251:S251)*U251)</f>
        <v>57.319039999998495</v>
      </c>
      <c r="W251">
        <f>V251/(2*O251*Q251)</f>
        <v>3.4532719039292087E-2</v>
      </c>
      <c r="X251">
        <f>W251*16.02</f>
        <v>0.55321415900945925</v>
      </c>
    </row>
    <row r="252" spans="9:26" x14ac:dyDescent="0.2">
      <c r="J252">
        <v>100000</v>
      </c>
      <c r="K252">
        <v>520.48434499999996</v>
      </c>
      <c r="L252">
        <v>-17687.210573</v>
      </c>
      <c r="M252">
        <v>74789.570903999993</v>
      </c>
      <c r="N252">
        <v>-0.55991100000000005</v>
      </c>
      <c r="O252">
        <v>30.495228999999998</v>
      </c>
      <c r="P252">
        <v>90.356048000000001</v>
      </c>
      <c r="Q252">
        <v>27.142668</v>
      </c>
      <c r="R252">
        <v>2913</v>
      </c>
      <c r="S252">
        <v>863</v>
      </c>
      <c r="T252">
        <f>S252/(S252+R252)</f>
        <v>0.22854872881355931</v>
      </c>
      <c r="U252">
        <f t="shared" si="43"/>
        <v>-4.6978963718220337</v>
      </c>
      <c r="V252">
        <f>L252-(SUM(R252:S252)*U252)</f>
        <v>52.046126999997796</v>
      </c>
      <c r="W252">
        <f>V252/(2*O252*Q252)</f>
        <v>3.143938108214666E-2</v>
      </c>
      <c r="X252">
        <f>W252*16.02</f>
        <v>0.50365888493598943</v>
      </c>
      <c r="Y252" s="1">
        <f>AVERAGE(X248:X252)</f>
        <v>0.54290054393928588</v>
      </c>
      <c r="Z252" s="1">
        <f>STDEV(X248:X252)</f>
        <v>3.5409812474441534E-2</v>
      </c>
    </row>
    <row r="254" spans="9:26" x14ac:dyDescent="0.2">
      <c r="I254" t="s">
        <v>173</v>
      </c>
      <c r="J254">
        <v>100000</v>
      </c>
      <c r="K254">
        <v>557.80722000000003</v>
      </c>
      <c r="L254">
        <v>-30322.063537999999</v>
      </c>
      <c r="M254">
        <v>128570.21496100001</v>
      </c>
      <c r="N254">
        <v>-0.38310300000000003</v>
      </c>
      <c r="O254">
        <v>39.79654</v>
      </c>
      <c r="P254">
        <v>237.47263100000001</v>
      </c>
      <c r="Q254">
        <v>13.604478</v>
      </c>
      <c r="R254">
        <v>5050</v>
      </c>
      <c r="S254">
        <v>1438</v>
      </c>
      <c r="T254">
        <f>S254/(S254+R254)</f>
        <v>0.2216399506781751</v>
      </c>
      <c r="U254">
        <f>-4.1148-2.5513*T254</f>
        <v>-4.6802700061652276</v>
      </c>
      <c r="V254">
        <f>L254-(SUM(R254:S254)*U254)</f>
        <v>43.528261999999813</v>
      </c>
      <c r="W254">
        <f>V254/(2*O254*Q254)</f>
        <v>4.0198896685406438E-2</v>
      </c>
      <c r="X254">
        <f>W254*16.02</f>
        <v>0.64398632490021113</v>
      </c>
    </row>
    <row r="255" spans="9:26" x14ac:dyDescent="0.2">
      <c r="J255">
        <v>100000</v>
      </c>
      <c r="K255">
        <v>557.71118799999999</v>
      </c>
      <c r="L255">
        <v>-30209.475588000001</v>
      </c>
      <c r="M255">
        <v>128875.51839</v>
      </c>
      <c r="N255">
        <v>-0.40109800000000001</v>
      </c>
      <c r="O255">
        <v>39.789847999999999</v>
      </c>
      <c r="P255">
        <v>237.86689699999999</v>
      </c>
      <c r="Q255">
        <v>13.61647</v>
      </c>
      <c r="R255">
        <v>5094</v>
      </c>
      <c r="S255">
        <v>1394</v>
      </c>
      <c r="T255">
        <f>S255/(S255+R255)</f>
        <v>0.21485819975339088</v>
      </c>
      <c r="U255">
        <f t="shared" ref="U255:U258" si="44">-4.1148-2.5513*T255</f>
        <v>-4.6629677250308257</v>
      </c>
      <c r="V255">
        <f>L255-(SUM(R255:S255)*U255)</f>
        <v>43.859011999997165</v>
      </c>
      <c r="W255">
        <f>V255/(2*O255*Q255)</f>
        <v>4.0475482527582776E-2</v>
      </c>
      <c r="X255">
        <f>W255*16.02</f>
        <v>0.64841723009187602</v>
      </c>
    </row>
    <row r="256" spans="9:26" x14ac:dyDescent="0.2">
      <c r="J256">
        <v>100000</v>
      </c>
      <c r="K256">
        <v>557.82464700000003</v>
      </c>
      <c r="L256">
        <v>-30309.55143</v>
      </c>
      <c r="M256">
        <v>128574.730094</v>
      </c>
      <c r="N256">
        <v>-0.458395</v>
      </c>
      <c r="O256">
        <v>39.756264999999999</v>
      </c>
      <c r="P256">
        <v>237.619077</v>
      </c>
      <c r="Q256">
        <v>13.610346</v>
      </c>
      <c r="R256">
        <v>5055</v>
      </c>
      <c r="S256">
        <v>1433</v>
      </c>
      <c r="T256">
        <f>S256/(S256+R256)</f>
        <v>0.22086929716399506</v>
      </c>
      <c r="U256">
        <f t="shared" si="44"/>
        <v>-4.6783038378545001</v>
      </c>
      <c r="V256">
        <f>L256-(SUM(R256:S256)*U256)</f>
        <v>43.283869999995659</v>
      </c>
      <c r="W256">
        <f>V256/(2*O256*Q256)</f>
        <v>3.9996440759401813E-2</v>
      </c>
      <c r="X256">
        <f>W256*16.02</f>
        <v>0.64074298096561699</v>
      </c>
    </row>
    <row r="257" spans="9:26" x14ac:dyDescent="0.2">
      <c r="J257">
        <v>100000</v>
      </c>
      <c r="K257">
        <v>557.81822099999999</v>
      </c>
      <c r="L257">
        <v>-30165.849725</v>
      </c>
      <c r="M257">
        <v>128988.35855400001</v>
      </c>
      <c r="N257">
        <v>-0.44988699999999998</v>
      </c>
      <c r="O257">
        <v>39.782103999999997</v>
      </c>
      <c r="P257">
        <v>237.93605500000001</v>
      </c>
      <c r="Q257">
        <v>13.627084</v>
      </c>
      <c r="R257">
        <v>5113</v>
      </c>
      <c r="S257">
        <v>1375</v>
      </c>
      <c r="T257">
        <f>S257/(S257+R257)</f>
        <v>0.21192971639950678</v>
      </c>
      <c r="U257">
        <f t="shared" si="44"/>
        <v>-4.6554962854500612</v>
      </c>
      <c r="V257">
        <f>L257-(SUM(R257:S257)*U257)</f>
        <v>39.010174999995797</v>
      </c>
      <c r="W257">
        <f>V257/(2*O257*Q257)</f>
        <v>3.5979673789847302E-2</v>
      </c>
      <c r="X257">
        <f>W257*16.02</f>
        <v>0.57639437411335381</v>
      </c>
    </row>
    <row r="258" spans="9:26" x14ac:dyDescent="0.2">
      <c r="J258">
        <v>100000</v>
      </c>
      <c r="K258">
        <v>557.82415900000001</v>
      </c>
      <c r="L258">
        <v>-30216.233439</v>
      </c>
      <c r="M258">
        <v>128846.671302</v>
      </c>
      <c r="N258">
        <v>-0.30165199999999998</v>
      </c>
      <c r="O258">
        <v>39.783835000000003</v>
      </c>
      <c r="P258">
        <v>237.70985300000001</v>
      </c>
      <c r="Q258">
        <v>13.624476</v>
      </c>
      <c r="R258">
        <v>5093</v>
      </c>
      <c r="S258">
        <v>1395</v>
      </c>
      <c r="T258">
        <f>S258/(S258+R258)</f>
        <v>0.21501233045622689</v>
      </c>
      <c r="U258">
        <f t="shared" si="44"/>
        <v>-4.6633609586929712</v>
      </c>
      <c r="V258">
        <f>L258-(SUM(R258:S258)*U258)</f>
        <v>39.652460999997857</v>
      </c>
      <c r="W258">
        <f>V258/(2*O258*Q258)</f>
        <v>3.6577472943649839E-2</v>
      </c>
      <c r="X258">
        <f>W258*16.02</f>
        <v>0.58597111655727041</v>
      </c>
      <c r="Y258" s="1">
        <f>AVERAGE(X254:X258)</f>
        <v>0.61910240532566563</v>
      </c>
      <c r="Z258" s="1">
        <f>STDEV(X254:X258)</f>
        <v>3.4887466030012547E-2</v>
      </c>
    </row>
    <row r="260" spans="9:26" x14ac:dyDescent="0.2">
      <c r="I260" t="s">
        <v>174</v>
      </c>
      <c r="J260">
        <v>100000</v>
      </c>
      <c r="K260">
        <v>557.78254300000003</v>
      </c>
      <c r="L260">
        <v>-15285.419749999999</v>
      </c>
      <c r="M260">
        <v>65634.583585999993</v>
      </c>
      <c r="N260">
        <v>-0.63689200000000001</v>
      </c>
      <c r="O260">
        <v>24.621110999999999</v>
      </c>
      <c r="P260">
        <v>195.36422099999999</v>
      </c>
      <c r="Q260">
        <v>13.645225999999999</v>
      </c>
      <c r="R260">
        <v>2611</v>
      </c>
      <c r="S260">
        <v>685</v>
      </c>
      <c r="T260">
        <f>S260/(S260+R260)</f>
        <v>0.20782766990291263</v>
      </c>
      <c r="U260">
        <f>-4.1148-2.5513*T260</f>
        <v>-4.645030734223301</v>
      </c>
      <c r="V260">
        <f>L260-(SUM(R260:S260)*U260)</f>
        <v>24.601550000001225</v>
      </c>
      <c r="W260">
        <f>V260/(2*O260*Q260)</f>
        <v>3.6613740190107318E-2</v>
      </c>
      <c r="X260">
        <f>W260*16.02</f>
        <v>0.58655211784551919</v>
      </c>
    </row>
    <row r="261" spans="9:26" x14ac:dyDescent="0.2">
      <c r="J261">
        <v>100000</v>
      </c>
      <c r="K261">
        <v>557.871802</v>
      </c>
      <c r="L261">
        <v>-15384.451738</v>
      </c>
      <c r="M261">
        <v>65355.583925999999</v>
      </c>
      <c r="N261">
        <v>-0.77352100000000001</v>
      </c>
      <c r="O261">
        <v>24.585207</v>
      </c>
      <c r="P261">
        <v>195.28413599999999</v>
      </c>
      <c r="Q261">
        <v>13.612640000000001</v>
      </c>
      <c r="R261">
        <v>2575</v>
      </c>
      <c r="S261">
        <v>721</v>
      </c>
      <c r="T261">
        <f>S261/(S261+R261)</f>
        <v>0.21875</v>
      </c>
      <c r="U261">
        <f t="shared" ref="U261:U264" si="45">-4.1148-2.5513*T261</f>
        <v>-4.6728968749999993</v>
      </c>
      <c r="V261">
        <f>L261-(SUM(R261:S261)*U261)</f>
        <v>17.416361999998117</v>
      </c>
      <c r="W261">
        <f>V261/(2*O261*Q261)</f>
        <v>2.6020235249729236E-2</v>
      </c>
      <c r="X261">
        <f>W261*16.02</f>
        <v>0.41684416870066238</v>
      </c>
    </row>
    <row r="262" spans="9:26" x14ac:dyDescent="0.2">
      <c r="J262">
        <v>100000</v>
      </c>
      <c r="K262">
        <v>557.90410799999995</v>
      </c>
      <c r="L262">
        <v>-15362.779957000001</v>
      </c>
      <c r="M262">
        <v>65407.148943</v>
      </c>
      <c r="N262">
        <v>-0.86304499999999995</v>
      </c>
      <c r="O262">
        <v>24.609514999999998</v>
      </c>
      <c r="P262">
        <v>195.166372</v>
      </c>
      <c r="Q262">
        <v>13.618143999999999</v>
      </c>
      <c r="R262">
        <v>2581</v>
      </c>
      <c r="S262">
        <v>715</v>
      </c>
      <c r="T262">
        <f>S262/(S262+R262)</f>
        <v>0.21692961165048544</v>
      </c>
      <c r="U262">
        <f t="shared" si="45"/>
        <v>-4.6682525182038832</v>
      </c>
      <c r="V262">
        <f>L262-(SUM(R262:S262)*U262)</f>
        <v>23.780342999998538</v>
      </c>
      <c r="W262">
        <f>V262/(2*O262*Q262)</f>
        <v>3.5478654553212627E-2</v>
      </c>
      <c r="X262">
        <f>W262*16.02</f>
        <v>0.56836804594246626</v>
      </c>
    </row>
    <row r="263" spans="9:26" x14ac:dyDescent="0.2">
      <c r="J263">
        <v>100000</v>
      </c>
      <c r="K263">
        <v>557.83257600000002</v>
      </c>
      <c r="L263">
        <v>-15388.036639</v>
      </c>
      <c r="M263">
        <v>65342.006458000003</v>
      </c>
      <c r="N263">
        <v>-0.753</v>
      </c>
      <c r="O263">
        <v>24.60914</v>
      </c>
      <c r="P263">
        <v>195.27769699999999</v>
      </c>
      <c r="Q263">
        <v>13.597035</v>
      </c>
      <c r="R263">
        <v>2570</v>
      </c>
      <c r="S263">
        <v>726</v>
      </c>
      <c r="T263">
        <f>S263/(S263+R263)</f>
        <v>0.22026699029126215</v>
      </c>
      <c r="U263">
        <f t="shared" si="45"/>
        <v>-4.6767671723300968</v>
      </c>
      <c r="V263">
        <f>L263-(SUM(R263:S263)*U263)</f>
        <v>26.587960999999268</v>
      </c>
      <c r="W263">
        <f>V263/(2*O263*Q263)</f>
        <v>3.972961760182965E-2</v>
      </c>
      <c r="X263">
        <f>W263*16.02</f>
        <v>0.63646847398131101</v>
      </c>
    </row>
    <row r="264" spans="9:26" x14ac:dyDescent="0.2">
      <c r="J264">
        <v>100000</v>
      </c>
      <c r="K264">
        <v>557.92933600000003</v>
      </c>
      <c r="L264">
        <v>-15322.226287</v>
      </c>
      <c r="M264">
        <v>65523.481055999997</v>
      </c>
      <c r="N264">
        <v>-0.65626300000000004</v>
      </c>
      <c r="O264">
        <v>24.619264000000001</v>
      </c>
      <c r="P264">
        <v>195.18561399999999</v>
      </c>
      <c r="Q264">
        <v>13.635615</v>
      </c>
      <c r="R264">
        <v>2596</v>
      </c>
      <c r="S264">
        <v>700</v>
      </c>
      <c r="T264">
        <f>S264/(S264+R264)</f>
        <v>0.21237864077669902</v>
      </c>
      <c r="U264">
        <f t="shared" si="45"/>
        <v>-4.6566416262135917</v>
      </c>
      <c r="V264">
        <f>L264-(SUM(R264:S264)*U264)</f>
        <v>26.064512999999351</v>
      </c>
      <c r="W264">
        <f>V264/(2*O264*Q264)</f>
        <v>3.8821277546935977E-2</v>
      </c>
      <c r="X264">
        <f>W264*16.02</f>
        <v>0.62191686630191434</v>
      </c>
      <c r="Y264" s="1">
        <f>AVERAGE(X260:X264)</f>
        <v>0.56602993455437467</v>
      </c>
      <c r="Z264" s="1">
        <f>STDEV(X260:X264)</f>
        <v>8.7703985773183557E-2</v>
      </c>
    </row>
    <row r="266" spans="9:26" x14ac:dyDescent="0.2">
      <c r="I266" t="s">
        <v>175</v>
      </c>
      <c r="J266">
        <v>100000</v>
      </c>
      <c r="K266">
        <v>557.67096000000004</v>
      </c>
      <c r="L266">
        <v>-22133.795994</v>
      </c>
      <c r="M266">
        <v>94365.341891000004</v>
      </c>
      <c r="N266">
        <v>-0.62685400000000002</v>
      </c>
      <c r="O266">
        <v>34.122124999999997</v>
      </c>
      <c r="P266">
        <v>202.86863099999999</v>
      </c>
      <c r="Q266">
        <v>13.632076</v>
      </c>
      <c r="R266">
        <v>3730</v>
      </c>
      <c r="S266">
        <v>1022</v>
      </c>
      <c r="T266">
        <f>S266/(S266+R266)</f>
        <v>0.21506734006734007</v>
      </c>
      <c r="U266">
        <f>-4.1148-2.5513*T266</f>
        <v>-4.6635013047138045</v>
      </c>
      <c r="V266">
        <f>L266-(SUM(R266:S266)*U266)</f>
        <v>27.162206000000879</v>
      </c>
      <c r="W266">
        <f>V266/(2*O266*Q266)</f>
        <v>2.9196915616984332E-2</v>
      </c>
      <c r="X266">
        <f>W266*16.02</f>
        <v>0.46773458818408897</v>
      </c>
    </row>
    <row r="267" spans="9:26" x14ac:dyDescent="0.2">
      <c r="J267">
        <v>100000</v>
      </c>
      <c r="K267">
        <v>557.705196</v>
      </c>
      <c r="L267">
        <v>-22235.267828</v>
      </c>
      <c r="M267">
        <v>94082.623009000003</v>
      </c>
      <c r="N267">
        <v>-0.54352</v>
      </c>
      <c r="O267">
        <v>34.103133</v>
      </c>
      <c r="P267">
        <v>202.928314</v>
      </c>
      <c r="Q267">
        <v>13.594806999999999</v>
      </c>
      <c r="R267">
        <v>3690</v>
      </c>
      <c r="S267">
        <v>1062</v>
      </c>
      <c r="T267">
        <f>S267/(S267+R267)</f>
        <v>0.22348484848484848</v>
      </c>
      <c r="U267">
        <f t="shared" ref="U267:U270" si="46">-4.1148-2.5513*T267</f>
        <v>-4.6849768939393934</v>
      </c>
      <c r="V267">
        <f>L267-(SUM(R267:S267)*U267)</f>
        <v>27.742371999996976</v>
      </c>
      <c r="W267">
        <f>V267/(2*O267*Q267)</f>
        <v>2.9918944630955024E-2</v>
      </c>
      <c r="X267">
        <f>W267*16.02</f>
        <v>0.47930149298789948</v>
      </c>
    </row>
    <row r="268" spans="9:26" x14ac:dyDescent="0.2">
      <c r="J268">
        <v>100000</v>
      </c>
      <c r="K268">
        <v>557.78701899999999</v>
      </c>
      <c r="L268">
        <v>-21988.486099000002</v>
      </c>
      <c r="M268">
        <v>94731.665882000001</v>
      </c>
      <c r="N268">
        <v>-0.56347499999999995</v>
      </c>
      <c r="O268">
        <v>34.182319</v>
      </c>
      <c r="P268">
        <v>203.379762</v>
      </c>
      <c r="Q268">
        <v>13.626564</v>
      </c>
      <c r="R268">
        <v>3784</v>
      </c>
      <c r="S268">
        <v>968</v>
      </c>
      <c r="T268">
        <f>S268/(S268+R268)</f>
        <v>0.20370370370370369</v>
      </c>
      <c r="U268">
        <f t="shared" si="46"/>
        <v>-4.6345092592592589</v>
      </c>
      <c r="V268">
        <f>L268-(SUM(R268:S268)*U268)</f>
        <v>34.701900999996724</v>
      </c>
      <c r="W268">
        <f>V268/(2*O268*Q268)</f>
        <v>3.7250781434156222E-2</v>
      </c>
      <c r="X268">
        <f>W268*16.02</f>
        <v>0.59675751857518267</v>
      </c>
    </row>
    <row r="269" spans="9:26" x14ac:dyDescent="0.2">
      <c r="J269">
        <v>100000</v>
      </c>
      <c r="K269">
        <v>557.97847000000002</v>
      </c>
      <c r="L269">
        <v>-22154.005875999999</v>
      </c>
      <c r="M269">
        <v>94298.729355000003</v>
      </c>
      <c r="N269">
        <v>-0.43660199999999999</v>
      </c>
      <c r="O269">
        <v>34.095351999999998</v>
      </c>
      <c r="P269">
        <v>202.94671700000001</v>
      </c>
      <c r="Q269">
        <v>13.627902000000001</v>
      </c>
      <c r="R269">
        <v>3723</v>
      </c>
      <c r="S269">
        <v>1029</v>
      </c>
      <c r="T269">
        <f>S269/(S269+R269)</f>
        <v>0.21654040404040403</v>
      </c>
      <c r="U269">
        <f t="shared" si="46"/>
        <v>-4.6672595328282824</v>
      </c>
      <c r="V269">
        <f>L269-(SUM(R269:S269)*U269)</f>
        <v>24.811423999999533</v>
      </c>
      <c r="W269">
        <f>V269/(2*O269*Q269)</f>
        <v>2.6699154866910872E-2</v>
      </c>
      <c r="X269">
        <f>W269*16.02</f>
        <v>0.42772046096791216</v>
      </c>
    </row>
    <row r="270" spans="9:26" x14ac:dyDescent="0.2">
      <c r="J270">
        <v>100000</v>
      </c>
      <c r="K270">
        <v>557.83962299999996</v>
      </c>
      <c r="L270">
        <v>-22122.515330999999</v>
      </c>
      <c r="M270">
        <v>94408.342086000004</v>
      </c>
      <c r="N270">
        <v>-0.502637</v>
      </c>
      <c r="O270">
        <v>34.116380999999997</v>
      </c>
      <c r="P270">
        <v>203.034336</v>
      </c>
      <c r="Q270">
        <v>13.629457</v>
      </c>
      <c r="R270">
        <v>3733</v>
      </c>
      <c r="S270">
        <v>1019</v>
      </c>
      <c r="T270">
        <f>S270/(S270+R270)</f>
        <v>0.21443602693602692</v>
      </c>
      <c r="U270">
        <f t="shared" si="46"/>
        <v>-4.6618906355218854</v>
      </c>
      <c r="V270">
        <f>L270-(SUM(R270:S270)*U270)</f>
        <v>30.788969000001089</v>
      </c>
      <c r="W270">
        <f>V270/(2*O270*Q270)</f>
        <v>3.3107290615019332E-2</v>
      </c>
      <c r="X270">
        <f>W270*16.02</f>
        <v>0.5303787956526097</v>
      </c>
      <c r="Y270" s="1">
        <f>AVERAGE(X266:X270)</f>
        <v>0.50037857127353857</v>
      </c>
      <c r="Z270" s="1">
        <f>STDEV(X266:X270)</f>
        <v>6.5149805832319468E-2</v>
      </c>
    </row>
    <row r="272" spans="9:26" x14ac:dyDescent="0.2">
      <c r="J272">
        <v>300</v>
      </c>
      <c r="K272" t="s">
        <v>32</v>
      </c>
      <c r="W272" t="s">
        <v>25</v>
      </c>
      <c r="X272" t="s">
        <v>24</v>
      </c>
    </row>
    <row r="273" spans="9:26" x14ac:dyDescent="0.2">
      <c r="J273" t="s">
        <v>176</v>
      </c>
      <c r="K273" t="s">
        <v>18</v>
      </c>
      <c r="L273" t="s">
        <v>5</v>
      </c>
      <c r="M273" t="s">
        <v>7</v>
      </c>
      <c r="N273" t="s">
        <v>19</v>
      </c>
      <c r="O273" t="s">
        <v>20</v>
      </c>
      <c r="P273" t="s">
        <v>21</v>
      </c>
      <c r="Q273" t="s">
        <v>22</v>
      </c>
      <c r="R273" t="s">
        <v>4</v>
      </c>
      <c r="S273" t="s">
        <v>10</v>
      </c>
      <c r="T273" t="s">
        <v>13</v>
      </c>
      <c r="U273" t="s">
        <v>26</v>
      </c>
      <c r="V273" t="s">
        <v>12</v>
      </c>
      <c r="W273" t="s">
        <v>23</v>
      </c>
      <c r="X273" t="s">
        <v>23</v>
      </c>
    </row>
    <row r="274" spans="9:26" x14ac:dyDescent="0.2">
      <c r="I274" t="s">
        <v>55</v>
      </c>
      <c r="J274">
        <v>100000</v>
      </c>
      <c r="K274">
        <v>260.25908900000002</v>
      </c>
      <c r="L274">
        <v>-18482.799745</v>
      </c>
      <c r="M274">
        <v>76630.422663999998</v>
      </c>
      <c r="N274">
        <v>-0.15959400000000001</v>
      </c>
      <c r="O274">
        <v>30.923759</v>
      </c>
      <c r="P274">
        <v>184.080771</v>
      </c>
      <c r="Q274">
        <v>13.461748999999999</v>
      </c>
      <c r="R274">
        <v>3012</v>
      </c>
      <c r="S274">
        <v>892</v>
      </c>
      <c r="T274">
        <f>S274/(S274+R274)</f>
        <v>0.22848360655737704</v>
      </c>
      <c r="U274">
        <f>-4.1712-2.4929*T274</f>
        <v>-4.740786782786885</v>
      </c>
      <c r="V274">
        <f>L274-(SUM(R274:S274)*U274)</f>
        <v>25.231854999998177</v>
      </c>
      <c r="W274">
        <f>V274/(2*O274*Q274)</f>
        <v>3.0305776487212756E-2</v>
      </c>
      <c r="X274">
        <f>W274*16.02</f>
        <v>0.48549853932514836</v>
      </c>
      <c r="Z274" s="10"/>
    </row>
    <row r="275" spans="9:26" x14ac:dyDescent="0.2">
      <c r="J275">
        <v>100000</v>
      </c>
      <c r="K275">
        <v>260.222354</v>
      </c>
      <c r="L275">
        <v>-18397.816181999999</v>
      </c>
      <c r="M275">
        <v>76830.127764999997</v>
      </c>
      <c r="N275">
        <v>-0.195299</v>
      </c>
      <c r="O275">
        <v>30.902135000000001</v>
      </c>
      <c r="P275">
        <v>184.23121499999999</v>
      </c>
      <c r="Q275">
        <v>13.495238000000001</v>
      </c>
      <c r="R275">
        <v>3047</v>
      </c>
      <c r="S275">
        <v>857</v>
      </c>
      <c r="T275">
        <f>S275/(S275+R275)</f>
        <v>0.21951844262295081</v>
      </c>
      <c r="U275">
        <f t="shared" ref="U275:U278" si="47">-4.1712-2.4929*T275</f>
        <v>-4.7184375256147542</v>
      </c>
      <c r="V275">
        <f>L275-(SUM(R275:S275)*U275)</f>
        <v>22.963918000001286</v>
      </c>
      <c r="W275">
        <f>V275/(2*O275*Q275)</f>
        <v>2.7532583066059536E-2</v>
      </c>
      <c r="X275">
        <f>W275*16.02</f>
        <v>0.44107198071827375</v>
      </c>
      <c r="Z275" s="10"/>
    </row>
    <row r="276" spans="9:26" x14ac:dyDescent="0.2">
      <c r="J276">
        <v>100000</v>
      </c>
      <c r="K276">
        <v>260.20921199999998</v>
      </c>
      <c r="L276">
        <v>-18434.511039000001</v>
      </c>
      <c r="M276">
        <v>76789.951056000005</v>
      </c>
      <c r="N276">
        <v>-0.184138</v>
      </c>
      <c r="O276">
        <v>30.963626000000001</v>
      </c>
      <c r="P276">
        <v>184.62203299999999</v>
      </c>
      <c r="Q276">
        <v>13.432892000000001</v>
      </c>
      <c r="R276">
        <v>3034</v>
      </c>
      <c r="S276">
        <v>870</v>
      </c>
      <c r="T276">
        <f>S276/(S276+R276)</f>
        <v>0.22284836065573771</v>
      </c>
      <c r="U276">
        <f t="shared" si="47"/>
        <v>-4.7267386782786884</v>
      </c>
      <c r="V276">
        <f>L276-(SUM(R276:S276)*U276)</f>
        <v>18.676760999998805</v>
      </c>
      <c r="W276">
        <f>V276/(2*O276*Q276)</f>
        <v>2.2451751642526892E-2</v>
      </c>
      <c r="X276">
        <f>W276*16.02</f>
        <v>0.35967706131328081</v>
      </c>
    </row>
    <row r="277" spans="9:26" x14ac:dyDescent="0.2">
      <c r="J277">
        <v>100000</v>
      </c>
      <c r="K277">
        <v>260.29460499999999</v>
      </c>
      <c r="L277">
        <v>-18396.037952999999</v>
      </c>
      <c r="M277">
        <v>76906.380665000004</v>
      </c>
      <c r="N277">
        <v>-0.18915599999999999</v>
      </c>
      <c r="O277">
        <v>30.93561</v>
      </c>
      <c r="P277">
        <v>184.90152599999999</v>
      </c>
      <c r="Q277">
        <v>13.445150999999999</v>
      </c>
      <c r="R277">
        <v>3050</v>
      </c>
      <c r="S277">
        <v>854</v>
      </c>
      <c r="T277">
        <f>S277/(S277+R277)</f>
        <v>0.21875</v>
      </c>
      <c r="U277">
        <f t="shared" si="47"/>
        <v>-4.7165218749999998</v>
      </c>
      <c r="V277">
        <f>L277-(SUM(R277:S277)*U277)</f>
        <v>17.263447000001179</v>
      </c>
      <c r="W277">
        <f>V277/(2*O277*Q277)</f>
        <v>2.075263042886746E-2</v>
      </c>
      <c r="X277">
        <f>W277*16.02</f>
        <v>0.33245713947045669</v>
      </c>
    </row>
    <row r="278" spans="9:26" x14ac:dyDescent="0.2">
      <c r="J278">
        <v>100000</v>
      </c>
      <c r="K278">
        <v>260.32498199999998</v>
      </c>
      <c r="L278">
        <v>-18293.018390000001</v>
      </c>
      <c r="M278">
        <v>77355.401519999999</v>
      </c>
      <c r="N278">
        <v>-0.211669</v>
      </c>
      <c r="O278">
        <v>31.190612000000002</v>
      </c>
      <c r="P278">
        <v>185.61975799999999</v>
      </c>
      <c r="Q278">
        <v>13.361117999999999</v>
      </c>
      <c r="R278">
        <v>3094</v>
      </c>
      <c r="S278">
        <v>810</v>
      </c>
      <c r="T278">
        <f>S278/(S278+R278)</f>
        <v>0.20747950819672131</v>
      </c>
      <c r="U278">
        <f t="shared" si="47"/>
        <v>-4.6884256659836065</v>
      </c>
      <c r="V278">
        <f>L278-(SUM(R278:S278)*U278)</f>
        <v>10.595409999998083</v>
      </c>
      <c r="W278">
        <f>V278/(2*O278*Q278)</f>
        <v>1.2712210491044146E-2</v>
      </c>
      <c r="X278">
        <f>W278*16.02</f>
        <v>0.20364961206652721</v>
      </c>
      <c r="Y278" s="1">
        <f>AVERAGE(X274:X278)</f>
        <v>0.3644708665787374</v>
      </c>
      <c r="Z278" s="1">
        <f>STDEV(X274:X278)</f>
        <v>0.10888843310126911</v>
      </c>
    </row>
    <row r="279" spans="9:26" x14ac:dyDescent="0.2">
      <c r="Y279" s="1"/>
    </row>
    <row r="280" spans="9:26" x14ac:dyDescent="0.2">
      <c r="I280" t="s">
        <v>133</v>
      </c>
      <c r="J280">
        <v>100000</v>
      </c>
      <c r="K280">
        <v>278.98689999999999</v>
      </c>
      <c r="L280">
        <v>-15015.976490999999</v>
      </c>
      <c r="M280">
        <v>62195.614405</v>
      </c>
      <c r="N280">
        <v>-0.294041</v>
      </c>
      <c r="O280">
        <v>24.112088</v>
      </c>
      <c r="P280">
        <v>191.42183299999999</v>
      </c>
      <c r="Q280">
        <v>13.475182</v>
      </c>
      <c r="R280">
        <v>2439</v>
      </c>
      <c r="S280">
        <v>729</v>
      </c>
      <c r="T280">
        <f>S280/(S280+R280)</f>
        <v>0.23011363636363635</v>
      </c>
      <c r="U280">
        <f>-4.1712-2.4929*T280</f>
        <v>-4.7448502840909086</v>
      </c>
      <c r="V280">
        <f>L280-(SUM(R280:S280)*U280)</f>
        <v>15.709208999998737</v>
      </c>
      <c r="W280">
        <f>V280/(2*O280*Q280)</f>
        <v>2.4174353164882898E-2</v>
      </c>
      <c r="X280">
        <f>W280*16.02</f>
        <v>0.38727313770142402</v>
      </c>
    </row>
    <row r="281" spans="9:26" x14ac:dyDescent="0.2">
      <c r="J281">
        <v>100000</v>
      </c>
      <c r="K281">
        <v>278.90785399999999</v>
      </c>
      <c r="L281">
        <v>-14914.593025</v>
      </c>
      <c r="M281">
        <v>62427.803253999999</v>
      </c>
      <c r="N281">
        <v>-0.30112</v>
      </c>
      <c r="O281">
        <v>24.176161</v>
      </c>
      <c r="P281">
        <v>191.69671700000001</v>
      </c>
      <c r="Q281">
        <v>13.470349000000001</v>
      </c>
      <c r="R281">
        <v>2479</v>
      </c>
      <c r="S281">
        <v>689</v>
      </c>
      <c r="T281">
        <f>S281/(S281+R281)</f>
        <v>0.21748737373737373</v>
      </c>
      <c r="U281">
        <f t="shared" ref="U281:U284" si="48">-4.1712-2.4929*T281</f>
        <v>-4.7133742739898992</v>
      </c>
      <c r="V281">
        <f>L281-(SUM(R281:S281)*U281)</f>
        <v>17.376675000001342</v>
      </c>
      <c r="W281">
        <f>V281/(2*O281*Q281)</f>
        <v>2.6679058280299973E-2</v>
      </c>
      <c r="X281">
        <f>W281*16.02</f>
        <v>0.42739851365040554</v>
      </c>
    </row>
    <row r="282" spans="9:26" x14ac:dyDescent="0.2">
      <c r="J282">
        <v>100000</v>
      </c>
      <c r="K282">
        <v>278.90843000000001</v>
      </c>
      <c r="L282">
        <v>-14949.762546</v>
      </c>
      <c r="M282">
        <v>62308.638887000001</v>
      </c>
      <c r="N282">
        <v>-0.35252499999999998</v>
      </c>
      <c r="O282">
        <v>24.151657</v>
      </c>
      <c r="P282">
        <v>190.81849099999999</v>
      </c>
      <c r="Q282">
        <v>13.520156999999999</v>
      </c>
      <c r="R282">
        <v>2466</v>
      </c>
      <c r="S282">
        <v>702</v>
      </c>
      <c r="T282">
        <f>S282/(S282+R282)</f>
        <v>0.22159090909090909</v>
      </c>
      <c r="U282">
        <f t="shared" si="48"/>
        <v>-4.7236039772727274</v>
      </c>
      <c r="V282">
        <f>L282-(SUM(R282:S282)*U282)</f>
        <v>14.614854000001287</v>
      </c>
      <c r="W282">
        <f>V282/(2*O282*Q282)</f>
        <v>2.237874968134845E-2</v>
      </c>
      <c r="X282">
        <f>W282*16.02</f>
        <v>0.35850756989520216</v>
      </c>
    </row>
    <row r="283" spans="9:26" x14ac:dyDescent="0.2">
      <c r="J283">
        <v>100000</v>
      </c>
      <c r="K283">
        <v>278.92384099999998</v>
      </c>
      <c r="L283">
        <v>-14949.006595999999</v>
      </c>
      <c r="M283">
        <v>62293.725663999998</v>
      </c>
      <c r="N283">
        <v>-0.36384100000000003</v>
      </c>
      <c r="O283">
        <v>24.163974</v>
      </c>
      <c r="P283">
        <v>191.46088399999999</v>
      </c>
      <c r="Q283">
        <v>13.464782</v>
      </c>
      <c r="R283">
        <v>2465</v>
      </c>
      <c r="S283">
        <v>703</v>
      </c>
      <c r="T283">
        <f>S283/(S283+R283)</f>
        <v>0.22190656565656566</v>
      </c>
      <c r="U283">
        <f t="shared" si="48"/>
        <v>-4.7243908775252521</v>
      </c>
      <c r="V283">
        <f>L283-(SUM(R283:S283)*U283)</f>
        <v>17.863703999999416</v>
      </c>
      <c r="W283">
        <f>V283/(2*O283*Q283)</f>
        <v>2.74519900029171E-2</v>
      </c>
      <c r="X283">
        <f>W283*16.02</f>
        <v>0.43978087984673192</v>
      </c>
    </row>
    <row r="284" spans="9:26" x14ac:dyDescent="0.2">
      <c r="J284">
        <v>100000</v>
      </c>
      <c r="K284">
        <v>278.97487000000001</v>
      </c>
      <c r="L284">
        <v>-14932.147547</v>
      </c>
      <c r="M284">
        <v>62378.767835999999</v>
      </c>
      <c r="N284">
        <v>-0.34022999999999998</v>
      </c>
      <c r="O284">
        <v>24.178148</v>
      </c>
      <c r="P284">
        <v>191.71721600000001</v>
      </c>
      <c r="Q284">
        <v>13.457155999999999</v>
      </c>
      <c r="R284">
        <v>2472</v>
      </c>
      <c r="S284">
        <v>696</v>
      </c>
      <c r="T284">
        <f>S284/(S284+R284)</f>
        <v>0.2196969696969697</v>
      </c>
      <c r="U284">
        <f t="shared" si="48"/>
        <v>-4.7188825757575756</v>
      </c>
      <c r="V284">
        <f>L284-(SUM(R284:S284)*U284)</f>
        <v>17.272452999999587</v>
      </c>
      <c r="W284">
        <f>V284/(2*O284*Q284)</f>
        <v>2.654285932431175E-2</v>
      </c>
      <c r="X284">
        <f>W284*16.02</f>
        <v>0.4252166063754742</v>
      </c>
      <c r="Y284" s="1">
        <f>AVERAGE(X280:X284)</f>
        <v>0.40763534149384756</v>
      </c>
      <c r="Z284" s="1">
        <f>STDEV(X280:X284)</f>
        <v>3.3768242366376149E-2</v>
      </c>
    </row>
    <row r="285" spans="9:26" x14ac:dyDescent="0.2">
      <c r="Y285" s="1"/>
    </row>
    <row r="286" spans="9:26" x14ac:dyDescent="0.2">
      <c r="I286" t="s">
        <v>28</v>
      </c>
      <c r="J286">
        <v>100000</v>
      </c>
      <c r="K286">
        <v>279.03792099999998</v>
      </c>
      <c r="L286">
        <v>-11760.96875</v>
      </c>
      <c r="M286">
        <v>48384.891236000003</v>
      </c>
      <c r="N286">
        <v>-0.421541</v>
      </c>
      <c r="O286">
        <v>34.747197999999997</v>
      </c>
      <c r="P286">
        <v>137.80890199999999</v>
      </c>
      <c r="Q286">
        <v>10.10446</v>
      </c>
      <c r="R286">
        <v>1882</v>
      </c>
      <c r="S286">
        <v>590</v>
      </c>
      <c r="T286">
        <f>S286/(S286+R286)</f>
        <v>0.23867313915857605</v>
      </c>
      <c r="U286">
        <f>-4.1712-2.4929*T286</f>
        <v>-4.7661882686084143</v>
      </c>
      <c r="V286">
        <f>L286-(SUM(R286:S286)*U286)</f>
        <v>21.048650000000634</v>
      </c>
      <c r="W286">
        <f>V286/(2*O286*Q286)</f>
        <v>2.99751491668073E-2</v>
      </c>
      <c r="X286">
        <f>W286*16.02</f>
        <v>0.48020188965225291</v>
      </c>
      <c r="Z286" s="10"/>
    </row>
    <row r="287" spans="9:26" x14ac:dyDescent="0.2">
      <c r="J287">
        <v>100000</v>
      </c>
      <c r="K287">
        <v>278.95614999999998</v>
      </c>
      <c r="L287">
        <v>-11613.886225</v>
      </c>
      <c r="M287">
        <v>48749.172951</v>
      </c>
      <c r="N287">
        <v>-0.41816199999999998</v>
      </c>
      <c r="O287">
        <v>34.911431999999998</v>
      </c>
      <c r="P287">
        <v>138.39534800000001</v>
      </c>
      <c r="Q287">
        <v>10.089725</v>
      </c>
      <c r="R287">
        <v>1942</v>
      </c>
      <c r="S287">
        <v>530</v>
      </c>
      <c r="T287">
        <f>S287/(S287+R287)</f>
        <v>0.21440129449838188</v>
      </c>
      <c r="U287">
        <f t="shared" ref="U287:U290" si="49">-4.1712-2.4929*T287</f>
        <v>-4.7056809870550165</v>
      </c>
      <c r="V287">
        <f>L287-(SUM(R287:S287)*U287)</f>
        <v>18.557174999999916</v>
      </c>
      <c r="W287">
        <f>V287/(2*O287*Q287)</f>
        <v>2.63411587089462E-2</v>
      </c>
      <c r="X287">
        <f>W287*16.02</f>
        <v>0.42198536251731811</v>
      </c>
      <c r="Z287" s="10"/>
    </row>
    <row r="288" spans="9:26" x14ac:dyDescent="0.2">
      <c r="J288">
        <v>100000</v>
      </c>
      <c r="K288">
        <v>278.87980399999998</v>
      </c>
      <c r="L288">
        <v>-11712.804399000001</v>
      </c>
      <c r="M288">
        <v>48500.521911999997</v>
      </c>
      <c r="N288">
        <v>-0.39450099999999999</v>
      </c>
      <c r="O288">
        <v>34.746456999999999</v>
      </c>
      <c r="P288">
        <v>138.155585</v>
      </c>
      <c r="Q288">
        <v>10.103429999999999</v>
      </c>
      <c r="R288">
        <v>1900</v>
      </c>
      <c r="S288">
        <v>572</v>
      </c>
      <c r="T288">
        <f>S288/(S288+R288)</f>
        <v>0.2313915857605178</v>
      </c>
      <c r="U288">
        <f t="shared" si="49"/>
        <v>-4.7480360841423943</v>
      </c>
      <c r="V288">
        <f>L288-(SUM(R288:S288)*U288)</f>
        <v>24.340800999998464</v>
      </c>
      <c r="W288">
        <f>V288/(2*O288*Q288)</f>
        <v>3.466773800889858E-2</v>
      </c>
      <c r="X288">
        <f>W288*16.02</f>
        <v>0.55537716290255523</v>
      </c>
      <c r="Z288" s="10"/>
    </row>
    <row r="289" spans="9:26" x14ac:dyDescent="0.2">
      <c r="J289">
        <v>100000</v>
      </c>
      <c r="K289">
        <v>278.839136</v>
      </c>
      <c r="L289">
        <v>-11673.384034999999</v>
      </c>
      <c r="M289">
        <v>48661.248314999997</v>
      </c>
      <c r="N289">
        <v>-0.52627000000000002</v>
      </c>
      <c r="O289">
        <v>34.864429000000001</v>
      </c>
      <c r="P289">
        <v>138.28603200000001</v>
      </c>
      <c r="Q289">
        <v>10.093097</v>
      </c>
      <c r="R289">
        <v>1918</v>
      </c>
      <c r="S289">
        <v>554</v>
      </c>
      <c r="T289">
        <f>S289/(S289+R289)</f>
        <v>0.22411003236245955</v>
      </c>
      <c r="U289">
        <f t="shared" si="49"/>
        <v>-4.7298838996763752</v>
      </c>
      <c r="V289">
        <f>L289-(SUM(R289:S289)*U289)</f>
        <v>18.888965000000098</v>
      </c>
      <c r="W289">
        <f>V289/(2*O289*Q289)</f>
        <v>2.6839298613446437E-2</v>
      </c>
      <c r="X289">
        <f>W289*16.02</f>
        <v>0.42996556378741191</v>
      </c>
      <c r="Z289" s="10"/>
    </row>
    <row r="290" spans="9:26" x14ac:dyDescent="0.2">
      <c r="J290">
        <v>100000</v>
      </c>
      <c r="K290">
        <v>278.71207500000003</v>
      </c>
      <c r="L290">
        <v>-11593.923231000001</v>
      </c>
      <c r="M290">
        <v>48880.493174000003</v>
      </c>
      <c r="N290">
        <v>-0.40900199999999998</v>
      </c>
      <c r="O290">
        <v>34.984943000000001</v>
      </c>
      <c r="P290">
        <v>139.25147000000001</v>
      </c>
      <c r="Q290">
        <v>10.033595</v>
      </c>
      <c r="R290">
        <v>1950</v>
      </c>
      <c r="S290">
        <v>522</v>
      </c>
      <c r="T290">
        <f>S290/(S290+R290)</f>
        <v>0.21116504854368931</v>
      </c>
      <c r="U290">
        <f t="shared" si="49"/>
        <v>-4.6976133495145627</v>
      </c>
      <c r="V290">
        <f>L290-(SUM(R290:S290)*U290)</f>
        <v>18.576968999997916</v>
      </c>
      <c r="W290">
        <f>V290/(2*O290*Q290)</f>
        <v>2.6461053023252613E-2</v>
      </c>
      <c r="X290">
        <f>W290*16.02</f>
        <v>0.42390606943250686</v>
      </c>
      <c r="Y290" s="1">
        <f>AVERAGE(X286:X290)</f>
        <v>0.46228720965840903</v>
      </c>
      <c r="Z290" s="1">
        <f>STDEV(X286:X290)</f>
        <v>5.7290301871506751E-2</v>
      </c>
    </row>
    <row r="291" spans="9:26" x14ac:dyDescent="0.2">
      <c r="Y291" s="1"/>
      <c r="Z291" s="10"/>
    </row>
    <row r="292" spans="9:26" x14ac:dyDescent="0.2">
      <c r="I292" t="s">
        <v>134</v>
      </c>
      <c r="J292">
        <v>100000</v>
      </c>
      <c r="K292">
        <v>278.89024899999998</v>
      </c>
      <c r="L292">
        <v>-15215.036732</v>
      </c>
      <c r="M292">
        <v>63689.604738000002</v>
      </c>
      <c r="N292">
        <v>-0.26163999999999998</v>
      </c>
      <c r="O292">
        <v>28.165341000000002</v>
      </c>
      <c r="P292">
        <v>167.75869900000001</v>
      </c>
      <c r="Q292">
        <v>13.479355999999999</v>
      </c>
      <c r="R292">
        <v>2528</v>
      </c>
      <c r="S292">
        <v>704</v>
      </c>
      <c r="T292">
        <f>S292/(S292+R292)</f>
        <v>0.21782178217821782</v>
      </c>
      <c r="U292">
        <f>-4.1712-2.4929*T292</f>
        <v>-4.7142079207920791</v>
      </c>
      <c r="V292">
        <f>L292-(SUM(R292:S292)*U292)</f>
        <v>21.283267999999225</v>
      </c>
      <c r="W292">
        <f>V292/(2*O292*Q292)</f>
        <v>2.803006861740379E-2</v>
      </c>
      <c r="X292">
        <f>W292*16.02</f>
        <v>0.44904169925080872</v>
      </c>
    </row>
    <row r="293" spans="9:26" x14ac:dyDescent="0.2">
      <c r="J293">
        <v>100000</v>
      </c>
      <c r="K293">
        <v>278.897177</v>
      </c>
      <c r="L293">
        <v>-15277.414687</v>
      </c>
      <c r="M293">
        <v>63492.665221000003</v>
      </c>
      <c r="N293">
        <v>-0.339339</v>
      </c>
      <c r="O293">
        <v>27.946487000000001</v>
      </c>
      <c r="P293">
        <v>166.40657999999999</v>
      </c>
      <c r="Q293">
        <v>13.652955</v>
      </c>
      <c r="R293">
        <v>2502</v>
      </c>
      <c r="S293">
        <v>730</v>
      </c>
      <c r="T293">
        <f>S293/(S293+R293)</f>
        <v>0.22586633663366337</v>
      </c>
      <c r="U293">
        <f t="shared" ref="U293:U296" si="50">-4.1712-2.4929*T293</f>
        <v>-4.7342621905940589</v>
      </c>
      <c r="V293">
        <f>L293-(SUM(R293:S293)*U293)</f>
        <v>23.720712999998796</v>
      </c>
      <c r="W293">
        <f>V293/(2*O293*Q293)</f>
        <v>3.1084498252065447E-2</v>
      </c>
      <c r="X293">
        <f>W293*16.02</f>
        <v>0.49797366199808846</v>
      </c>
    </row>
    <row r="294" spans="9:26" x14ac:dyDescent="0.2">
      <c r="J294">
        <v>100000</v>
      </c>
      <c r="K294">
        <v>278.92294500000003</v>
      </c>
      <c r="L294">
        <v>-15184.0882</v>
      </c>
      <c r="M294">
        <v>63707.408347999997</v>
      </c>
      <c r="N294">
        <v>-0.32306800000000002</v>
      </c>
      <c r="O294">
        <v>28.096713999999999</v>
      </c>
      <c r="P294">
        <v>167.25416000000001</v>
      </c>
      <c r="Q294">
        <v>13.556834</v>
      </c>
      <c r="R294">
        <v>2537</v>
      </c>
      <c r="S294">
        <v>695</v>
      </c>
      <c r="T294">
        <f>S294/(S294+R294)</f>
        <v>0.21503712871287128</v>
      </c>
      <c r="U294">
        <f t="shared" si="50"/>
        <v>-4.707266058168317</v>
      </c>
      <c r="V294">
        <f>L294-(SUM(R294:S294)*U294)</f>
        <v>29.795700000000579</v>
      </c>
      <c r="W294">
        <f>V294/(2*O294*Q294)</f>
        <v>3.9111978743348742E-2</v>
      </c>
      <c r="X294">
        <f>W294*16.02</f>
        <v>0.62657389946844688</v>
      </c>
    </row>
    <row r="295" spans="9:26" x14ac:dyDescent="0.2">
      <c r="J295">
        <v>100000</v>
      </c>
      <c r="K295">
        <v>278.91678400000001</v>
      </c>
      <c r="L295">
        <v>-15228.665046</v>
      </c>
      <c r="M295">
        <v>63653.103743</v>
      </c>
      <c r="N295">
        <v>-0.29279300000000003</v>
      </c>
      <c r="O295">
        <v>28.177935999999999</v>
      </c>
      <c r="P295">
        <v>167.813694</v>
      </c>
      <c r="Q295">
        <v>13.461209999999999</v>
      </c>
      <c r="R295">
        <v>2520</v>
      </c>
      <c r="S295">
        <v>712</v>
      </c>
      <c r="T295">
        <f>S295/(S295+R295)</f>
        <v>0.2202970297029703</v>
      </c>
      <c r="U295">
        <f t="shared" si="50"/>
        <v>-4.7203784653465348</v>
      </c>
      <c r="V295">
        <f>L295-(SUM(R295:S295)*U295)</f>
        <v>27.598154000001159</v>
      </c>
      <c r="W295">
        <f>V295/(2*O295*Q295)</f>
        <v>3.6379502879544778E-2</v>
      </c>
      <c r="X295">
        <f>W295*16.02</f>
        <v>0.58279963613030739</v>
      </c>
    </row>
    <row r="296" spans="9:26" x14ac:dyDescent="0.2">
      <c r="J296">
        <v>100000</v>
      </c>
      <c r="K296">
        <v>278.99611199999998</v>
      </c>
      <c r="L296">
        <v>-15199.125728999999</v>
      </c>
      <c r="M296">
        <v>63685.768509000001</v>
      </c>
      <c r="N296">
        <v>-0.32889499999999999</v>
      </c>
      <c r="O296">
        <v>27.927171999999999</v>
      </c>
      <c r="P296">
        <v>167.20496600000001</v>
      </c>
      <c r="Q296">
        <v>13.638503999999999</v>
      </c>
      <c r="R296">
        <v>2533</v>
      </c>
      <c r="S296">
        <v>699</v>
      </c>
      <c r="T296">
        <f>S296/(S296+R296)</f>
        <v>0.21627475247524752</v>
      </c>
      <c r="U296">
        <f t="shared" si="50"/>
        <v>-4.710351330445544</v>
      </c>
      <c r="V296">
        <f>L296-(SUM(R296:S296)*U296)</f>
        <v>24.729770999998436</v>
      </c>
      <c r="W296">
        <f>V296/(2*O296*Q296)</f>
        <v>3.2463579468686443E-2</v>
      </c>
      <c r="X296">
        <f>W296*16.02</f>
        <v>0.52006654308835676</v>
      </c>
      <c r="Y296" s="1">
        <f>AVERAGE(X292:X296)</f>
        <v>0.53529108798720171</v>
      </c>
      <c r="Z296" s="1">
        <f>STDEV(X292:X296)</f>
        <v>7.0094486098796704E-2</v>
      </c>
    </row>
    <row r="297" spans="9:26" x14ac:dyDescent="0.2">
      <c r="Y297" s="1"/>
      <c r="Z297" s="10"/>
    </row>
    <row r="298" spans="9:26" x14ac:dyDescent="0.2">
      <c r="I298" t="s">
        <v>27</v>
      </c>
      <c r="J298">
        <v>100000</v>
      </c>
      <c r="K298">
        <v>278.880763</v>
      </c>
      <c r="L298">
        <v>-13617.262113999999</v>
      </c>
      <c r="M298">
        <v>56647.362622000001</v>
      </c>
      <c r="N298">
        <v>-0.42466799999999999</v>
      </c>
      <c r="O298">
        <v>32.415928000000001</v>
      </c>
      <c r="P298">
        <v>130.25724399999999</v>
      </c>
      <c r="Q298">
        <v>13.415903999999999</v>
      </c>
      <c r="R298">
        <v>2229</v>
      </c>
      <c r="S298">
        <v>651</v>
      </c>
      <c r="T298">
        <f>S298/(S298+R298)</f>
        <v>0.22604166666666667</v>
      </c>
      <c r="U298">
        <f>-4.1712-2.4929*T298</f>
        <v>-4.7346992708333335</v>
      </c>
      <c r="V298">
        <f>L298-(SUM(R298:S298)*U298)</f>
        <v>18.671786000000793</v>
      </c>
      <c r="W298">
        <f>V298/(2*O298*Q298)</f>
        <v>2.1467301931592474E-2</v>
      </c>
      <c r="X298">
        <f>W298*16.02</f>
        <v>0.34390617694411141</v>
      </c>
    </row>
    <row r="299" spans="9:26" x14ac:dyDescent="0.2">
      <c r="J299">
        <v>100000</v>
      </c>
      <c r="K299">
        <v>278.91813500000001</v>
      </c>
      <c r="L299">
        <v>-13594.351773</v>
      </c>
      <c r="M299">
        <v>56615.168270000002</v>
      </c>
      <c r="N299">
        <v>-0.40590700000000002</v>
      </c>
      <c r="O299">
        <v>32.428697</v>
      </c>
      <c r="P299">
        <v>129.73739499999999</v>
      </c>
      <c r="Q299">
        <v>13.456709</v>
      </c>
      <c r="R299">
        <v>2235</v>
      </c>
      <c r="S299">
        <v>645</v>
      </c>
      <c r="T299">
        <f>S299/(S299+R299)</f>
        <v>0.22395833333333334</v>
      </c>
      <c r="U299">
        <f t="shared" ref="U299:U302" si="51">-4.1712-2.4929*T299</f>
        <v>-4.7295057291666662</v>
      </c>
      <c r="V299">
        <f>L299-(SUM(R299:S299)*U299)</f>
        <v>26.624726999998529</v>
      </c>
      <c r="W299">
        <f>V299/(2*O299*Q299)</f>
        <v>3.0506108313050607E-2</v>
      </c>
      <c r="X299">
        <f>W299*16.02</f>
        <v>0.4887078551750707</v>
      </c>
    </row>
    <row r="300" spans="9:26" x14ac:dyDescent="0.2">
      <c r="J300">
        <v>100000</v>
      </c>
      <c r="K300">
        <v>278.87812600000001</v>
      </c>
      <c r="L300">
        <v>-13576.265543</v>
      </c>
      <c r="M300">
        <v>56707.980793000002</v>
      </c>
      <c r="N300">
        <v>-0.38983200000000001</v>
      </c>
      <c r="O300">
        <v>32.429828000000001</v>
      </c>
      <c r="P300">
        <v>129.65134599999999</v>
      </c>
      <c r="Q300">
        <v>13.487273999999999</v>
      </c>
      <c r="R300">
        <v>2245</v>
      </c>
      <c r="S300">
        <v>635</v>
      </c>
      <c r="T300">
        <f>S300/(S300+R300)</f>
        <v>0.2204861111111111</v>
      </c>
      <c r="U300">
        <f t="shared" si="51"/>
        <v>-4.7208498263888892</v>
      </c>
      <c r="V300">
        <f>L300-(SUM(R300:S300)*U300)</f>
        <v>19.781957000001057</v>
      </c>
      <c r="W300">
        <f>V300/(2*O300*Q300)</f>
        <v>2.2613637811854884E-2</v>
      </c>
      <c r="X300">
        <f>W300*16.02</f>
        <v>0.36227047774591525</v>
      </c>
      <c r="Z300" s="10"/>
    </row>
    <row r="301" spans="9:26" x14ac:dyDescent="0.2">
      <c r="J301">
        <v>100000</v>
      </c>
      <c r="K301">
        <v>278.88152000000002</v>
      </c>
      <c r="L301">
        <v>-13529.654676</v>
      </c>
      <c r="M301">
        <v>56873.665805999997</v>
      </c>
      <c r="N301">
        <v>-0.36199599999999998</v>
      </c>
      <c r="O301">
        <v>32.507677999999999</v>
      </c>
      <c r="P301">
        <v>130.37969200000001</v>
      </c>
      <c r="Q301">
        <v>13.418924000000001</v>
      </c>
      <c r="R301">
        <v>2263</v>
      </c>
      <c r="S301">
        <v>617</v>
      </c>
      <c r="T301">
        <f>S301/(S301+R301)</f>
        <v>0.2142361111111111</v>
      </c>
      <c r="U301">
        <f t="shared" si="51"/>
        <v>-4.705269201388889</v>
      </c>
      <c r="V301">
        <f>L301-(SUM(R301:S301)*U301)</f>
        <v>21.52062400000068</v>
      </c>
      <c r="W301">
        <f>V301/(2*O301*Q301)</f>
        <v>2.4667277617310007E-2</v>
      </c>
      <c r="X301">
        <f>W301*16.02</f>
        <v>0.39516978742930631</v>
      </c>
      <c r="Z301" s="10"/>
    </row>
    <row r="302" spans="9:26" x14ac:dyDescent="0.2">
      <c r="J302">
        <v>100000</v>
      </c>
      <c r="K302">
        <v>278.85214000000002</v>
      </c>
      <c r="L302">
        <v>-13573.421893999999</v>
      </c>
      <c r="M302">
        <v>56762.076539000002</v>
      </c>
      <c r="N302">
        <v>-0.37931199999999998</v>
      </c>
      <c r="O302">
        <v>32.520480999999997</v>
      </c>
      <c r="P302">
        <v>130.36846600000001</v>
      </c>
      <c r="Q302">
        <v>13.388434</v>
      </c>
      <c r="R302">
        <v>2247</v>
      </c>
      <c r="S302">
        <v>633</v>
      </c>
      <c r="T302">
        <f>S302/(S302+R302)</f>
        <v>0.21979166666666666</v>
      </c>
      <c r="U302">
        <f t="shared" si="51"/>
        <v>-4.7191186458333334</v>
      </c>
      <c r="V302">
        <f>L302-(SUM(R302:S302)*U302)</f>
        <v>17.639806000001045</v>
      </c>
      <c r="W302">
        <f>V302/(2*O302*Q302)</f>
        <v>2.025709040708339E-2</v>
      </c>
      <c r="X302">
        <f>W302*16.02</f>
        <v>0.3245185883214759</v>
      </c>
      <c r="Y302" s="1">
        <f>AVERAGE(X298:X302)</f>
        <v>0.38291457712317589</v>
      </c>
      <c r="Z302" s="1">
        <f>STDEV(X298:X302)</f>
        <v>6.4614885073738346E-2</v>
      </c>
    </row>
    <row r="303" spans="9:26" x14ac:dyDescent="0.2">
      <c r="Z303" s="10"/>
    </row>
    <row r="304" spans="9:26" x14ac:dyDescent="0.2">
      <c r="I304" t="s">
        <v>172</v>
      </c>
      <c r="J304">
        <v>100000</v>
      </c>
      <c r="K304">
        <v>278.89668599999999</v>
      </c>
      <c r="L304">
        <v>-17312.561473000002</v>
      </c>
      <c r="M304">
        <v>72507.178169000006</v>
      </c>
      <c r="N304">
        <v>-0.30934</v>
      </c>
      <c r="O304">
        <v>26.013296</v>
      </c>
      <c r="P304">
        <v>206.929823</v>
      </c>
      <c r="Q304">
        <v>13.469860000000001</v>
      </c>
      <c r="R304">
        <v>2881</v>
      </c>
      <c r="S304">
        <v>799</v>
      </c>
      <c r="T304">
        <f>S304/(S304+R304)</f>
        <v>0.21711956521739131</v>
      </c>
      <c r="U304">
        <f>-4.1712-2.4929*T304</f>
        <v>-4.7124573641304348</v>
      </c>
      <c r="V304">
        <f>L304-(SUM(R304:S304)*U304)</f>
        <v>29.281627000000299</v>
      </c>
      <c r="W304">
        <f>V304/(2*O304*Q304)</f>
        <v>4.1783685491002039E-2</v>
      </c>
      <c r="X304">
        <f>W304*16.02</f>
        <v>0.66937464156585269</v>
      </c>
    </row>
    <row r="305" spans="9:26" x14ac:dyDescent="0.2">
      <c r="J305">
        <v>100000</v>
      </c>
      <c r="K305">
        <v>278.92963900000001</v>
      </c>
      <c r="L305">
        <v>-17350.499637000001</v>
      </c>
      <c r="M305">
        <v>72445.260928000003</v>
      </c>
      <c r="N305">
        <v>-0.232767</v>
      </c>
      <c r="O305">
        <v>26.041136999999999</v>
      </c>
      <c r="P305">
        <v>206.78344200000001</v>
      </c>
      <c r="Q305">
        <v>13.453493</v>
      </c>
      <c r="R305">
        <v>2868</v>
      </c>
      <c r="S305">
        <v>812</v>
      </c>
      <c r="T305">
        <f>S305/(S305+R305)</f>
        <v>0.22065217391304348</v>
      </c>
      <c r="U305">
        <f t="shared" ref="U305:U308" si="52">-4.1712-2.4929*T305</f>
        <v>-4.7212638043478261</v>
      </c>
      <c r="V305">
        <f>L305-(SUM(R305:S305)*U305)</f>
        <v>23.751163000000815</v>
      </c>
      <c r="W305">
        <f>V305/(2*O305*Q305)</f>
        <v>3.3896892421769902E-2</v>
      </c>
      <c r="X305">
        <f>W305*16.02</f>
        <v>0.54302821659675382</v>
      </c>
    </row>
    <row r="306" spans="9:26" x14ac:dyDescent="0.2">
      <c r="J306">
        <v>100000</v>
      </c>
      <c r="K306">
        <v>278.96251100000001</v>
      </c>
      <c r="L306">
        <v>-17279.544433999999</v>
      </c>
      <c r="M306">
        <v>72717.522440000001</v>
      </c>
      <c r="N306">
        <v>-0.25327499999999997</v>
      </c>
      <c r="O306">
        <v>26.162445000000002</v>
      </c>
      <c r="P306">
        <v>207.58497199999999</v>
      </c>
      <c r="Q306">
        <v>13.389543</v>
      </c>
      <c r="R306">
        <v>2899</v>
      </c>
      <c r="S306">
        <v>781</v>
      </c>
      <c r="T306">
        <f>S306/(S306+R306)</f>
        <v>0.21222826086956523</v>
      </c>
      <c r="U306">
        <f t="shared" si="52"/>
        <v>-4.7002638315217391</v>
      </c>
      <c r="V306">
        <f>L306-(SUM(R306:S306)*U306)</f>
        <v>17.426466000000801</v>
      </c>
      <c r="W306">
        <f>V306/(2*O306*Q306)</f>
        <v>2.4873405209959246E-2</v>
      </c>
      <c r="X306">
        <f>W306*16.02</f>
        <v>0.39847195146354708</v>
      </c>
    </row>
    <row r="307" spans="9:26" x14ac:dyDescent="0.2">
      <c r="J307">
        <v>100000</v>
      </c>
      <c r="K307">
        <v>278.96902799999998</v>
      </c>
      <c r="L307">
        <v>-17328.955257000001</v>
      </c>
      <c r="M307">
        <v>72432.526255000004</v>
      </c>
      <c r="N307">
        <v>-0.300651</v>
      </c>
      <c r="O307">
        <v>25.928999000000001</v>
      </c>
      <c r="P307">
        <v>205.70961399999999</v>
      </c>
      <c r="Q307">
        <v>13.579825</v>
      </c>
      <c r="R307">
        <v>2876</v>
      </c>
      <c r="S307">
        <v>804</v>
      </c>
      <c r="T307">
        <f>S307/(S307+R307)</f>
        <v>0.21847826086956521</v>
      </c>
      <c r="U307">
        <f t="shared" si="52"/>
        <v>-4.7158444565217392</v>
      </c>
      <c r="V307">
        <f>L307-(SUM(R307:S307)*U307)</f>
        <v>25.352342999998655</v>
      </c>
      <c r="W307">
        <f>V307/(2*O307*Q307)</f>
        <v>3.6000470935149478E-2</v>
      </c>
      <c r="X307">
        <f>W307*16.02</f>
        <v>0.57672754438109464</v>
      </c>
    </row>
    <row r="308" spans="9:26" x14ac:dyDescent="0.2">
      <c r="J308">
        <v>100000</v>
      </c>
      <c r="K308">
        <v>278.91029800000001</v>
      </c>
      <c r="L308">
        <v>-17209.337663999999</v>
      </c>
      <c r="M308">
        <v>72837.690961</v>
      </c>
      <c r="N308">
        <v>-0.204403</v>
      </c>
      <c r="O308">
        <v>26.118922999999999</v>
      </c>
      <c r="P308">
        <v>207.309189</v>
      </c>
      <c r="Q308">
        <v>13.451950999999999</v>
      </c>
      <c r="R308">
        <v>2927</v>
      </c>
      <c r="S308">
        <v>753</v>
      </c>
      <c r="T308">
        <f>S308/(S308+R308)</f>
        <v>0.2046195652173913</v>
      </c>
      <c r="U308">
        <f t="shared" si="52"/>
        <v>-4.6812961141304346</v>
      </c>
      <c r="V308">
        <f>L308-(SUM(R308:S308)*U308)</f>
        <v>17.832035999999789</v>
      </c>
      <c r="W308">
        <f>V308/(2*O308*Q308)</f>
        <v>2.5376422407771111E-2</v>
      </c>
      <c r="X308">
        <f>W308*16.02</f>
        <v>0.40653028697249322</v>
      </c>
      <c r="Y308" s="1">
        <f>AVERAGE(X304:X308)</f>
        <v>0.51882652819594832</v>
      </c>
      <c r="Z308" s="1">
        <f>STDEV(X304:X308)</f>
        <v>0.11586484989990642</v>
      </c>
    </row>
    <row r="310" spans="9:26" x14ac:dyDescent="0.2">
      <c r="I310" t="s">
        <v>17</v>
      </c>
      <c r="J310">
        <v>100000</v>
      </c>
      <c r="K310">
        <v>260.274427</v>
      </c>
      <c r="L310">
        <v>-17792.736303999998</v>
      </c>
      <c r="M310">
        <v>74360.884149000005</v>
      </c>
      <c r="N310">
        <v>-0.199708</v>
      </c>
      <c r="O310">
        <v>30.541909</v>
      </c>
      <c r="P310">
        <v>90.349125999999998</v>
      </c>
      <c r="Q310">
        <v>26.947890000000001</v>
      </c>
      <c r="R310">
        <v>2935</v>
      </c>
      <c r="S310">
        <v>841</v>
      </c>
      <c r="T310">
        <f>S310/(S310+R310)</f>
        <v>0.22272245762711865</v>
      </c>
      <c r="U310">
        <f>-4.1712-2.4929*T310</f>
        <v>-4.7264248146186443</v>
      </c>
      <c r="V310">
        <f>L310-(SUM(R310:S310)*U310)</f>
        <v>54.243796000002476</v>
      </c>
      <c r="W310">
        <f>V310/(2*O310*Q310)</f>
        <v>3.2953316806190874E-2</v>
      </c>
      <c r="X310">
        <f>W310*16.02</f>
        <v>0.52791213523517777</v>
      </c>
    </row>
    <row r="311" spans="9:26" x14ac:dyDescent="0.2">
      <c r="J311">
        <v>100000</v>
      </c>
      <c r="K311">
        <v>260.26371699999999</v>
      </c>
      <c r="L311">
        <v>-17792.051632999999</v>
      </c>
      <c r="M311">
        <v>74439.684234999993</v>
      </c>
      <c r="N311">
        <v>-0.19387299999999999</v>
      </c>
      <c r="O311">
        <v>30.554213000000001</v>
      </c>
      <c r="P311">
        <v>90.297944000000001</v>
      </c>
      <c r="Q311">
        <v>26.980912</v>
      </c>
      <c r="R311">
        <v>2939</v>
      </c>
      <c r="S311">
        <v>837</v>
      </c>
      <c r="T311">
        <f>S311/(S311+R311)</f>
        <v>0.22166313559322035</v>
      </c>
      <c r="U311">
        <f t="shared" ref="U311:U314" si="53">-4.1712-2.4929*T311</f>
        <v>-4.7237840307203385</v>
      </c>
      <c r="V311">
        <f>L311-(SUM(R311:S311)*U311)</f>
        <v>44.956866999997146</v>
      </c>
      <c r="W311">
        <f>V311/(2*O311*Q311)</f>
        <v>2.7267060080245788E-2</v>
      </c>
      <c r="X311">
        <f>W311*16.02</f>
        <v>0.43681830248553749</v>
      </c>
    </row>
    <row r="312" spans="9:26" x14ac:dyDescent="0.2">
      <c r="J312">
        <v>100000</v>
      </c>
      <c r="K312">
        <v>260.24528199999997</v>
      </c>
      <c r="L312">
        <v>-17875.687843</v>
      </c>
      <c r="M312">
        <v>74152.973872999995</v>
      </c>
      <c r="N312">
        <v>-0.212451</v>
      </c>
      <c r="O312">
        <v>30.498951999999999</v>
      </c>
      <c r="P312">
        <v>90.027679000000006</v>
      </c>
      <c r="Q312">
        <v>27.006481999999998</v>
      </c>
      <c r="R312">
        <v>2902</v>
      </c>
      <c r="S312">
        <v>874</v>
      </c>
      <c r="T312">
        <f>S312/(S312+R312)</f>
        <v>0.23146186440677965</v>
      </c>
      <c r="U312">
        <f t="shared" si="53"/>
        <v>-4.7482112817796605</v>
      </c>
      <c r="V312">
        <f>L312-(SUM(R312:S312)*U312)</f>
        <v>53.557956999997259</v>
      </c>
      <c r="W312">
        <f>V312/(2*O312*Q312)</f>
        <v>3.2511804564181603E-2</v>
      </c>
      <c r="X312">
        <f>W312*16.02</f>
        <v>0.52083910911818931</v>
      </c>
    </row>
    <row r="313" spans="9:26" x14ac:dyDescent="0.2">
      <c r="J313">
        <v>100000</v>
      </c>
      <c r="K313">
        <v>260.29058300000003</v>
      </c>
      <c r="L313">
        <v>-17766.503434999999</v>
      </c>
      <c r="M313">
        <v>74481.806009000007</v>
      </c>
      <c r="N313">
        <v>-0.233461</v>
      </c>
      <c r="O313">
        <v>30.720320000000001</v>
      </c>
      <c r="P313">
        <v>90.508326999999994</v>
      </c>
      <c r="Q313">
        <v>26.787792</v>
      </c>
      <c r="R313">
        <v>2949</v>
      </c>
      <c r="S313">
        <v>827</v>
      </c>
      <c r="T313">
        <f>S313/(S313+R313)</f>
        <v>0.21901483050847459</v>
      </c>
      <c r="U313">
        <f t="shared" si="53"/>
        <v>-4.7171820709745758</v>
      </c>
      <c r="V313">
        <f>L313-(SUM(R313:S313)*U313)</f>
        <v>45.576065000001108</v>
      </c>
      <c r="W313">
        <f>V313/(2*O313*Q313)</f>
        <v>2.7691353059685331E-2</v>
      </c>
      <c r="X313">
        <f>W313*16.02</f>
        <v>0.44361547601615897</v>
      </c>
    </row>
    <row r="314" spans="9:26" x14ac:dyDescent="0.2">
      <c r="J314">
        <v>100000</v>
      </c>
      <c r="K314">
        <v>260.24369100000001</v>
      </c>
      <c r="L314">
        <v>-17806.559243</v>
      </c>
      <c r="M314">
        <v>74307.783135000005</v>
      </c>
      <c r="N314">
        <v>-0.217304</v>
      </c>
      <c r="O314">
        <v>30.531927</v>
      </c>
      <c r="P314">
        <v>90.312363000000005</v>
      </c>
      <c r="Q314">
        <v>26.948412999999999</v>
      </c>
      <c r="R314">
        <v>2929</v>
      </c>
      <c r="S314">
        <v>847</v>
      </c>
      <c r="T314">
        <f>S314/(S314+R314)</f>
        <v>0.2243114406779661</v>
      </c>
      <c r="U314">
        <f t="shared" si="53"/>
        <v>-4.7303859904661012</v>
      </c>
      <c r="V314">
        <f>L314-(SUM(R314:S314)*U314)</f>
        <v>55.378256999996665</v>
      </c>
      <c r="W314">
        <f>V314/(2*O314*Q314)</f>
        <v>3.3652852104062679E-2</v>
      </c>
      <c r="X314">
        <f>W314*16.02</f>
        <v>0.53911869070708407</v>
      </c>
      <c r="Y314" s="1">
        <f>AVERAGE(X310:X314)</f>
        <v>0.49366074271242955</v>
      </c>
      <c r="Z314" s="1">
        <f>STDEV(X310:X314)</f>
        <v>4.9279403039623117E-2</v>
      </c>
    </row>
    <row r="316" spans="9:26" x14ac:dyDescent="0.2">
      <c r="I316" t="s">
        <v>173</v>
      </c>
      <c r="J316">
        <v>100000</v>
      </c>
      <c r="K316">
        <v>278.85724199999999</v>
      </c>
      <c r="L316">
        <v>-30710.935046999999</v>
      </c>
      <c r="M316">
        <v>127231.956788</v>
      </c>
      <c r="N316">
        <v>-0.17958499999999999</v>
      </c>
      <c r="O316">
        <v>39.652242000000001</v>
      </c>
      <c r="P316">
        <v>236.947159</v>
      </c>
      <c r="Q316">
        <v>13.541824</v>
      </c>
      <c r="R316">
        <v>5006</v>
      </c>
      <c r="S316">
        <v>1482</v>
      </c>
      <c r="T316">
        <f>S316/(S316+R316)</f>
        <v>0.2284217016029593</v>
      </c>
      <c r="U316">
        <f>-4.1712-2.4929*T316</f>
        <v>-4.740632459926017</v>
      </c>
      <c r="V316">
        <f>L316-(SUM(R316:S316)*U316)</f>
        <v>46.288352999999915</v>
      </c>
      <c r="W316">
        <f>V316/(2*O316*Q316)</f>
        <v>4.3101940149609136E-2</v>
      </c>
      <c r="X316">
        <f>W316*16.02</f>
        <v>0.69049308119673836</v>
      </c>
    </row>
    <row r="317" spans="9:26" x14ac:dyDescent="0.2">
      <c r="J317">
        <v>100000</v>
      </c>
      <c r="K317">
        <v>278.89955400000002</v>
      </c>
      <c r="L317">
        <v>-30643.828741000001</v>
      </c>
      <c r="M317">
        <v>127563.53267</v>
      </c>
      <c r="N317">
        <v>-0.19995299999999999</v>
      </c>
      <c r="O317">
        <v>39.886826999999997</v>
      </c>
      <c r="P317">
        <v>238.24984900000001</v>
      </c>
      <c r="Q317">
        <v>13.423477999999999</v>
      </c>
      <c r="R317">
        <v>5041</v>
      </c>
      <c r="S317">
        <v>1447</v>
      </c>
      <c r="T317">
        <f>S317/(S317+R317)</f>
        <v>0.22302712700369914</v>
      </c>
      <c r="U317">
        <f t="shared" ref="U317:U320" si="54">-4.1712-2.4929*T317</f>
        <v>-4.7271843249075216</v>
      </c>
      <c r="V317">
        <f>L317-(SUM(R317:S317)*U317)</f>
        <v>26.143158999999287</v>
      </c>
      <c r="W317">
        <f>V317/(2*O317*Q317)</f>
        <v>2.4413695509102402E-2</v>
      </c>
      <c r="X317">
        <f>W317*16.02</f>
        <v>0.39110740205582045</v>
      </c>
    </row>
    <row r="318" spans="9:26" x14ac:dyDescent="0.2">
      <c r="J318">
        <v>100000</v>
      </c>
      <c r="K318">
        <v>278.82023299999997</v>
      </c>
      <c r="L318">
        <v>-30573.145215</v>
      </c>
      <c r="M318">
        <v>127670.418311</v>
      </c>
      <c r="N318">
        <v>-0.185527</v>
      </c>
      <c r="O318">
        <v>39.751036999999997</v>
      </c>
      <c r="P318">
        <v>237.45201399999999</v>
      </c>
      <c r="Q318">
        <v>13.525907999999999</v>
      </c>
      <c r="R318">
        <v>5062</v>
      </c>
      <c r="S318">
        <v>1426</v>
      </c>
      <c r="T318">
        <f>S318/(S318+R318)</f>
        <v>0.21979038224414305</v>
      </c>
      <c r="U318">
        <f t="shared" si="54"/>
        <v>-4.719115443896424</v>
      </c>
      <c r="V318">
        <f>L318-(SUM(R318:S318)*U318)</f>
        <v>44.475784999998723</v>
      </c>
      <c r="W318">
        <f>V318/(2*O318*Q318)</f>
        <v>4.1359829008134404E-2</v>
      </c>
      <c r="X318">
        <f>W318*16.02</f>
        <v>0.66258446071031318</v>
      </c>
    </row>
    <row r="319" spans="9:26" x14ac:dyDescent="0.2">
      <c r="J319">
        <v>100000</v>
      </c>
      <c r="K319">
        <v>278.91892000000001</v>
      </c>
      <c r="L319">
        <v>-30637.540687000001</v>
      </c>
      <c r="M319">
        <v>127579.523407</v>
      </c>
      <c r="N319">
        <v>-0.182175</v>
      </c>
      <c r="O319">
        <v>39.828301000000003</v>
      </c>
      <c r="P319">
        <v>237.768787</v>
      </c>
      <c r="Q319">
        <v>13.472099</v>
      </c>
      <c r="R319">
        <v>5041</v>
      </c>
      <c r="S319">
        <v>1447</v>
      </c>
      <c r="T319">
        <f>S319/(S319+R319)</f>
        <v>0.22302712700369914</v>
      </c>
      <c r="U319">
        <f t="shared" si="54"/>
        <v>-4.7271843249075216</v>
      </c>
      <c r="V319">
        <f>L319-(SUM(R319:S319)*U319)</f>
        <v>32.431212999999843</v>
      </c>
      <c r="W319">
        <f>V319/(2*O319*Q319)</f>
        <v>3.0220813496892238E-2</v>
      </c>
      <c r="X319">
        <f>W319*16.02</f>
        <v>0.48413743222021366</v>
      </c>
    </row>
    <row r="320" spans="9:26" x14ac:dyDescent="0.2">
      <c r="J320">
        <v>100000</v>
      </c>
      <c r="K320">
        <v>278.89445000000001</v>
      </c>
      <c r="L320">
        <v>-30461.468592000001</v>
      </c>
      <c r="M320">
        <v>128068.858353</v>
      </c>
      <c r="N320">
        <v>-0.182558</v>
      </c>
      <c r="O320">
        <v>39.935943000000002</v>
      </c>
      <c r="P320">
        <v>238.431297</v>
      </c>
      <c r="Q320">
        <v>13.449859</v>
      </c>
      <c r="R320">
        <v>5111</v>
      </c>
      <c r="S320">
        <v>1377</v>
      </c>
      <c r="T320">
        <f>S320/(S320+R320)</f>
        <v>0.21223797780517878</v>
      </c>
      <c r="U320">
        <f t="shared" si="54"/>
        <v>-4.7002880548705299</v>
      </c>
      <c r="V320">
        <f>L320-(SUM(R320:S320)*U320)</f>
        <v>34.000307999998768</v>
      </c>
      <c r="W320">
        <f>V320/(2*O320*Q320)</f>
        <v>3.164981532427056E-2</v>
      </c>
      <c r="X320">
        <f>W320*16.02</f>
        <v>0.50703004149481434</v>
      </c>
      <c r="Y320" s="1">
        <f>AVERAGE(X316:X320)</f>
        <v>0.54707048353557997</v>
      </c>
      <c r="Z320" s="1">
        <f>STDEV(X316:X320)</f>
        <v>0.12629510003751515</v>
      </c>
    </row>
    <row r="322" spans="9:26" x14ac:dyDescent="0.2">
      <c r="I322" t="s">
        <v>174</v>
      </c>
      <c r="J322">
        <v>100000</v>
      </c>
      <c r="K322">
        <v>278.91367300000002</v>
      </c>
      <c r="L322">
        <v>-15420.260445</v>
      </c>
      <c r="M322">
        <v>65259.744188999997</v>
      </c>
      <c r="N322">
        <v>-0.32346599999999998</v>
      </c>
      <c r="O322">
        <v>24.794651000000002</v>
      </c>
      <c r="P322">
        <v>196.87813600000001</v>
      </c>
      <c r="Q322">
        <v>13.368734</v>
      </c>
      <c r="R322">
        <v>2619</v>
      </c>
      <c r="S322">
        <v>677</v>
      </c>
      <c r="T322">
        <f>S322/(S322+R322)</f>
        <v>0.20540048543689321</v>
      </c>
      <c r="U322">
        <f>-4.1712-2.4929*T322</f>
        <v>-4.683242870145631</v>
      </c>
      <c r="V322">
        <f>L322-(SUM(R322:S322)*U322)</f>
        <v>15.708054999999149</v>
      </c>
      <c r="W322">
        <f>V322/(2*O322*Q322)</f>
        <v>2.3694313794733544E-2</v>
      </c>
      <c r="X322">
        <f>W322*16.02</f>
        <v>0.37958290699163139</v>
      </c>
    </row>
    <row r="323" spans="9:26" x14ac:dyDescent="0.2">
      <c r="J323">
        <v>100000</v>
      </c>
      <c r="K323">
        <v>278.91827999999998</v>
      </c>
      <c r="L323">
        <v>-15502.733786000001</v>
      </c>
      <c r="M323">
        <v>64893.132546000001</v>
      </c>
      <c r="N323">
        <v>-0.33384399999999997</v>
      </c>
      <c r="O323">
        <v>24.481719999999999</v>
      </c>
      <c r="P323">
        <v>194.32003499999999</v>
      </c>
      <c r="Q323">
        <v>13.640795000000001</v>
      </c>
      <c r="R323">
        <v>2583</v>
      </c>
      <c r="S323">
        <v>713</v>
      </c>
      <c r="T323">
        <f>S323/(S323+R323)</f>
        <v>0.21632281553398058</v>
      </c>
      <c r="U323">
        <f t="shared" ref="U323:U326" si="55">-4.1712-2.4929*T323</f>
        <v>-4.7104711468446601</v>
      </c>
      <c r="V323">
        <f>L323-(SUM(R323:S323)*U323)</f>
        <v>22.979113999999754</v>
      </c>
      <c r="W323">
        <f>V323/(2*O323*Q323)</f>
        <v>3.440500895877039E-2</v>
      </c>
      <c r="X323">
        <f>W323*16.02</f>
        <v>0.55116824351950167</v>
      </c>
    </row>
    <row r="324" spans="9:26" x14ac:dyDescent="0.2">
      <c r="J324">
        <v>100000</v>
      </c>
      <c r="K324">
        <v>278.87505099999998</v>
      </c>
      <c r="L324">
        <v>-15545.100509</v>
      </c>
      <c r="M324">
        <v>64788.010557000001</v>
      </c>
      <c r="N324">
        <v>-0.38604300000000003</v>
      </c>
      <c r="O324">
        <v>24.555204</v>
      </c>
      <c r="P324">
        <v>195.09311400000001</v>
      </c>
      <c r="Q324">
        <v>13.524165999999999</v>
      </c>
      <c r="R324">
        <v>2568</v>
      </c>
      <c r="S324">
        <v>728</v>
      </c>
      <c r="T324">
        <f>S324/(S324+R324)</f>
        <v>0.220873786407767</v>
      </c>
      <c r="U324">
        <f t="shared" si="55"/>
        <v>-4.7218162621359223</v>
      </c>
      <c r="V324">
        <f>L324-(SUM(R324:S324)*U324)</f>
        <v>18.005891000000702</v>
      </c>
      <c r="W324">
        <f>V324/(2*O324*Q324)</f>
        <v>2.7110066432041873E-2</v>
      </c>
      <c r="X324">
        <f>W324*16.02</f>
        <v>0.43430326424131077</v>
      </c>
    </row>
    <row r="325" spans="9:26" x14ac:dyDescent="0.2">
      <c r="J325">
        <v>100000</v>
      </c>
      <c r="K325">
        <v>278.89411799999999</v>
      </c>
      <c r="L325">
        <v>-15452.645294</v>
      </c>
      <c r="M325">
        <v>65041.205680999999</v>
      </c>
      <c r="N325">
        <v>-0.35728700000000002</v>
      </c>
      <c r="O325">
        <v>24.620277999999999</v>
      </c>
      <c r="P325">
        <v>195.32181800000001</v>
      </c>
      <c r="Q325">
        <v>13.525321999999999</v>
      </c>
      <c r="R325">
        <v>2606</v>
      </c>
      <c r="S325">
        <v>690</v>
      </c>
      <c r="T325">
        <f>S325/(S325+R325)</f>
        <v>0.20934466019417475</v>
      </c>
      <c r="U325">
        <f t="shared" si="55"/>
        <v>-4.6930753033980581</v>
      </c>
      <c r="V325">
        <f>L325-(SUM(R325:S325)*U325)</f>
        <v>15.730905999998868</v>
      </c>
      <c r="W325">
        <f>V325/(2*O325*Q325)</f>
        <v>2.3620178460994463E-2</v>
      </c>
      <c r="X325">
        <f>W325*16.02</f>
        <v>0.37839525894513132</v>
      </c>
    </row>
    <row r="326" spans="9:26" x14ac:dyDescent="0.2">
      <c r="J326">
        <v>100000</v>
      </c>
      <c r="K326">
        <v>278.99119200000001</v>
      </c>
      <c r="L326">
        <v>-15457.910324</v>
      </c>
      <c r="M326">
        <v>65167.928080999998</v>
      </c>
      <c r="N326">
        <v>-0.35258</v>
      </c>
      <c r="O326">
        <v>24.774733999999999</v>
      </c>
      <c r="P326">
        <v>196.49129600000001</v>
      </c>
      <c r="Q326">
        <v>13.386977</v>
      </c>
      <c r="R326">
        <v>2606</v>
      </c>
      <c r="S326">
        <v>690</v>
      </c>
      <c r="T326">
        <f>S326/(S326+R326)</f>
        <v>0.20934466019417475</v>
      </c>
      <c r="U326">
        <f t="shared" si="55"/>
        <v>-4.6930753033980581</v>
      </c>
      <c r="V326">
        <f>L326-(SUM(R326:S326)*U326)</f>
        <v>10.465875999998389</v>
      </c>
      <c r="W326">
        <f>V326/(2*O326*Q326)</f>
        <v>1.5778077020404208E-2</v>
      </c>
      <c r="X326">
        <f>W326*16.02</f>
        <v>0.25276479386687539</v>
      </c>
      <c r="Y326" s="1">
        <f>AVERAGE(X322:X326)</f>
        <v>0.39924289351289011</v>
      </c>
      <c r="Z326" s="1">
        <f>STDEV(X322:X326)</f>
        <v>0.10792070489859741</v>
      </c>
    </row>
    <row r="328" spans="9:26" x14ac:dyDescent="0.2">
      <c r="I328" t="s">
        <v>175</v>
      </c>
      <c r="J328">
        <v>100000</v>
      </c>
      <c r="K328">
        <v>278.87964099999999</v>
      </c>
      <c r="L328">
        <v>-22249.300384999999</v>
      </c>
      <c r="M328">
        <v>94051.179399999994</v>
      </c>
      <c r="N328">
        <v>-0.24698700000000001</v>
      </c>
      <c r="O328">
        <v>34.356985999999999</v>
      </c>
      <c r="P328">
        <v>204.46624499999999</v>
      </c>
      <c r="Q328">
        <v>13.388426000000001</v>
      </c>
      <c r="R328">
        <v>3771</v>
      </c>
      <c r="S328">
        <v>981</v>
      </c>
      <c r="T328">
        <f>S328/(S328+R328)</f>
        <v>0.20643939393939395</v>
      </c>
      <c r="U328">
        <f>-4.1712-2.4929*T328</f>
        <v>-4.685832765151515</v>
      </c>
      <c r="V328">
        <f>L328-(SUM(R328:S328)*U328)</f>
        <v>17.776915000002191</v>
      </c>
      <c r="W328">
        <f>V328/(2*O328*Q328)</f>
        <v>1.9323323282003837E-2</v>
      </c>
      <c r="X328">
        <f>W328*16.02</f>
        <v>0.30955963897770145</v>
      </c>
    </row>
    <row r="329" spans="9:26" x14ac:dyDescent="0.2">
      <c r="J329">
        <v>100000</v>
      </c>
      <c r="K329">
        <v>278.85050000000001</v>
      </c>
      <c r="L329">
        <v>-22409.286651999999</v>
      </c>
      <c r="M329">
        <v>93378.634130999999</v>
      </c>
      <c r="N329">
        <v>-0.20174800000000001</v>
      </c>
      <c r="O329">
        <v>34.006497000000003</v>
      </c>
      <c r="P329">
        <v>202.10521299999999</v>
      </c>
      <c r="Q329">
        <v>13.586527</v>
      </c>
      <c r="R329">
        <v>3702</v>
      </c>
      <c r="S329">
        <v>1050</v>
      </c>
      <c r="T329">
        <f>S329/(S329+R329)</f>
        <v>0.22095959595959597</v>
      </c>
      <c r="U329">
        <f t="shared" ref="U329:U332" si="56">-4.1712-2.4929*T329</f>
        <v>-4.7220301767676762</v>
      </c>
      <c r="V329">
        <f>L329-(SUM(R329:S329)*U329)</f>
        <v>29.800747999997839</v>
      </c>
      <c r="W329">
        <f>V329/(2*O329*Q329)</f>
        <v>3.224978439346779E-2</v>
      </c>
      <c r="X329">
        <f>W329*16.02</f>
        <v>0.51664154598335399</v>
      </c>
    </row>
    <row r="330" spans="9:26" x14ac:dyDescent="0.2">
      <c r="J330">
        <v>100000</v>
      </c>
      <c r="K330">
        <v>278.88979699999999</v>
      </c>
      <c r="L330">
        <v>-22357.531080000001</v>
      </c>
      <c r="M330">
        <v>93516.176279000007</v>
      </c>
      <c r="N330">
        <v>-0.24162400000000001</v>
      </c>
      <c r="O330">
        <v>34.126747999999999</v>
      </c>
      <c r="P330">
        <v>202.84119899999999</v>
      </c>
      <c r="Q330">
        <v>13.509418999999999</v>
      </c>
      <c r="R330">
        <v>3724</v>
      </c>
      <c r="S330">
        <v>1028</v>
      </c>
      <c r="T330">
        <f>S330/(S330+R330)</f>
        <v>0.21632996632996632</v>
      </c>
      <c r="U330">
        <f t="shared" si="56"/>
        <v>-4.7104889730639732</v>
      </c>
      <c r="V330">
        <f>L330-(SUM(R330:S330)*U330)</f>
        <v>26.71252000000095</v>
      </c>
      <c r="W330">
        <f>V330/(2*O330*Q330)</f>
        <v>2.8970319671130805E-2</v>
      </c>
      <c r="X330">
        <f>W330*16.02</f>
        <v>0.46410452113151546</v>
      </c>
    </row>
    <row r="331" spans="9:26" x14ac:dyDescent="0.2">
      <c r="J331">
        <v>100000</v>
      </c>
      <c r="K331">
        <v>278.89946300000003</v>
      </c>
      <c r="L331">
        <v>-22331.871007000002</v>
      </c>
      <c r="M331">
        <v>93751.850372999994</v>
      </c>
      <c r="N331">
        <v>-0.234209</v>
      </c>
      <c r="O331">
        <v>34.288741999999999</v>
      </c>
      <c r="P331">
        <v>203.81777399999999</v>
      </c>
      <c r="Q331">
        <v>13.414884000000001</v>
      </c>
      <c r="R331">
        <v>3737</v>
      </c>
      <c r="S331">
        <v>1015</v>
      </c>
      <c r="T331">
        <f>S331/(S331+R331)</f>
        <v>0.21359427609427609</v>
      </c>
      <c r="U331">
        <f t="shared" si="56"/>
        <v>-4.703669170875421</v>
      </c>
      <c r="V331">
        <f>L331-(SUM(R331:S331)*U331)</f>
        <v>19.964893000000302</v>
      </c>
      <c r="W331">
        <f>V331/(2*O331*Q331)</f>
        <v>2.170193797190401E-2</v>
      </c>
      <c r="X331">
        <f>W331*16.02</f>
        <v>0.34766504630990225</v>
      </c>
    </row>
    <row r="332" spans="9:26" x14ac:dyDescent="0.2">
      <c r="J332">
        <v>100000</v>
      </c>
      <c r="K332">
        <v>278.94871599999999</v>
      </c>
      <c r="L332">
        <v>-22289.444116999999</v>
      </c>
      <c r="M332">
        <v>93690.420069999993</v>
      </c>
      <c r="N332">
        <v>-0.25825599999999999</v>
      </c>
      <c r="O332">
        <v>34.102333000000002</v>
      </c>
      <c r="P332">
        <v>202.897898</v>
      </c>
      <c r="Q332">
        <v>13.540476</v>
      </c>
      <c r="R332">
        <v>3750</v>
      </c>
      <c r="S332">
        <v>1002</v>
      </c>
      <c r="T332">
        <f>S332/(S332+R332)</f>
        <v>0.21085858585858586</v>
      </c>
      <c r="U332">
        <f t="shared" si="56"/>
        <v>-4.6968493686868689</v>
      </c>
      <c r="V332">
        <f>L332-(SUM(R332:S332)*U332)</f>
        <v>29.984083000003011</v>
      </c>
      <c r="W332">
        <f>V332/(2*O332*Q332)</f>
        <v>3.2467044266047011E-2</v>
      </c>
      <c r="X332">
        <f>W332*16.02</f>
        <v>0.52012204914207316</v>
      </c>
      <c r="Y332" s="1">
        <f>AVERAGE(X328:X332)</f>
        <v>0.43161856030890922</v>
      </c>
      <c r="Z332" s="1">
        <f>STDEV(X328:X332)</f>
        <v>9.7549584915219395E-2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I535"/>
  <sheetViews>
    <sheetView topLeftCell="I7" workbookViewId="0">
      <selection activeCell="AA41" sqref="AA41:AF52"/>
    </sheetView>
  </sheetViews>
  <sheetFormatPr baseColWidth="10" defaultRowHeight="16" x14ac:dyDescent="0.2"/>
  <cols>
    <col min="3" max="5" width="12.1640625" bestFit="1" customWidth="1"/>
  </cols>
  <sheetData>
    <row r="1" spans="1:8" x14ac:dyDescent="0.2">
      <c r="E1" t="s">
        <v>29</v>
      </c>
      <c r="F1" t="s">
        <v>30</v>
      </c>
    </row>
    <row r="2" spans="1:8" x14ac:dyDescent="0.2">
      <c r="D2">
        <v>600</v>
      </c>
      <c r="E2">
        <v>-4.1201358984000001</v>
      </c>
      <c r="F2">
        <v>-6.8129961863403325</v>
      </c>
    </row>
    <row r="3" spans="1:8" x14ac:dyDescent="0.2">
      <c r="D3">
        <v>800</v>
      </c>
      <c r="E3">
        <v>-4.0944669552500006</v>
      </c>
      <c r="F3">
        <v>-6.7846091721999997</v>
      </c>
    </row>
    <row r="4" spans="1:8" x14ac:dyDescent="0.2">
      <c r="D4">
        <v>1000</v>
      </c>
      <c r="E4">
        <v>-4.0670907491499992</v>
      </c>
      <c r="F4">
        <v>-6.7554243092999995</v>
      </c>
    </row>
    <row r="5" spans="1:8" x14ac:dyDescent="0.2">
      <c r="D5">
        <v>1200</v>
      </c>
      <c r="E5">
        <v>-4.0371768887999995</v>
      </c>
      <c r="F5">
        <v>-6.7245818759000002</v>
      </c>
    </row>
    <row r="6" spans="1:8" x14ac:dyDescent="0.2">
      <c r="B6" t="s">
        <v>73</v>
      </c>
    </row>
    <row r="7" spans="1:8" x14ac:dyDescent="0.2">
      <c r="B7" t="s">
        <v>5</v>
      </c>
      <c r="C7" t="s">
        <v>7</v>
      </c>
      <c r="D7" t="s">
        <v>6</v>
      </c>
      <c r="E7" t="s">
        <v>8</v>
      </c>
      <c r="F7" t="s">
        <v>12</v>
      </c>
      <c r="G7" t="s">
        <v>14</v>
      </c>
      <c r="H7" t="s">
        <v>13</v>
      </c>
    </row>
    <row r="8" spans="1:8" x14ac:dyDescent="0.2">
      <c r="A8">
        <v>800</v>
      </c>
      <c r="B8">
        <v>-9652.5731309999992</v>
      </c>
      <c r="C8">
        <v>38989.781895</v>
      </c>
      <c r="D8">
        <f>B8/2000</f>
        <v>-4.8262865654999993</v>
      </c>
      <c r="E8">
        <f>C8/2000</f>
        <v>19.4948909475</v>
      </c>
      <c r="F8">
        <f>B8-2000*(H8*$F$3+(1-H8)*E$3)</f>
        <v>91.262980897101443</v>
      </c>
      <c r="G8">
        <f>F8/2000</f>
        <v>4.5631490448550721E-2</v>
      </c>
      <c r="H8">
        <f>578/2000</f>
        <v>0.28899999999999998</v>
      </c>
    </row>
    <row r="9" spans="1:8" x14ac:dyDescent="0.2">
      <c r="B9">
        <v>-9737.6215549999997</v>
      </c>
      <c r="C9">
        <v>38805.354585000001</v>
      </c>
      <c r="D9">
        <f t="shared" ref="D9:E17" si="0">B9/2000</f>
        <v>-4.8688107775000002</v>
      </c>
      <c r="E9">
        <f t="shared" si="0"/>
        <v>19.402677292500002</v>
      </c>
      <c r="F9">
        <f t="shared" ref="F9:F17" si="1">B9-2000*(H9*$F$3+(1-H9)*E$3)</f>
        <v>97.679392273399571</v>
      </c>
      <c r="G9">
        <f t="shared" ref="G9:G17" si="2">F9/2000</f>
        <v>4.8839696136699785E-2</v>
      </c>
      <c r="H9">
        <f>612/2000</f>
        <v>0.30599999999999999</v>
      </c>
    </row>
    <row r="10" spans="1:8" x14ac:dyDescent="0.2">
      <c r="B10">
        <v>-9650.6845109999995</v>
      </c>
      <c r="C10">
        <v>39029.984709999997</v>
      </c>
      <c r="D10">
        <f t="shared" si="0"/>
        <v>-4.8253422554999998</v>
      </c>
      <c r="E10">
        <f t="shared" si="0"/>
        <v>19.514992354999997</v>
      </c>
      <c r="F10">
        <f t="shared" si="1"/>
        <v>95.841743114049677</v>
      </c>
      <c r="G10">
        <f t="shared" si="2"/>
        <v>4.792087155702484E-2</v>
      </c>
      <c r="H10">
        <f>579/2000</f>
        <v>0.28949999999999998</v>
      </c>
    </row>
    <row r="11" spans="1:8" x14ac:dyDescent="0.2">
      <c r="B11">
        <v>-9688.7434919999996</v>
      </c>
      <c r="C11">
        <v>38928.571069999998</v>
      </c>
      <c r="D11">
        <f t="shared" si="0"/>
        <v>-4.8443717460000002</v>
      </c>
      <c r="E11">
        <f t="shared" si="0"/>
        <v>19.464285534999998</v>
      </c>
      <c r="F11">
        <f t="shared" si="1"/>
        <v>95.444753151352415</v>
      </c>
      <c r="G11">
        <f t="shared" si="2"/>
        <v>4.7722376575676205E-2</v>
      </c>
      <c r="H11">
        <f>593/2000</f>
        <v>0.29649999999999999</v>
      </c>
    </row>
    <row r="12" spans="1:8" x14ac:dyDescent="0.2">
      <c r="B12">
        <v>-9738.8687890000001</v>
      </c>
      <c r="C12">
        <v>38811.295254999997</v>
      </c>
      <c r="D12">
        <f t="shared" si="0"/>
        <v>-4.8694343944999998</v>
      </c>
      <c r="E12">
        <f t="shared" si="0"/>
        <v>19.405647627499999</v>
      </c>
      <c r="F12">
        <f t="shared" si="1"/>
        <v>99.122300490351336</v>
      </c>
      <c r="G12">
        <f t="shared" si="2"/>
        <v>4.956115024517567E-2</v>
      </c>
      <c r="H12">
        <f>613/2000</f>
        <v>0.30649999999999999</v>
      </c>
    </row>
    <row r="13" spans="1:8" x14ac:dyDescent="0.2">
      <c r="B13">
        <v>-9730.067266</v>
      </c>
      <c r="C13">
        <v>38822.968276</v>
      </c>
      <c r="D13">
        <f t="shared" si="0"/>
        <v>-4.8650336330000004</v>
      </c>
      <c r="E13">
        <f t="shared" si="0"/>
        <v>19.411484137999999</v>
      </c>
      <c r="F13">
        <f t="shared" si="1"/>
        <v>94.473112405601569</v>
      </c>
      <c r="G13">
        <f t="shared" si="2"/>
        <v>4.7236556202800782E-2</v>
      </c>
      <c r="H13">
        <f>608/2000</f>
        <v>0.30399999999999999</v>
      </c>
    </row>
    <row r="14" spans="1:8" x14ac:dyDescent="0.2">
      <c r="B14">
        <v>-9771.4441459999998</v>
      </c>
      <c r="C14">
        <v>38738.906336</v>
      </c>
      <c r="D14">
        <f t="shared" si="0"/>
        <v>-4.8857220730000002</v>
      </c>
      <c r="E14">
        <f t="shared" si="0"/>
        <v>19.369453168</v>
      </c>
      <c r="F14">
        <f t="shared" si="1"/>
        <v>98.828650093750184</v>
      </c>
      <c r="G14">
        <f t="shared" si="2"/>
        <v>4.9414325046875089E-2</v>
      </c>
      <c r="H14">
        <f>625/2000</f>
        <v>0.3125</v>
      </c>
    </row>
    <row r="15" spans="1:8" x14ac:dyDescent="0.2">
      <c r="B15">
        <v>-9771.4748999999993</v>
      </c>
      <c r="C15">
        <v>38738.756253</v>
      </c>
      <c r="D15">
        <f t="shared" si="0"/>
        <v>-4.8857374499999997</v>
      </c>
      <c r="E15">
        <f t="shared" si="0"/>
        <v>19.369378126499999</v>
      </c>
      <c r="F15">
        <f t="shared" si="1"/>
        <v>104.17818052765142</v>
      </c>
      <c r="G15">
        <f t="shared" si="2"/>
        <v>5.2089090263825709E-2</v>
      </c>
      <c r="H15">
        <f>627/2000</f>
        <v>0.3135</v>
      </c>
    </row>
    <row r="16" spans="1:8" x14ac:dyDescent="0.2">
      <c r="B16">
        <v>-9771.3905070000001</v>
      </c>
      <c r="C16">
        <v>38728.369314000003</v>
      </c>
      <c r="D16">
        <f t="shared" si="0"/>
        <v>-4.8856952534999998</v>
      </c>
      <c r="E16">
        <f t="shared" si="0"/>
        <v>19.364184657000003</v>
      </c>
      <c r="F16">
        <f t="shared" si="1"/>
        <v>104.2625735276506</v>
      </c>
      <c r="G16">
        <f t="shared" si="2"/>
        <v>5.2131286763825301E-2</v>
      </c>
      <c r="H16">
        <f>627/2000</f>
        <v>0.3135</v>
      </c>
    </row>
    <row r="17" spans="1:35" x14ac:dyDescent="0.2">
      <c r="B17">
        <v>-9694.6748950000001</v>
      </c>
      <c r="C17">
        <v>38913.487393000003</v>
      </c>
      <c r="D17">
        <f t="shared" si="0"/>
        <v>-4.8473374475000002</v>
      </c>
      <c r="E17">
        <f t="shared" si="0"/>
        <v>19.456743696500002</v>
      </c>
      <c r="F17">
        <f t="shared" si="1"/>
        <v>92.203492368300431</v>
      </c>
      <c r="G17">
        <f t="shared" si="2"/>
        <v>4.6101746184150215E-2</v>
      </c>
      <c r="H17">
        <f>594/2000</f>
        <v>0.29699999999999999</v>
      </c>
    </row>
    <row r="19" spans="1:35" x14ac:dyDescent="0.2">
      <c r="B19" t="s">
        <v>5</v>
      </c>
      <c r="C19" t="s">
        <v>7</v>
      </c>
      <c r="D19" t="s">
        <v>6</v>
      </c>
      <c r="E19" t="s">
        <v>8</v>
      </c>
      <c r="F19" t="s">
        <v>12</v>
      </c>
      <c r="G19" t="s">
        <v>14</v>
      </c>
      <c r="H19" t="s">
        <v>13</v>
      </c>
    </row>
    <row r="20" spans="1:35" x14ac:dyDescent="0.2">
      <c r="A20">
        <v>1000</v>
      </c>
      <c r="B20">
        <v>-9597.0604650000005</v>
      </c>
      <c r="C20">
        <v>39275.243009999998</v>
      </c>
      <c r="D20">
        <f>B20/2000</f>
        <v>-4.7985302325000001</v>
      </c>
      <c r="E20">
        <f>C20/2000</f>
        <v>19.637621504999998</v>
      </c>
      <c r="F20">
        <f>B20-2000*(H20*$F$4+(1-H20)*E$4)</f>
        <v>90.977831066698855</v>
      </c>
      <c r="G20">
        <f>F20/2000</f>
        <v>4.5488915533349425E-2</v>
      </c>
      <c r="H20">
        <f>578/2000</f>
        <v>0.28899999999999998</v>
      </c>
    </row>
    <row r="21" spans="1:35" x14ac:dyDescent="0.2">
      <c r="B21">
        <v>-9682.4450080000006</v>
      </c>
      <c r="C21">
        <v>39086.589818</v>
      </c>
      <c r="D21">
        <f t="shared" ref="D21:D29" si="3">B21/2000</f>
        <v>-4.8412225040000001</v>
      </c>
      <c r="E21">
        <f t="shared" ref="E21:E29" si="4">C21/2000</f>
        <v>19.543294909</v>
      </c>
      <c r="F21">
        <f t="shared" ref="F21:F29" si="5">B21-2000*(H21*$F$4+(1-H21)*E$4)</f>
        <v>96.996629111798029</v>
      </c>
      <c r="G21">
        <f t="shared" ref="G21:G29" si="6">F21/2000</f>
        <v>4.8498314555899015E-2</v>
      </c>
      <c r="H21">
        <f>612/2000</f>
        <v>0.30599999999999999</v>
      </c>
    </row>
    <row r="22" spans="1:35" x14ac:dyDescent="0.2">
      <c r="B22">
        <v>-9595.5518639999991</v>
      </c>
      <c r="C22">
        <v>39308.117365999999</v>
      </c>
      <c r="D22">
        <f t="shared" si="3"/>
        <v>-4.7977759319999995</v>
      </c>
      <c r="E22">
        <f t="shared" si="4"/>
        <v>19.654058682999999</v>
      </c>
      <c r="F22">
        <f t="shared" si="5"/>
        <v>95.174765626848966</v>
      </c>
      <c r="G22">
        <f t="shared" si="6"/>
        <v>4.7587382813424485E-2</v>
      </c>
      <c r="H22">
        <f>579/2000</f>
        <v>0.28949999999999998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2">
      <c r="B23">
        <v>-9633.9874189999991</v>
      </c>
      <c r="C23">
        <v>39198.290606000002</v>
      </c>
      <c r="D23">
        <f t="shared" si="3"/>
        <v>-4.8169937094999993</v>
      </c>
      <c r="E23">
        <f t="shared" si="4"/>
        <v>19.599145303</v>
      </c>
      <c r="F23">
        <f t="shared" si="5"/>
        <v>94.375880468949617</v>
      </c>
      <c r="G23">
        <f t="shared" si="6"/>
        <v>4.7187940234474805E-2</v>
      </c>
      <c r="H23">
        <f>593/2000</f>
        <v>0.29649999999999999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2">
      <c r="B24">
        <v>-9683.9621540000007</v>
      </c>
      <c r="C24">
        <v>39088.196448000002</v>
      </c>
      <c r="D24">
        <f t="shared" si="3"/>
        <v>-4.8419810770000007</v>
      </c>
      <c r="E24">
        <f t="shared" si="4"/>
        <v>19.544098224000003</v>
      </c>
      <c r="F24">
        <f t="shared" si="5"/>
        <v>98.167816671948458</v>
      </c>
      <c r="G24">
        <f t="shared" si="6"/>
        <v>4.908390833597423E-2</v>
      </c>
      <c r="H24">
        <f>613/2000</f>
        <v>0.30649999999999999</v>
      </c>
      <c r="I24">
        <v>800</v>
      </c>
      <c r="K24" t="s">
        <v>73</v>
      </c>
      <c r="W24" t="s">
        <v>25</v>
      </c>
      <c r="X24" t="s">
        <v>24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2">
      <c r="B25">
        <v>-9675.8636409999999</v>
      </c>
      <c r="C25">
        <v>39098.087525000003</v>
      </c>
      <c r="D25">
        <f t="shared" si="3"/>
        <v>-4.8379318204999997</v>
      </c>
      <c r="E25">
        <f t="shared" si="4"/>
        <v>19.549043762500002</v>
      </c>
      <c r="F25">
        <f t="shared" si="5"/>
        <v>92.824661871198259</v>
      </c>
      <c r="G25">
        <f t="shared" si="6"/>
        <v>4.6412330935599128E-2</v>
      </c>
      <c r="H25">
        <f>608/2000</f>
        <v>0.30399999999999999</v>
      </c>
      <c r="J25" t="s">
        <v>176</v>
      </c>
      <c r="K25" t="s">
        <v>18</v>
      </c>
      <c r="L25" t="s">
        <v>5</v>
      </c>
      <c r="M25" t="s">
        <v>7</v>
      </c>
      <c r="N25" t="s">
        <v>19</v>
      </c>
      <c r="O25" t="s">
        <v>20</v>
      </c>
      <c r="P25" t="s">
        <v>21</v>
      </c>
      <c r="Q25" t="s">
        <v>22</v>
      </c>
      <c r="R25" t="s">
        <v>4</v>
      </c>
      <c r="S25" t="s">
        <v>10</v>
      </c>
      <c r="T25" t="s">
        <v>13</v>
      </c>
      <c r="U25" t="s">
        <v>26</v>
      </c>
      <c r="V25" t="s">
        <v>12</v>
      </c>
      <c r="W25" t="s">
        <v>23</v>
      </c>
      <c r="X25" t="s">
        <v>23</v>
      </c>
      <c r="AA25" s="10"/>
      <c r="AB25">
        <v>600</v>
      </c>
      <c r="AC25" s="10">
        <v>800</v>
      </c>
      <c r="AD25" s="10">
        <v>1000</v>
      </c>
      <c r="AE25" s="10">
        <v>1200</v>
      </c>
      <c r="AF25" s="10"/>
      <c r="AG25" s="10"/>
      <c r="AH25" s="10"/>
      <c r="AI25" s="10"/>
    </row>
    <row r="26" spans="1:35" x14ac:dyDescent="0.2">
      <c r="B26">
        <v>-9714.9446590000007</v>
      </c>
      <c r="C26">
        <v>39021.158513000002</v>
      </c>
      <c r="D26">
        <f t="shared" si="3"/>
        <v>-4.8574723295000002</v>
      </c>
      <c r="E26">
        <f t="shared" si="4"/>
        <v>19.510579256500002</v>
      </c>
      <c r="F26">
        <f t="shared" si="5"/>
        <v>99.445314393748049</v>
      </c>
      <c r="G26">
        <f t="shared" si="6"/>
        <v>4.9722657196874027E-2</v>
      </c>
      <c r="H26">
        <f>625/2000</f>
        <v>0.3125</v>
      </c>
      <c r="I26" t="s">
        <v>55</v>
      </c>
      <c r="K26">
        <v>694.06391699999995</v>
      </c>
      <c r="L26">
        <v>-19027.062344000002</v>
      </c>
      <c r="M26">
        <v>75753.60845</v>
      </c>
      <c r="N26">
        <v>-0.73138099999999995</v>
      </c>
      <c r="O26">
        <v>30.640504</v>
      </c>
      <c r="P26">
        <v>182.80953299999999</v>
      </c>
      <c r="Q26">
        <v>13.524138000000001</v>
      </c>
      <c r="R26">
        <v>2690</v>
      </c>
      <c r="S26">
        <v>1214</v>
      </c>
      <c r="T26">
        <f>S26/(S26+R26)</f>
        <v>0.31096311475409838</v>
      </c>
      <c r="U26">
        <f>-4.1056-2.4928*T26</f>
        <v>-4.880768852459016</v>
      </c>
      <c r="V26">
        <f>L26-(SUM(R26:S26)*U26)</f>
        <v>27.459255999998277</v>
      </c>
      <c r="W26">
        <f>V26/(2*O26*Q26)</f>
        <v>3.3132428697905884E-2</v>
      </c>
      <c r="X26">
        <f>W26*16.02</f>
        <v>0.5307815077404523</v>
      </c>
      <c r="AA26" t="s">
        <v>17</v>
      </c>
      <c r="AB26" s="20">
        <v>0.62079812637782628</v>
      </c>
      <c r="AC26" s="20">
        <v>0.65729557958148088</v>
      </c>
      <c r="AD26" s="20">
        <v>0.68965963126411522</v>
      </c>
      <c r="AE26" s="20">
        <v>0.7294987398861813</v>
      </c>
      <c r="AF26" s="10"/>
      <c r="AG26" s="12"/>
      <c r="AH26" s="12"/>
      <c r="AI26" s="10"/>
    </row>
    <row r="27" spans="1:35" x14ac:dyDescent="0.2">
      <c r="B27">
        <v>-9715.2114989999991</v>
      </c>
      <c r="C27">
        <v>39020.661715000002</v>
      </c>
      <c r="D27">
        <f t="shared" si="3"/>
        <v>-4.8576057494999993</v>
      </c>
      <c r="E27">
        <f t="shared" si="4"/>
        <v>19.510330857500001</v>
      </c>
      <c r="F27">
        <f t="shared" si="5"/>
        <v>104.55514151404896</v>
      </c>
      <c r="G27">
        <f t="shared" si="6"/>
        <v>5.227757075702448E-2</v>
      </c>
      <c r="H27">
        <f>627/2000</f>
        <v>0.3135</v>
      </c>
      <c r="K27">
        <v>693.90836999999999</v>
      </c>
      <c r="L27">
        <v>-19041.030759000001</v>
      </c>
      <c r="M27">
        <v>75739.534750000006</v>
      </c>
      <c r="N27">
        <v>-0.76253800000000005</v>
      </c>
      <c r="O27">
        <v>30.63851</v>
      </c>
      <c r="P27">
        <v>182.69151400000001</v>
      </c>
      <c r="Q27">
        <v>13.531243</v>
      </c>
      <c r="R27">
        <v>2683</v>
      </c>
      <c r="S27">
        <v>1221</v>
      </c>
      <c r="T27">
        <f>S27/(S27+R27)</f>
        <v>0.31275614754098363</v>
      </c>
      <c r="U27">
        <f>-4.1056-2.4928*T27</f>
        <v>-4.8852385245901635</v>
      </c>
      <c r="V27">
        <f>L27-(SUM(R27:S27)*U27)</f>
        <v>30.940440999998827</v>
      </c>
      <c r="W27">
        <f>V27/(2*O27*Q27)</f>
        <v>3.7315663613885573E-2</v>
      </c>
      <c r="X27">
        <f>W27*16.02</f>
        <v>0.59779693109444687</v>
      </c>
      <c r="AA27" t="s">
        <v>27</v>
      </c>
      <c r="AB27" s="20">
        <v>0.63273491901755885</v>
      </c>
      <c r="AC27" s="20">
        <v>0.67232401454996626</v>
      </c>
      <c r="AD27" s="20">
        <v>0.70435140712966415</v>
      </c>
      <c r="AE27" s="20">
        <v>0.77605693616979332</v>
      </c>
      <c r="AF27" s="10"/>
      <c r="AG27" s="12"/>
      <c r="AH27" s="12"/>
      <c r="AI27" s="10"/>
    </row>
    <row r="28" spans="1:35" x14ac:dyDescent="0.2">
      <c r="B28">
        <v>-9715.9887340000005</v>
      </c>
      <c r="C28">
        <v>39004.589294999998</v>
      </c>
      <c r="D28">
        <f t="shared" si="3"/>
        <v>-4.8579943669999999</v>
      </c>
      <c r="E28">
        <f t="shared" si="4"/>
        <v>19.502294647499998</v>
      </c>
      <c r="F28">
        <f t="shared" si="5"/>
        <v>103.77790651404757</v>
      </c>
      <c r="G28">
        <f t="shared" si="6"/>
        <v>5.1888953257023786E-2</v>
      </c>
      <c r="H28">
        <f>627/2000</f>
        <v>0.3135</v>
      </c>
      <c r="K28">
        <v>693.96341399999994</v>
      </c>
      <c r="L28">
        <v>-19040.505238000002</v>
      </c>
      <c r="M28">
        <v>75708.288618000006</v>
      </c>
      <c r="N28">
        <v>-0.74329699999999999</v>
      </c>
      <c r="O28">
        <v>30.63336</v>
      </c>
      <c r="P28">
        <v>182.761212</v>
      </c>
      <c r="Q28">
        <v>13.522772</v>
      </c>
      <c r="R28">
        <v>2684</v>
      </c>
      <c r="S28">
        <v>1220</v>
      </c>
      <c r="T28">
        <f>S28/(S28+R28)</f>
        <v>0.3125</v>
      </c>
      <c r="U28">
        <f>-4.1056-2.4928*T28</f>
        <v>-4.8845999999999998</v>
      </c>
      <c r="V28">
        <f>L28-(SUM(R28:S28)*U28)</f>
        <v>28.97316199999841</v>
      </c>
      <c r="W28">
        <f>V28/(2*O28*Q28)</f>
        <v>3.4970797680963554E-2</v>
      </c>
      <c r="X28">
        <f>W28*16.02</f>
        <v>0.56023217884903609</v>
      </c>
      <c r="AA28" t="s">
        <v>28</v>
      </c>
      <c r="AB28" s="20">
        <v>0.65604958546118008</v>
      </c>
      <c r="AC28" s="20">
        <v>0.64231566195298329</v>
      </c>
      <c r="AD28" s="20">
        <v>0.64556180438752198</v>
      </c>
      <c r="AE28" s="20">
        <v>0.63387897756503198</v>
      </c>
      <c r="AF28" s="10"/>
      <c r="AG28" s="12"/>
      <c r="AH28" s="12"/>
      <c r="AI28" s="10"/>
    </row>
    <row r="29" spans="1:35" x14ac:dyDescent="0.2">
      <c r="B29">
        <v>-9638.0853829999996</v>
      </c>
      <c r="C29">
        <v>39195.913220000002</v>
      </c>
      <c r="D29">
        <f t="shared" si="3"/>
        <v>-4.8190426915</v>
      </c>
      <c r="E29">
        <f t="shared" si="4"/>
        <v>19.597956610000001</v>
      </c>
      <c r="F29">
        <f t="shared" si="5"/>
        <v>92.966250029097864</v>
      </c>
      <c r="G29">
        <f t="shared" si="6"/>
        <v>4.6483125014548932E-2</v>
      </c>
      <c r="H29">
        <f>594/2000</f>
        <v>0.29699999999999999</v>
      </c>
      <c r="K29">
        <v>694.249413</v>
      </c>
      <c r="L29">
        <v>-18967.677377</v>
      </c>
      <c r="M29">
        <v>75908.168088000006</v>
      </c>
      <c r="N29">
        <v>-0.87409700000000001</v>
      </c>
      <c r="O29">
        <v>30.635051000000001</v>
      </c>
      <c r="P29">
        <v>182.917035</v>
      </c>
      <c r="Q29">
        <v>13.546181000000001</v>
      </c>
      <c r="R29">
        <v>2713</v>
      </c>
      <c r="S29">
        <v>1191</v>
      </c>
      <c r="T29">
        <f>S29/(S29+R29)</f>
        <v>0.30507172131147542</v>
      </c>
      <c r="U29">
        <f>-4.1056-2.4928*T29</f>
        <v>-4.8660827868852454</v>
      </c>
      <c r="V29">
        <f>L29-(SUM(R29:S29)*U29)</f>
        <v>29.509822999996686</v>
      </c>
      <c r="W29">
        <f>V29/(2*O29*Q29)</f>
        <v>3.5555036356301022E-2</v>
      </c>
      <c r="X29">
        <f>W29*16.02</f>
        <v>0.56959168242794234</v>
      </c>
      <c r="AA29" s="10" t="s">
        <v>55</v>
      </c>
      <c r="AB29" s="20">
        <v>0.54996741120052894</v>
      </c>
      <c r="AC29" s="20">
        <v>0.55662893120954315</v>
      </c>
      <c r="AD29" s="20">
        <v>0.55741857614699852</v>
      </c>
      <c r="AE29" s="20">
        <v>0.53866028970953361</v>
      </c>
      <c r="AF29" s="10"/>
      <c r="AG29" s="10"/>
      <c r="AH29" s="10"/>
      <c r="AI29" s="10"/>
    </row>
    <row r="30" spans="1:35" x14ac:dyDescent="0.2">
      <c r="K30">
        <v>694.008377</v>
      </c>
      <c r="L30">
        <v>-18997.442376999999</v>
      </c>
      <c r="M30">
        <v>75813.331390000007</v>
      </c>
      <c r="N30">
        <v>-0.73438499999999995</v>
      </c>
      <c r="O30">
        <v>30.635576</v>
      </c>
      <c r="P30">
        <v>182.827077</v>
      </c>
      <c r="Q30">
        <v>13.535678000000001</v>
      </c>
      <c r="R30">
        <v>2702</v>
      </c>
      <c r="S30">
        <v>1202</v>
      </c>
      <c r="T30">
        <f>S30/(S30+R30)</f>
        <v>0.30788934426229508</v>
      </c>
      <c r="U30">
        <f>-4.1056-2.4928*T30</f>
        <v>-4.8731065573770493</v>
      </c>
      <c r="V30">
        <f>L30-(SUM(R30:S30)*U30)</f>
        <v>27.165623000000778</v>
      </c>
      <c r="W30">
        <f>V30/(2*O30*Q30)</f>
        <v>3.2755452929827601E-2</v>
      </c>
      <c r="X30">
        <f>W30*16.02</f>
        <v>0.52474235593583818</v>
      </c>
      <c r="Y30" s="1">
        <f>AVERAGE(X26:X30)</f>
        <v>0.55662893120954315</v>
      </c>
      <c r="AA30" s="39" t="s">
        <v>110</v>
      </c>
      <c r="AB30" s="20">
        <v>0.68171968573347841</v>
      </c>
      <c r="AC30" s="20">
        <v>0.7037745866603442</v>
      </c>
      <c r="AD30" s="20">
        <v>0.74157826739548249</v>
      </c>
      <c r="AE30" s="20">
        <v>0.76099027678302311</v>
      </c>
      <c r="AF30" s="10"/>
      <c r="AG30" s="10"/>
      <c r="AH30" s="10"/>
      <c r="AI30" s="10"/>
    </row>
    <row r="31" spans="1:35" x14ac:dyDescent="0.2">
      <c r="B31" t="s">
        <v>5</v>
      </c>
      <c r="C31" t="s">
        <v>7</v>
      </c>
      <c r="D31" t="s">
        <v>6</v>
      </c>
      <c r="E31" t="s">
        <v>8</v>
      </c>
      <c r="F31" t="s">
        <v>12</v>
      </c>
      <c r="G31" t="s">
        <v>14</v>
      </c>
      <c r="H31" t="s">
        <v>13</v>
      </c>
      <c r="Y31">
        <f>STDEV(X26:X30)</f>
        <v>2.9835647763628396E-2</v>
      </c>
      <c r="Z31" s="10"/>
      <c r="AA31" s="39" t="s">
        <v>147</v>
      </c>
      <c r="AB31" s="48">
        <f>AVERAGE(AB26:AB30)</f>
        <v>0.62825394555811465</v>
      </c>
      <c r="AC31" s="48">
        <f>AVERAGE(AC26:AC30)</f>
        <v>0.6464677547908636</v>
      </c>
      <c r="AD31" s="48">
        <f>AVERAGE(AD26:AD30)</f>
        <v>0.66771393726475647</v>
      </c>
      <c r="AE31" s="48">
        <f>AVERAGE(AE26:AE30)</f>
        <v>0.68781704402271271</v>
      </c>
      <c r="AF31" s="10"/>
      <c r="AG31" s="12"/>
      <c r="AH31" s="12"/>
      <c r="AI31" s="10"/>
    </row>
    <row r="32" spans="1:35" x14ac:dyDescent="0.2">
      <c r="A32">
        <v>1200</v>
      </c>
      <c r="B32">
        <v>-9539.8024280000009</v>
      </c>
      <c r="C32">
        <v>39567.423791000001</v>
      </c>
      <c r="D32">
        <f>B32/2000</f>
        <v>-4.7699012140000008</v>
      </c>
      <c r="E32">
        <f>C32/2000</f>
        <v>19.783711895500002</v>
      </c>
      <c r="F32">
        <f>B32-2000*(H32*$F$5+(1-H32)*E$5)</f>
        <v>87.871432143798302</v>
      </c>
      <c r="G32">
        <f>F32/2000</f>
        <v>4.3935716071899153E-2</v>
      </c>
      <c r="H32">
        <f>578/2000</f>
        <v>0.28899999999999998</v>
      </c>
      <c r="I32" t="s">
        <v>133</v>
      </c>
      <c r="J32">
        <v>100000</v>
      </c>
      <c r="K32">
        <v>743.88923499999999</v>
      </c>
      <c r="L32">
        <v>-15375.072905999999</v>
      </c>
      <c r="M32">
        <v>61639.995110000003</v>
      </c>
      <c r="N32">
        <v>-0.98651299999999997</v>
      </c>
      <c r="O32">
        <v>23.967649000000002</v>
      </c>
      <c r="P32">
        <v>190.09403599999999</v>
      </c>
      <c r="Q32">
        <v>13.529133</v>
      </c>
      <c r="R32">
        <v>2206</v>
      </c>
      <c r="S32">
        <v>962</v>
      </c>
      <c r="T32">
        <f>S32/(S32+R32)</f>
        <v>0.30366161616161619</v>
      </c>
      <c r="U32">
        <f>-4.1056-2.4928*T32</f>
        <v>-4.8625676767676769</v>
      </c>
      <c r="V32">
        <f>L32-(SUM(R32:S32)*U32)</f>
        <v>29.541494000000966</v>
      </c>
      <c r="W32">
        <f>V32/(2*O32*Q32)</f>
        <v>4.5551958829816552E-2</v>
      </c>
      <c r="X32">
        <f>W32*16.02</f>
        <v>0.72974238045366113</v>
      </c>
      <c r="Z32" s="10"/>
      <c r="AB32" s="12" t="s">
        <v>145</v>
      </c>
      <c r="AC32" s="12"/>
      <c r="AD32" s="10"/>
      <c r="AE32" s="10"/>
      <c r="AF32" s="10"/>
      <c r="AG32" s="12"/>
      <c r="AH32" s="12"/>
      <c r="AI32" s="10"/>
    </row>
    <row r="33" spans="1:35" x14ac:dyDescent="0.2">
      <c r="B33">
        <v>-9623.9489510000003</v>
      </c>
      <c r="C33">
        <v>39376.747757999998</v>
      </c>
      <c r="D33">
        <f t="shared" ref="D33:D41" si="7">B33/2000</f>
        <v>-4.8119744755000005</v>
      </c>
      <c r="E33">
        <f t="shared" ref="E33:E41" si="8">C33/2000</f>
        <v>19.688373879</v>
      </c>
      <c r="F33">
        <f t="shared" ref="F33:F41" si="9">B33-2000*(H33*$F$5+(1-H33)*E$5)</f>
        <v>95.096678705198428</v>
      </c>
      <c r="G33">
        <f t="shared" ref="G33:G41" si="10">F33/2000</f>
        <v>4.7548339352599216E-2</v>
      </c>
      <c r="H33">
        <f>612/2000</f>
        <v>0.30599999999999999</v>
      </c>
      <c r="J33">
        <v>100000</v>
      </c>
      <c r="K33">
        <v>743.55688399999997</v>
      </c>
      <c r="L33">
        <v>-15294.093070000001</v>
      </c>
      <c r="M33">
        <v>61769.316897999997</v>
      </c>
      <c r="N33">
        <v>-1.0423960000000001</v>
      </c>
      <c r="O33">
        <v>23.994653</v>
      </c>
      <c r="P33">
        <v>190.166786</v>
      </c>
      <c r="Q33">
        <v>13.537086</v>
      </c>
      <c r="R33">
        <v>2238</v>
      </c>
      <c r="S33">
        <v>930</v>
      </c>
      <c r="T33">
        <f>S33/(S33+R33)</f>
        <v>0.29356060606060608</v>
      </c>
      <c r="U33">
        <f>-4.1056-2.4928*T33</f>
        <v>-4.8373878787878786</v>
      </c>
      <c r="V33">
        <f>L33-(SUM(R33:S33)*U33)</f>
        <v>30.751729999998133</v>
      </c>
      <c r="W33">
        <f>V33/(2*O33*Q33)</f>
        <v>4.733690894886005E-2</v>
      </c>
      <c r="X33">
        <f>W33*16.02</f>
        <v>0.75833728136073797</v>
      </c>
      <c r="Z33" s="10"/>
      <c r="AA33" t="s">
        <v>17</v>
      </c>
      <c r="AB33" s="32">
        <v>5.28199553993072E-2</v>
      </c>
      <c r="AC33" s="32">
        <v>3.6210152952626209E-2</v>
      </c>
      <c r="AD33" s="32">
        <v>4.6027780772453161E-2</v>
      </c>
      <c r="AE33" s="32">
        <v>3.5728117048583898E-2</v>
      </c>
      <c r="AF33" s="10"/>
      <c r="AG33" s="12"/>
      <c r="AH33" s="12"/>
      <c r="AI33" s="10"/>
    </row>
    <row r="34" spans="1:35" x14ac:dyDescent="0.2">
      <c r="B34">
        <v>-9538.6572419999993</v>
      </c>
      <c r="C34">
        <v>39592.377051000003</v>
      </c>
      <c r="D34">
        <f t="shared" si="7"/>
        <v>-4.7693286209999997</v>
      </c>
      <c r="E34">
        <f t="shared" si="8"/>
        <v>19.7961885255</v>
      </c>
      <c r="F34">
        <f t="shared" si="9"/>
        <v>91.704023130900168</v>
      </c>
      <c r="G34">
        <f t="shared" si="10"/>
        <v>4.5852011565450088E-2</v>
      </c>
      <c r="H34">
        <f>579/2000</f>
        <v>0.28949999999999998</v>
      </c>
      <c r="J34">
        <v>100000</v>
      </c>
      <c r="K34">
        <v>743.68344999999999</v>
      </c>
      <c r="L34">
        <v>-15247.603687000001</v>
      </c>
      <c r="M34">
        <v>61940.035172999997</v>
      </c>
      <c r="N34">
        <v>-1.1899550000000001</v>
      </c>
      <c r="O34">
        <v>23.984994</v>
      </c>
      <c r="P34">
        <v>190.66257300000001</v>
      </c>
      <c r="Q34">
        <v>13.544642</v>
      </c>
      <c r="R34">
        <v>2256</v>
      </c>
      <c r="S34">
        <v>912</v>
      </c>
      <c r="T34">
        <f>S34/(S34+R34)</f>
        <v>0.2878787878787879</v>
      </c>
      <c r="U34">
        <f>-4.1056-2.4928*T34</f>
        <v>-4.8232242424242422</v>
      </c>
      <c r="V34">
        <f>L34-(SUM(R34:S34)*U34)</f>
        <v>32.370712999998432</v>
      </c>
      <c r="W34">
        <f>V34/(2*O34*Q34)</f>
        <v>4.9821307955738081E-2</v>
      </c>
      <c r="X34">
        <f>W34*16.02</f>
        <v>0.79813735345092407</v>
      </c>
      <c r="Z34" s="10"/>
      <c r="AA34" t="s">
        <v>27</v>
      </c>
      <c r="AB34" s="32">
        <v>7.1895091166098976E-2</v>
      </c>
      <c r="AC34" s="32">
        <v>5.0035847174251753E-2</v>
      </c>
      <c r="AD34" s="32">
        <v>3.9251118002118821E-2</v>
      </c>
      <c r="AE34" s="32">
        <v>4.2747030172493081E-2</v>
      </c>
      <c r="AF34" s="10"/>
      <c r="AG34" s="10"/>
      <c r="AH34" s="10"/>
      <c r="AI34" s="10"/>
    </row>
    <row r="35" spans="1:35" x14ac:dyDescent="0.2">
      <c r="B35">
        <v>-9576.1447829999997</v>
      </c>
      <c r="C35">
        <v>39489.112375999997</v>
      </c>
      <c r="D35">
        <f t="shared" si="7"/>
        <v>-4.7880723915000001</v>
      </c>
      <c r="E35">
        <f t="shared" si="8"/>
        <v>19.744556187999997</v>
      </c>
      <c r="F35">
        <f t="shared" si="9"/>
        <v>91.840151950298605</v>
      </c>
      <c r="G35">
        <f t="shared" si="10"/>
        <v>4.5920075975149299E-2</v>
      </c>
      <c r="H35">
        <f>593/2000</f>
        <v>0.29649999999999999</v>
      </c>
      <c r="J35">
        <v>100000</v>
      </c>
      <c r="K35">
        <v>743.75456199999996</v>
      </c>
      <c r="L35">
        <v>-15301.835732</v>
      </c>
      <c r="M35">
        <v>61785.500903</v>
      </c>
      <c r="N35">
        <v>-0.90961499999999995</v>
      </c>
      <c r="O35">
        <v>23.962658000000001</v>
      </c>
      <c r="P35">
        <v>190.33645999999999</v>
      </c>
      <c r="Q35">
        <v>13.546616</v>
      </c>
      <c r="R35">
        <v>2238</v>
      </c>
      <c r="S35">
        <v>930</v>
      </c>
      <c r="T35">
        <f>S35/(S35+R35)</f>
        <v>0.29356060606060608</v>
      </c>
      <c r="U35">
        <f>-4.1056-2.4928*T35</f>
        <v>-4.8373878787878786</v>
      </c>
      <c r="V35">
        <f>L35-(SUM(R35:S35)*U35)</f>
        <v>23.009067999999388</v>
      </c>
      <c r="W35">
        <f>V35/(2*O35*Q35)</f>
        <v>3.5440775980055281E-2</v>
      </c>
      <c r="X35">
        <f>W35*16.02</f>
        <v>0.56776123120048561</v>
      </c>
      <c r="Z35" s="10"/>
      <c r="AA35" t="s">
        <v>28</v>
      </c>
      <c r="AB35" s="32">
        <v>5.6394927655202015E-2</v>
      </c>
      <c r="AC35" s="32">
        <v>7.2037633527416794E-2</v>
      </c>
      <c r="AD35" s="32">
        <v>7.3259905339925296E-2</v>
      </c>
      <c r="AE35" s="32">
        <v>6.4663478856594278E-2</v>
      </c>
      <c r="AF35" s="10"/>
      <c r="AG35" s="10"/>
      <c r="AH35" s="10"/>
      <c r="AI35" s="10"/>
    </row>
    <row r="36" spans="1:35" x14ac:dyDescent="0.2">
      <c r="B36">
        <v>-9626.204624</v>
      </c>
      <c r="C36">
        <v>39374.515992000001</v>
      </c>
      <c r="D36">
        <f t="shared" si="7"/>
        <v>-4.8131023119999998</v>
      </c>
      <c r="E36">
        <f t="shared" si="8"/>
        <v>19.687257996</v>
      </c>
      <c r="F36">
        <f t="shared" si="9"/>
        <v>95.528410692299076</v>
      </c>
      <c r="G36">
        <f t="shared" si="10"/>
        <v>4.7764205346149537E-2</v>
      </c>
      <c r="H36">
        <f>613/2000</f>
        <v>0.30649999999999999</v>
      </c>
      <c r="J36">
        <v>100000</v>
      </c>
      <c r="K36">
        <v>743.59553400000004</v>
      </c>
      <c r="L36">
        <v>-15404.766535999999</v>
      </c>
      <c r="M36">
        <v>61564.782456000001</v>
      </c>
      <c r="N36">
        <v>-0.97763800000000001</v>
      </c>
      <c r="O36">
        <v>23.937260999999999</v>
      </c>
      <c r="P36">
        <v>190.16805500000001</v>
      </c>
      <c r="Q36">
        <v>13.524507</v>
      </c>
      <c r="R36">
        <v>2198</v>
      </c>
      <c r="S36">
        <v>970</v>
      </c>
      <c r="T36">
        <f>S36/(S36+R36)</f>
        <v>0.30618686868686867</v>
      </c>
      <c r="U36">
        <f>-4.1056-2.4928*T36</f>
        <v>-4.8688626262626258</v>
      </c>
      <c r="V36">
        <f>L36-(SUM(R36:S36)*U36)</f>
        <v>19.790263999999297</v>
      </c>
      <c r="W36">
        <f>V36/(2*O36*Q36)</f>
        <v>3.0565091051110726E-2</v>
      </c>
      <c r="X36">
        <f>W36*16.02</f>
        <v>0.48965275863879382</v>
      </c>
      <c r="Y36" s="1">
        <f>AVERAGE(X32:X36)</f>
        <v>0.66872620102092062</v>
      </c>
      <c r="Z36" s="10"/>
      <c r="AA36" s="10" t="s">
        <v>55</v>
      </c>
      <c r="AB36" s="32">
        <v>4.1594470829047651E-2</v>
      </c>
      <c r="AC36" s="32">
        <v>2.9835647763628396E-2</v>
      </c>
      <c r="AD36" s="32">
        <v>3.9490529326368866E-2</v>
      </c>
      <c r="AE36" s="32">
        <v>2.8690520530763299E-2</v>
      </c>
      <c r="AF36" s="10"/>
      <c r="AG36" s="12"/>
      <c r="AH36" s="12"/>
      <c r="AI36" s="10"/>
    </row>
    <row r="37" spans="1:35" x14ac:dyDescent="0.2">
      <c r="B37">
        <v>-9617.5055119999997</v>
      </c>
      <c r="C37">
        <v>39391.215507000001</v>
      </c>
      <c r="D37">
        <f t="shared" si="7"/>
        <v>-4.8087527559999996</v>
      </c>
      <c r="E37">
        <f t="shared" si="8"/>
        <v>19.695607753499999</v>
      </c>
      <c r="F37">
        <f t="shared" si="9"/>
        <v>90.790497756799596</v>
      </c>
      <c r="G37">
        <f t="shared" si="10"/>
        <v>4.5395248878399796E-2</v>
      </c>
      <c r="H37">
        <f>608/2000</f>
        <v>0.30399999999999999</v>
      </c>
      <c r="Y37">
        <f>STDEV(X32:X36)</f>
        <v>0.13300525285014525</v>
      </c>
      <c r="Z37" s="10"/>
      <c r="AA37" s="39" t="s">
        <v>110</v>
      </c>
      <c r="AB37" s="32">
        <v>0.10236166838718681</v>
      </c>
      <c r="AC37" s="32">
        <v>8.8132810696154862E-2</v>
      </c>
      <c r="AD37" s="32">
        <v>9.5513363064961346E-2</v>
      </c>
      <c r="AE37" s="32">
        <v>8.4426528009244578E-2</v>
      </c>
      <c r="AF37" s="10"/>
      <c r="AG37" s="12"/>
      <c r="AH37" s="12"/>
      <c r="AI37" s="10"/>
    </row>
    <row r="38" spans="1:35" x14ac:dyDescent="0.2">
      <c r="B38">
        <v>-9657.5360349999992</v>
      </c>
      <c r="C38">
        <v>39308.682574999999</v>
      </c>
      <c r="D38">
        <f t="shared" si="7"/>
        <v>-4.8287680174999998</v>
      </c>
      <c r="E38">
        <f t="shared" si="8"/>
        <v>19.654341287499999</v>
      </c>
      <c r="F38">
        <f t="shared" si="9"/>
        <v>96.445859537499928</v>
      </c>
      <c r="G38">
        <f t="shared" si="10"/>
        <v>4.8222929768749964E-2</v>
      </c>
      <c r="H38">
        <f>625/2000</f>
        <v>0.3125</v>
      </c>
      <c r="I38" t="s">
        <v>28</v>
      </c>
      <c r="K38">
        <v>743.67247999999995</v>
      </c>
      <c r="L38">
        <v>-12036.813308999999</v>
      </c>
      <c r="M38">
        <v>48017.579683999997</v>
      </c>
      <c r="N38">
        <v>-1.6294740000000001</v>
      </c>
      <c r="O38">
        <v>34.578958</v>
      </c>
      <c r="P38">
        <v>137.309369</v>
      </c>
      <c r="Q38">
        <v>10.113227</v>
      </c>
      <c r="R38">
        <v>1703</v>
      </c>
      <c r="S38">
        <v>769</v>
      </c>
      <c r="T38">
        <f>S38/(S38+R38)</f>
        <v>0.31108414239482202</v>
      </c>
      <c r="U38">
        <f>-4.1056-2.4928*T38</f>
        <v>-4.8810705501618123</v>
      </c>
      <c r="V38">
        <f>L38-(SUM(R38:S38)*U38)</f>
        <v>29.193091000001004</v>
      </c>
      <c r="W38">
        <f>V38/(2*O38*Q38)</f>
        <v>4.1739613934389866E-2</v>
      </c>
      <c r="X38">
        <f>W38*16.02</f>
        <v>0.66866861522892562</v>
      </c>
      <c r="Z38" s="10"/>
      <c r="AA38" s="10"/>
      <c r="AB38" s="10"/>
      <c r="AC38" s="10"/>
      <c r="AD38" s="10"/>
      <c r="AE38" s="10"/>
      <c r="AF38" s="10"/>
      <c r="AG38" s="12"/>
      <c r="AH38" s="12"/>
      <c r="AI38" s="10"/>
    </row>
    <row r="39" spans="1:35" x14ac:dyDescent="0.2">
      <c r="B39">
        <v>-9656.9217110000009</v>
      </c>
      <c r="C39">
        <v>39308.093986</v>
      </c>
      <c r="D39">
        <f t="shared" si="7"/>
        <v>-4.8284608555000004</v>
      </c>
      <c r="E39">
        <f t="shared" si="8"/>
        <v>19.654046993000001</v>
      </c>
      <c r="F39">
        <f t="shared" si="9"/>
        <v>102.43499351169885</v>
      </c>
      <c r="G39">
        <f t="shared" si="10"/>
        <v>5.1217496755849426E-2</v>
      </c>
      <c r="H39">
        <f>627/2000</f>
        <v>0.3135</v>
      </c>
      <c r="K39">
        <v>743.77920500000005</v>
      </c>
      <c r="L39">
        <v>-12056.91727</v>
      </c>
      <c r="M39">
        <v>47965.271301000001</v>
      </c>
      <c r="N39">
        <v>-1.177916</v>
      </c>
      <c r="O39">
        <v>34.548470999999999</v>
      </c>
      <c r="P39">
        <v>136.982248</v>
      </c>
      <c r="Q39">
        <v>10.135268</v>
      </c>
      <c r="R39">
        <v>1696</v>
      </c>
      <c r="S39">
        <v>776</v>
      </c>
      <c r="T39">
        <f>S39/(S39+R39)</f>
        <v>0.31391585760517798</v>
      </c>
      <c r="U39">
        <f>-4.1056-2.4928*T39</f>
        <v>-4.8881294498381873</v>
      </c>
      <c r="V39">
        <f>L39-(SUM(R39:S39)*U39)</f>
        <v>26.538729999998395</v>
      </c>
      <c r="W39">
        <f>V39/(2*O39*Q39)</f>
        <v>3.7895363017427471E-2</v>
      </c>
      <c r="X39">
        <f>W39*16.02</f>
        <v>0.60708371553918805</v>
      </c>
      <c r="Z39" s="10"/>
      <c r="AA39" s="12"/>
      <c r="AB39" s="12"/>
      <c r="AC39" s="12"/>
      <c r="AD39" s="10"/>
      <c r="AE39" s="10"/>
      <c r="AF39" s="10"/>
      <c r="AG39" s="10"/>
      <c r="AH39" s="10"/>
      <c r="AI39" s="10"/>
    </row>
    <row r="40" spans="1:35" x14ac:dyDescent="0.2">
      <c r="B40">
        <v>-9657.7324719999997</v>
      </c>
      <c r="C40">
        <v>39296.502342</v>
      </c>
      <c r="D40">
        <f t="shared" si="7"/>
        <v>-4.8288662359999996</v>
      </c>
      <c r="E40">
        <f t="shared" si="8"/>
        <v>19.648251170999998</v>
      </c>
      <c r="F40">
        <f t="shared" si="9"/>
        <v>101.62423251170003</v>
      </c>
      <c r="G40">
        <f t="shared" si="10"/>
        <v>5.0812116255850012E-2</v>
      </c>
      <c r="H40">
        <f>627/2000</f>
        <v>0.3135</v>
      </c>
      <c r="K40">
        <v>743.663545</v>
      </c>
      <c r="L40">
        <v>-11974.842333000001</v>
      </c>
      <c r="M40">
        <v>48150.484086999997</v>
      </c>
      <c r="N40">
        <v>-1.4736450000000001</v>
      </c>
      <c r="O40">
        <v>34.571939</v>
      </c>
      <c r="P40">
        <v>137.51530099999999</v>
      </c>
      <c r="Q40">
        <v>10.128086</v>
      </c>
      <c r="R40">
        <v>1730</v>
      </c>
      <c r="S40">
        <v>742</v>
      </c>
      <c r="T40">
        <f>S40/(S40+R40)</f>
        <v>0.30016181229773464</v>
      </c>
      <c r="U40">
        <f>-4.1056-2.4928*T40</f>
        <v>-4.8538433656957931</v>
      </c>
      <c r="V40">
        <f>L40-(SUM(R40:S40)*U40)</f>
        <v>23.858467000000019</v>
      </c>
      <c r="W40">
        <f>V40/(2*O40*Q40)</f>
        <v>3.406915962040525E-2</v>
      </c>
      <c r="X40">
        <f>W40*16.02</f>
        <v>0.54578793711889206</v>
      </c>
      <c r="Z40" s="10"/>
      <c r="AA40" s="12"/>
      <c r="AB40" s="12"/>
      <c r="AC40" s="12"/>
      <c r="AD40" s="10"/>
      <c r="AE40" s="10"/>
      <c r="AF40" s="10"/>
      <c r="AG40" s="10"/>
      <c r="AH40" s="10"/>
      <c r="AI40" s="10"/>
    </row>
    <row r="41" spans="1:35" x14ac:dyDescent="0.2">
      <c r="B41">
        <v>-9580.4524990000009</v>
      </c>
      <c r="C41">
        <v>39481.282754</v>
      </c>
      <c r="D41">
        <f t="shared" si="7"/>
        <v>-4.7902262495000008</v>
      </c>
      <c r="E41">
        <f t="shared" si="8"/>
        <v>19.740641376999999</v>
      </c>
      <c r="F41">
        <f t="shared" si="9"/>
        <v>90.219840937399567</v>
      </c>
      <c r="G41">
        <f t="shared" si="10"/>
        <v>4.5109920468699785E-2</v>
      </c>
      <c r="H41">
        <f>594/2000</f>
        <v>0.29699999999999999</v>
      </c>
      <c r="K41">
        <v>743.99429899999996</v>
      </c>
      <c r="L41">
        <v>-12048.647730999999</v>
      </c>
      <c r="M41">
        <v>47974.061866999997</v>
      </c>
      <c r="N41">
        <v>-1.340117</v>
      </c>
      <c r="O41">
        <v>34.591830000000002</v>
      </c>
      <c r="P41">
        <v>137.04920999999999</v>
      </c>
      <c r="Q41">
        <v>10.119475</v>
      </c>
      <c r="R41">
        <v>1697</v>
      </c>
      <c r="S41">
        <v>775</v>
      </c>
      <c r="T41">
        <f>S41/(S41+R41)</f>
        <v>0.31351132686084143</v>
      </c>
      <c r="U41">
        <f>-4.1056-2.4928*T41</f>
        <v>-4.8871210355987049</v>
      </c>
      <c r="V41">
        <f>L41-(SUM(R41:S41)*U41)</f>
        <v>32.315468999999212</v>
      </c>
      <c r="W41">
        <f>V41/(2*O41*Q41)</f>
        <v>4.615820884944314E-2</v>
      </c>
      <c r="X41">
        <f>W41*16.02</f>
        <v>0.73945450576807903</v>
      </c>
      <c r="Z41" s="10"/>
      <c r="AA41" s="12"/>
      <c r="AB41" s="16">
        <v>300</v>
      </c>
      <c r="AC41" s="49">
        <v>600</v>
      </c>
      <c r="AD41" s="49">
        <v>800</v>
      </c>
      <c r="AE41" s="49">
        <v>1000</v>
      </c>
      <c r="AF41" s="51">
        <v>1200</v>
      </c>
      <c r="AG41" s="10"/>
      <c r="AH41" s="10"/>
      <c r="AI41" s="10"/>
    </row>
    <row r="42" spans="1:35" x14ac:dyDescent="0.2">
      <c r="K42">
        <v>743.78970900000002</v>
      </c>
      <c r="L42">
        <v>-12075.071413</v>
      </c>
      <c r="M42">
        <v>47940.289756999999</v>
      </c>
      <c r="N42">
        <v>-1.304181</v>
      </c>
      <c r="O42">
        <v>34.508012000000001</v>
      </c>
      <c r="P42">
        <v>137.45868400000001</v>
      </c>
      <c r="Q42">
        <v>10.106712</v>
      </c>
      <c r="R42">
        <v>1688</v>
      </c>
      <c r="S42">
        <v>784</v>
      </c>
      <c r="T42">
        <f>S42/(S42+R42)</f>
        <v>0.31715210355987056</v>
      </c>
      <c r="U42">
        <f>-4.1056-2.4928*T42</f>
        <v>-4.8961967637540456</v>
      </c>
      <c r="V42">
        <f>L42-(SUM(R42:S42)*U42)</f>
        <v>28.326987000000372</v>
      </c>
      <c r="W42">
        <f>V42/(2*O42*Q42)</f>
        <v>4.0610707622336553E-2</v>
      </c>
      <c r="X42">
        <f>W42*16.02</f>
        <v>0.65058353610983155</v>
      </c>
      <c r="Y42" s="1">
        <f>AVERAGE(X38:X42)</f>
        <v>0.64231566195298329</v>
      </c>
      <c r="Z42" s="10"/>
      <c r="AA42" s="45" t="s">
        <v>140</v>
      </c>
      <c r="AB42" s="16">
        <v>0.56799919818133371</v>
      </c>
      <c r="AC42" s="16">
        <v>0.54996741120052894</v>
      </c>
      <c r="AD42" s="16">
        <v>0.55662893120954315</v>
      </c>
      <c r="AE42" s="16">
        <v>0.55741857614699852</v>
      </c>
      <c r="AF42" s="16">
        <v>0.53866028970953361</v>
      </c>
      <c r="AG42" s="10"/>
      <c r="AH42" s="10"/>
      <c r="AI42" s="10"/>
    </row>
    <row r="43" spans="1:35" x14ac:dyDescent="0.2">
      <c r="B43" t="s">
        <v>5</v>
      </c>
      <c r="C43" t="s">
        <v>7</v>
      </c>
      <c r="D43" t="s">
        <v>6</v>
      </c>
      <c r="E43" t="s">
        <v>8</v>
      </c>
      <c r="F43" t="s">
        <v>12</v>
      </c>
      <c r="G43" t="s">
        <v>14</v>
      </c>
      <c r="H43" t="s">
        <v>13</v>
      </c>
      <c r="Y43">
        <f>STDEV(X38:X42)</f>
        <v>7.2037633527416794E-2</v>
      </c>
      <c r="Z43" s="10"/>
      <c r="AA43" s="45" t="s">
        <v>178</v>
      </c>
      <c r="AB43" s="16">
        <v>0.64511335713225404</v>
      </c>
      <c r="AC43" s="16">
        <v>0.61036621854757445</v>
      </c>
      <c r="AD43" s="16">
        <v>0.66872620102092062</v>
      </c>
      <c r="AE43" s="16">
        <v>0.58442406822047421</v>
      </c>
      <c r="AF43" s="16">
        <v>0.60307903538186092</v>
      </c>
      <c r="AG43" s="10"/>
      <c r="AH43" s="10"/>
      <c r="AI43" s="10"/>
    </row>
    <row r="44" spans="1:35" x14ac:dyDescent="0.2">
      <c r="A44">
        <v>600</v>
      </c>
      <c r="B44">
        <v>-9749.9031429999995</v>
      </c>
      <c r="C44">
        <v>38614.81828</v>
      </c>
      <c r="D44">
        <f>B44/2000</f>
        <v>-4.8749515714999996</v>
      </c>
      <c r="E44">
        <f>C44/2000</f>
        <v>19.307409140000001</v>
      </c>
      <c r="F44">
        <f>B44-2000*(H44*$F$2+(1-H44)*E$2)</f>
        <v>92.620525124499181</v>
      </c>
      <c r="G44">
        <f>F44/2000</f>
        <v>4.6310262562249592E-2</v>
      </c>
      <c r="H44">
        <f>595/2000</f>
        <v>0.29749999999999999</v>
      </c>
      <c r="I44" t="s">
        <v>134</v>
      </c>
      <c r="J44">
        <v>100000</v>
      </c>
      <c r="K44">
        <v>743.49648999999999</v>
      </c>
      <c r="L44">
        <v>-15723.520713</v>
      </c>
      <c r="M44">
        <v>62813.331119000002</v>
      </c>
      <c r="N44">
        <v>-0.99729400000000001</v>
      </c>
      <c r="O44">
        <v>27.910015000000001</v>
      </c>
      <c r="P44">
        <v>166.437106</v>
      </c>
      <c r="Q44">
        <v>13.522054000000001</v>
      </c>
      <c r="R44">
        <v>2236</v>
      </c>
      <c r="S44">
        <v>996</v>
      </c>
      <c r="T44">
        <f>S44/(S44+R44)</f>
        <v>0.30816831683168316</v>
      </c>
      <c r="U44">
        <f>-4.1056-2.4928*T44</f>
        <v>-4.8738019801980199</v>
      </c>
      <c r="V44">
        <f>L44-(SUM(R44:S44)*U44)</f>
        <v>28.607287000000724</v>
      </c>
      <c r="W44">
        <f>V44/(2*O44*Q44)</f>
        <v>3.7900412914163344E-2</v>
      </c>
      <c r="X44">
        <f>W44*16.02</f>
        <v>0.6071646148848967</v>
      </c>
      <c r="Z44" s="10"/>
      <c r="AA44" s="45" t="s">
        <v>141</v>
      </c>
      <c r="AB44" s="16">
        <v>0.70996814503017969</v>
      </c>
      <c r="AC44" s="16">
        <v>0.65604958546118008</v>
      </c>
      <c r="AD44" s="16">
        <v>0.64231566195298329</v>
      </c>
      <c r="AE44" s="16">
        <v>0.64556180438752198</v>
      </c>
      <c r="AF44" s="16">
        <v>0.63387897756503198</v>
      </c>
      <c r="AG44" s="10"/>
      <c r="AH44" s="10"/>
      <c r="AI44" s="10"/>
    </row>
    <row r="45" spans="1:35" x14ac:dyDescent="0.2">
      <c r="B45">
        <v>-9769.7866040000008</v>
      </c>
      <c r="C45">
        <v>38591.678659999998</v>
      </c>
      <c r="D45">
        <f t="shared" ref="D45:D53" si="11">B45/2000</f>
        <v>-4.884893302</v>
      </c>
      <c r="E45">
        <f t="shared" ref="E45:E53" si="12">C45/2000</f>
        <v>19.29583933</v>
      </c>
      <c r="F45">
        <f t="shared" ref="F45:F53" si="13">B45-2000*(H45*$F$2+(1-H45)*E$2)</f>
        <v>94.279946428019684</v>
      </c>
      <c r="G45">
        <f t="shared" ref="G45:G53" si="14">F45/2000</f>
        <v>4.7139973214009839E-2</v>
      </c>
      <c r="H45">
        <f>603/2000</f>
        <v>0.30149999999999999</v>
      </c>
      <c r="J45">
        <v>100000</v>
      </c>
      <c r="K45">
        <v>743.66366100000005</v>
      </c>
      <c r="L45">
        <v>-15549.848547</v>
      </c>
      <c r="M45">
        <v>63218.363737</v>
      </c>
      <c r="N45">
        <v>-1.04789</v>
      </c>
      <c r="O45">
        <v>27.955905999999999</v>
      </c>
      <c r="P45">
        <v>167.159324</v>
      </c>
      <c r="Q45">
        <v>13.528205</v>
      </c>
      <c r="R45">
        <v>2305</v>
      </c>
      <c r="S45">
        <v>927</v>
      </c>
      <c r="T45">
        <f>S45/(S45+R45)</f>
        <v>0.28681930693069307</v>
      </c>
      <c r="U45">
        <f>-4.1056-2.4928*T45</f>
        <v>-4.8205831683168316</v>
      </c>
      <c r="V45">
        <f>L45-(SUM(R45:S45)*U45)</f>
        <v>30.276252999999997</v>
      </c>
      <c r="W45">
        <f>V45/(2*O45*Q45)</f>
        <v>4.0027492313715503E-2</v>
      </c>
      <c r="X45">
        <f>W45*16.02</f>
        <v>0.64124042686572236</v>
      </c>
      <c r="Z45" s="10"/>
      <c r="AA45" s="45" t="s">
        <v>179</v>
      </c>
      <c r="AB45" s="16">
        <v>0.7294722152598655</v>
      </c>
      <c r="AC45" s="16">
        <v>0.71553027079094611</v>
      </c>
      <c r="AD45" s="16">
        <v>0.71465468482363548</v>
      </c>
      <c r="AE45" s="16">
        <v>0.76985841468709793</v>
      </c>
      <c r="AF45" s="16">
        <v>0.7827417752586312</v>
      </c>
      <c r="AG45" s="10"/>
      <c r="AH45" s="10"/>
      <c r="AI45" s="10"/>
    </row>
    <row r="46" spans="1:35" x14ac:dyDescent="0.2">
      <c r="B46">
        <v>-9733.1578719999998</v>
      </c>
      <c r="C46">
        <v>38688.409464999997</v>
      </c>
      <c r="D46">
        <f t="shared" si="11"/>
        <v>-4.8665789359999998</v>
      </c>
      <c r="E46">
        <f t="shared" si="12"/>
        <v>19.3442047325</v>
      </c>
      <c r="F46">
        <f t="shared" si="13"/>
        <v>87.822913820975373</v>
      </c>
      <c r="G46">
        <f t="shared" si="14"/>
        <v>4.3911456910487687E-2</v>
      </c>
      <c r="H46">
        <f>587/2000</f>
        <v>0.29349999999999998</v>
      </c>
      <c r="J46">
        <v>100000</v>
      </c>
      <c r="K46">
        <v>743.58481099999995</v>
      </c>
      <c r="L46">
        <v>-15633.661056000001</v>
      </c>
      <c r="M46">
        <v>63014.395729000003</v>
      </c>
      <c r="N46">
        <v>-1.1694830000000001</v>
      </c>
      <c r="O46">
        <v>27.940448</v>
      </c>
      <c r="P46">
        <v>166.448982</v>
      </c>
      <c r="Q46">
        <v>13.549605</v>
      </c>
      <c r="R46">
        <v>2271</v>
      </c>
      <c r="S46">
        <v>961</v>
      </c>
      <c r="T46">
        <f>S46/(S46+R46)</f>
        <v>0.2973391089108911</v>
      </c>
      <c r="U46">
        <f>-4.1056-2.4928*T46</f>
        <v>-4.8468069306930692</v>
      </c>
      <c r="V46">
        <f>L46-(SUM(R46:S46)*U46)</f>
        <v>31.218943999998373</v>
      </c>
      <c r="W46">
        <f>V46/(2*O46*Q46)</f>
        <v>4.1231412484757153E-2</v>
      </c>
      <c r="X46">
        <f>W46*16.02</f>
        <v>0.66052722800580954</v>
      </c>
      <c r="AA46" s="41" t="s">
        <v>142</v>
      </c>
      <c r="AB46" s="16">
        <v>0.66293181482486641</v>
      </c>
      <c r="AC46" s="16">
        <v>0.63273491901755885</v>
      </c>
      <c r="AD46" s="16">
        <v>0.67232401454996626</v>
      </c>
      <c r="AE46" s="16">
        <v>0.70435140712966415</v>
      </c>
      <c r="AF46" s="16">
        <v>0.77605693616979332</v>
      </c>
    </row>
    <row r="47" spans="1:35" x14ac:dyDescent="0.2">
      <c r="B47">
        <v>-9791.3722890000008</v>
      </c>
      <c r="C47">
        <v>38519.358592999997</v>
      </c>
      <c r="D47">
        <f t="shared" si="11"/>
        <v>-4.8956861445000008</v>
      </c>
      <c r="E47">
        <f t="shared" si="12"/>
        <v>19.2596792965</v>
      </c>
      <c r="F47">
        <f t="shared" si="13"/>
        <v>96.930004019483022</v>
      </c>
      <c r="G47">
        <f t="shared" si="14"/>
        <v>4.8465002009741513E-2</v>
      </c>
      <c r="H47">
        <f>612/2000</f>
        <v>0.30599999999999999</v>
      </c>
      <c r="J47">
        <v>100000</v>
      </c>
      <c r="K47">
        <v>743.68609100000003</v>
      </c>
      <c r="L47">
        <v>-15621.919925</v>
      </c>
      <c r="M47">
        <v>63033.276727999997</v>
      </c>
      <c r="N47">
        <v>-1.1304179999999999</v>
      </c>
      <c r="O47">
        <v>27.948815</v>
      </c>
      <c r="P47">
        <v>166.615253</v>
      </c>
      <c r="Q47">
        <v>13.536073</v>
      </c>
      <c r="R47">
        <v>2271</v>
      </c>
      <c r="S47">
        <v>961</v>
      </c>
      <c r="T47">
        <f>S47/(S47+R47)</f>
        <v>0.2973391089108911</v>
      </c>
      <c r="U47">
        <f>-4.1056-2.4928*T47</f>
        <v>-4.8468069306930692</v>
      </c>
      <c r="V47">
        <f>L47-(SUM(R47:S47)*U47)</f>
        <v>42.960074999999051</v>
      </c>
      <c r="W47">
        <f>V47/(2*O47*Q47)</f>
        <v>5.6777850687527033E-2</v>
      </c>
      <c r="X47">
        <f>W47*16.02</f>
        <v>0.90958116801418309</v>
      </c>
      <c r="AA47" s="41" t="s">
        <v>180</v>
      </c>
      <c r="AB47" s="16">
        <v>0.76991689458749801</v>
      </c>
      <c r="AC47" s="16">
        <v>0.79906092179537969</v>
      </c>
      <c r="AD47" s="16">
        <v>0.8136772550096808</v>
      </c>
      <c r="AE47" s="16">
        <v>0.78916016463624672</v>
      </c>
      <c r="AF47" s="16">
        <v>0.97435655006460087</v>
      </c>
    </row>
    <row r="48" spans="1:35" x14ac:dyDescent="0.2">
      <c r="B48">
        <v>-9763.1468380000006</v>
      </c>
      <c r="C48">
        <v>38604.992536999998</v>
      </c>
      <c r="D48">
        <f t="shared" si="11"/>
        <v>-4.8815734190000004</v>
      </c>
      <c r="E48">
        <f t="shared" si="12"/>
        <v>19.302496268500001</v>
      </c>
      <c r="F48">
        <f t="shared" si="13"/>
        <v>92.841131564200623</v>
      </c>
      <c r="G48">
        <f t="shared" si="14"/>
        <v>4.6420565782100312E-2</v>
      </c>
      <c r="H48">
        <f>600/2000</f>
        <v>0.3</v>
      </c>
      <c r="J48">
        <v>100000</v>
      </c>
      <c r="K48">
        <v>743.92425000000003</v>
      </c>
      <c r="L48">
        <v>-15691.574106</v>
      </c>
      <c r="M48">
        <v>62889.047935000002</v>
      </c>
      <c r="N48">
        <v>-1.0674650000000001</v>
      </c>
      <c r="O48">
        <v>27.921999</v>
      </c>
      <c r="P48">
        <v>166.336308</v>
      </c>
      <c r="Q48">
        <v>13.540756</v>
      </c>
      <c r="R48">
        <v>2246</v>
      </c>
      <c r="S48">
        <v>986</v>
      </c>
      <c r="T48">
        <f>S48/(S48+R48)</f>
        <v>0.30507425742574257</v>
      </c>
      <c r="U48">
        <f>-4.1056-2.4928*T48</f>
        <v>-4.8660891089108906</v>
      </c>
      <c r="V48">
        <f>L48-(SUM(R48:S48)*U48)</f>
        <v>35.62589399999888</v>
      </c>
      <c r="W48">
        <f>V48/(2*O48*Q48)</f>
        <v>4.7113607137800606E-2</v>
      </c>
      <c r="X48">
        <f>W48*16.02</f>
        <v>0.75475998634756569</v>
      </c>
      <c r="Y48" s="1">
        <f>AVERAGE(X44:X48)</f>
        <v>0.71465468482363548</v>
      </c>
      <c r="AA48" s="41" t="s">
        <v>143</v>
      </c>
      <c r="AB48" s="16">
        <v>0.62526236214704112</v>
      </c>
      <c r="AC48" s="16">
        <v>0.62079812637782628</v>
      </c>
      <c r="AD48" s="16">
        <v>0.65729557958148088</v>
      </c>
      <c r="AE48" s="16">
        <v>0.68965963126411522</v>
      </c>
      <c r="AF48" s="16">
        <v>0.7294987398861813</v>
      </c>
    </row>
    <row r="49" spans="1:32" x14ac:dyDescent="0.2">
      <c r="B49">
        <v>-9779.3062160000009</v>
      </c>
      <c r="C49">
        <v>38570.206627</v>
      </c>
      <c r="D49">
        <f t="shared" si="11"/>
        <v>-4.8896531080000001</v>
      </c>
      <c r="E49">
        <f t="shared" si="12"/>
        <v>19.285103313499999</v>
      </c>
      <c r="F49">
        <f t="shared" si="13"/>
        <v>100.91749615566005</v>
      </c>
      <c r="G49">
        <f t="shared" si="14"/>
        <v>5.0458748077830025E-2</v>
      </c>
      <c r="H49">
        <f>609/2000</f>
        <v>0.30449999999999999</v>
      </c>
      <c r="Y49">
        <f>STDEV(X44:X48)</f>
        <v>0.12194088634239092</v>
      </c>
      <c r="AA49" s="41" t="s">
        <v>181</v>
      </c>
      <c r="AB49" s="16">
        <v>0.81916236070345705</v>
      </c>
      <c r="AC49" s="16">
        <v>0.74327140769081224</v>
      </c>
      <c r="AD49" s="16">
        <v>0.70739516895440668</v>
      </c>
      <c r="AE49" s="16">
        <v>0.87124620848162126</v>
      </c>
      <c r="AF49" s="16">
        <v>0.88780022174469875</v>
      </c>
    </row>
    <row r="50" spans="1:32" x14ac:dyDescent="0.2">
      <c r="B50">
        <v>-9851.155401</v>
      </c>
      <c r="C50">
        <v>38409.196812000002</v>
      </c>
      <c r="D50">
        <f t="shared" si="11"/>
        <v>-4.9255777004999999</v>
      </c>
      <c r="E50">
        <f t="shared" si="12"/>
        <v>19.204598406000002</v>
      </c>
      <c r="F50">
        <f t="shared" si="13"/>
        <v>96.389818354171439</v>
      </c>
      <c r="G50">
        <f t="shared" si="14"/>
        <v>4.8194909177085722E-2</v>
      </c>
      <c r="H50">
        <f>634/2000</f>
        <v>0.317</v>
      </c>
      <c r="I50" t="s">
        <v>27</v>
      </c>
      <c r="K50">
        <v>743.78559600000006</v>
      </c>
      <c r="L50">
        <v>-13977.842126</v>
      </c>
      <c r="M50">
        <v>56083.290932999997</v>
      </c>
      <c r="N50">
        <v>-1.1555489999999999</v>
      </c>
      <c r="O50">
        <v>32.103879999999997</v>
      </c>
      <c r="P50">
        <v>129.34904299999999</v>
      </c>
      <c r="Q50">
        <v>13.505597</v>
      </c>
      <c r="R50">
        <v>2001</v>
      </c>
      <c r="S50">
        <v>879</v>
      </c>
      <c r="T50">
        <f>S50/(S50+R50)</f>
        <v>0.30520833333333336</v>
      </c>
      <c r="U50">
        <f>-4.1056-2.4928*T50</f>
        <v>-4.8664233333333335</v>
      </c>
      <c r="V50">
        <f>L50-(SUM(R50:S50)*U50)</f>
        <v>37.457074000001739</v>
      </c>
      <c r="W50">
        <f>V50/(2*O50*Q50)</f>
        <v>4.3194907017236148E-2</v>
      </c>
      <c r="X50">
        <f>W50*16.02</f>
        <v>0.69198241041612307</v>
      </c>
      <c r="AA50" s="41" t="s">
        <v>182</v>
      </c>
      <c r="AB50" s="16">
        <v>0.70707259086240781</v>
      </c>
      <c r="AC50" s="16">
        <v>0.62170356336976829</v>
      </c>
      <c r="AD50" s="16">
        <v>0.71972273717848556</v>
      </c>
      <c r="AE50" s="16">
        <v>0.7518176125195698</v>
      </c>
      <c r="AF50" s="16">
        <v>0.74684126082764735</v>
      </c>
    </row>
    <row r="51" spans="1:32" x14ac:dyDescent="0.2">
      <c r="B51">
        <v>-9780.4217349999999</v>
      </c>
      <c r="C51">
        <v>38578.169825999998</v>
      </c>
      <c r="D51">
        <f t="shared" si="11"/>
        <v>-4.8902108674999996</v>
      </c>
      <c r="E51">
        <f t="shared" si="12"/>
        <v>19.289084913</v>
      </c>
      <c r="F51">
        <f t="shared" si="13"/>
        <v>97.109116867721241</v>
      </c>
      <c r="G51">
        <f t="shared" si="14"/>
        <v>4.8554558433860619E-2</v>
      </c>
      <c r="H51">
        <f>608/2000</f>
        <v>0.30399999999999999</v>
      </c>
      <c r="K51">
        <v>743.77065100000004</v>
      </c>
      <c r="L51">
        <v>-13985.249338</v>
      </c>
      <c r="M51">
        <v>56067.517366</v>
      </c>
      <c r="N51">
        <v>-1.272224</v>
      </c>
      <c r="O51">
        <v>32.108047999999997</v>
      </c>
      <c r="P51">
        <v>129.406509</v>
      </c>
      <c r="Q51">
        <v>13.494051000000001</v>
      </c>
      <c r="R51">
        <v>1999</v>
      </c>
      <c r="S51">
        <v>881</v>
      </c>
      <c r="T51">
        <f>S51/(S51+R51)</f>
        <v>0.3059027777777778</v>
      </c>
      <c r="U51">
        <f>-4.1056-2.4928*T51</f>
        <v>-4.8681544444444445</v>
      </c>
      <c r="V51">
        <f>L51-(SUM(R51:S51)*U51)</f>
        <v>35.035461999999825</v>
      </c>
      <c r="W51">
        <f>V51/(2*O51*Q51)</f>
        <v>4.0431662776156001E-2</v>
      </c>
      <c r="X51">
        <f>W51*16.02</f>
        <v>0.64771523767401906</v>
      </c>
      <c r="AA51" s="41" t="s">
        <v>183</v>
      </c>
      <c r="AB51" s="16">
        <v>0.71143910483933581</v>
      </c>
      <c r="AC51" s="16">
        <v>0.64470896830870295</v>
      </c>
      <c r="AD51" s="16">
        <v>0.5893729366168371</v>
      </c>
      <c r="AE51" s="16">
        <v>0.62775445689816156</v>
      </c>
      <c r="AF51" s="16">
        <v>0.70415723116508855</v>
      </c>
    </row>
    <row r="52" spans="1:32" x14ac:dyDescent="0.2">
      <c r="B52">
        <v>-9835.8053049999999</v>
      </c>
      <c r="C52">
        <v>38444.997095999999</v>
      </c>
      <c r="D52">
        <f t="shared" si="11"/>
        <v>-4.9179026524999996</v>
      </c>
      <c r="E52">
        <f t="shared" si="12"/>
        <v>19.222498548000001</v>
      </c>
      <c r="F52">
        <f t="shared" si="13"/>
        <v>103.66133349035226</v>
      </c>
      <c r="G52">
        <f t="shared" si="14"/>
        <v>5.1830666745176134E-2</v>
      </c>
      <c r="H52">
        <f>631/2000</f>
        <v>0.3155</v>
      </c>
      <c r="K52">
        <v>743.84855300000004</v>
      </c>
      <c r="L52">
        <v>-13982.165472999999</v>
      </c>
      <c r="M52">
        <v>56049.645020999997</v>
      </c>
      <c r="N52">
        <v>-1.1246830000000001</v>
      </c>
      <c r="O52">
        <v>32.077359000000001</v>
      </c>
      <c r="P52">
        <v>129.338213</v>
      </c>
      <c r="Q52">
        <v>13.509793</v>
      </c>
      <c r="R52">
        <v>2001</v>
      </c>
      <c r="S52">
        <v>879</v>
      </c>
      <c r="T52">
        <f>S52/(S52+R52)</f>
        <v>0.30520833333333336</v>
      </c>
      <c r="U52">
        <f>-4.1056-2.4928*T52</f>
        <v>-4.8664233333333335</v>
      </c>
      <c r="V52">
        <f>L52-(SUM(R52:S52)*U52)</f>
        <v>33.133727000002182</v>
      </c>
      <c r="W52">
        <f>V52/(2*O52*Q52)</f>
        <v>3.8229004996208731E-2</v>
      </c>
      <c r="X52">
        <f>W52*16.02</f>
        <v>0.61242866003926388</v>
      </c>
      <c r="AA52" s="41" t="s">
        <v>147</v>
      </c>
      <c r="AB52">
        <f t="shared" ref="AB52:AC52" si="15">AVERAGE(AB42:AB51)</f>
        <v>0.69483380435682396</v>
      </c>
      <c r="AC52">
        <f t="shared" si="15"/>
        <v>0.65941913925602791</v>
      </c>
      <c r="AD52">
        <f>AVERAGE(AD42:AD51)</f>
        <v>0.67421131708979409</v>
      </c>
      <c r="AE52">
        <f>AVERAGE(AE42:AE51)</f>
        <v>0.69912523443714725</v>
      </c>
      <c r="AF52">
        <f>AVERAGE(AF42:AF51)</f>
        <v>0.7377071017773067</v>
      </c>
    </row>
    <row r="53" spans="1:32" x14ac:dyDescent="0.2">
      <c r="B53">
        <v>-9763.7392490000002</v>
      </c>
      <c r="C53">
        <v>38597.952991999999</v>
      </c>
      <c r="D53">
        <f t="shared" si="11"/>
        <v>-4.8818696245000002</v>
      </c>
      <c r="E53">
        <f t="shared" si="12"/>
        <v>19.298976495999998</v>
      </c>
      <c r="F53">
        <f t="shared" si="13"/>
        <v>94.94158085214076</v>
      </c>
      <c r="G53">
        <f t="shared" si="14"/>
        <v>4.7470790426070379E-2</v>
      </c>
      <c r="H53">
        <f>601/2000</f>
        <v>0.30049999999999999</v>
      </c>
      <c r="K53">
        <v>743.87994300000003</v>
      </c>
      <c r="L53">
        <v>-14047.238415</v>
      </c>
      <c r="M53">
        <v>55893.740724000003</v>
      </c>
      <c r="N53">
        <v>-1.3804190000000001</v>
      </c>
      <c r="O53">
        <v>32.109020999999998</v>
      </c>
      <c r="P53">
        <v>128.92981700000001</v>
      </c>
      <c r="Q53">
        <v>13.501574</v>
      </c>
      <c r="R53">
        <v>1972</v>
      </c>
      <c r="S53">
        <v>908</v>
      </c>
      <c r="T53">
        <f>S53/(S53+R53)</f>
        <v>0.31527777777777777</v>
      </c>
      <c r="U53">
        <f>-4.1056-2.4928*T53</f>
        <v>-4.8915244444444443</v>
      </c>
      <c r="V53">
        <f>L53-(SUM(R53:S53)*U53)</f>
        <v>40.351984999999331</v>
      </c>
      <c r="W53">
        <f>V53/(2*O53*Q53)</f>
        <v>4.6539685328706192E-2</v>
      </c>
      <c r="X53">
        <f>W53*16.02</f>
        <v>0.74556575896587318</v>
      </c>
    </row>
    <row r="54" spans="1:32" x14ac:dyDescent="0.2">
      <c r="K54">
        <v>743.82043999999996</v>
      </c>
      <c r="L54">
        <v>-14009.308907000001</v>
      </c>
      <c r="M54">
        <v>55975.826885000002</v>
      </c>
      <c r="N54">
        <v>-1.313831</v>
      </c>
      <c r="O54">
        <v>32.096043999999999</v>
      </c>
      <c r="P54">
        <v>129.22561400000001</v>
      </c>
      <c r="Q54">
        <v>13.495891</v>
      </c>
      <c r="R54">
        <v>1989</v>
      </c>
      <c r="S54">
        <v>891</v>
      </c>
      <c r="T54">
        <f>S54/(S54+R54)</f>
        <v>0.30937500000000001</v>
      </c>
      <c r="U54">
        <f>-4.1056-2.4928*T54</f>
        <v>-4.8768099999999999</v>
      </c>
      <c r="V54">
        <f>L54-(SUM(R54:S54)*U54)</f>
        <v>35.903892999998789</v>
      </c>
      <c r="W54">
        <f>V54/(2*O54*Q54)</f>
        <v>4.1443695733742326E-2</v>
      </c>
      <c r="X54">
        <f>W54*16.02</f>
        <v>0.66392800565455201</v>
      </c>
      <c r="Y54" s="1">
        <f>AVERAGE(X50:X54)</f>
        <v>0.67232401454996626</v>
      </c>
    </row>
    <row r="55" spans="1:32" x14ac:dyDescent="0.2">
      <c r="B55" t="s">
        <v>5</v>
      </c>
      <c r="C55" t="s">
        <v>7</v>
      </c>
      <c r="D55" t="s">
        <v>6</v>
      </c>
      <c r="E55" t="s">
        <v>8</v>
      </c>
      <c r="F55" t="s">
        <v>12</v>
      </c>
      <c r="G55" t="s">
        <v>14</v>
      </c>
      <c r="H55" t="s">
        <v>13</v>
      </c>
      <c r="Y55">
        <f>STDEV(X50:X54)</f>
        <v>5.0035847174251753E-2</v>
      </c>
    </row>
    <row r="56" spans="1:32" x14ac:dyDescent="0.2">
      <c r="A56">
        <v>300</v>
      </c>
      <c r="B56">
        <v>-9817.6846910000004</v>
      </c>
      <c r="C56">
        <v>38291.767454000001</v>
      </c>
      <c r="D56">
        <f>B56/2000</f>
        <v>-4.9088423455000001</v>
      </c>
      <c r="E56">
        <f>C56/2000</f>
        <v>19.145883727000001</v>
      </c>
      <c r="F56">
        <f>B56-2000*(H56*$F$2+(1-H56)*E$2)</f>
        <v>3.2960948209747585</v>
      </c>
      <c r="G56">
        <f>F56/2000</f>
        <v>1.6480474104873793E-3</v>
      </c>
      <c r="H56">
        <f>587/2000</f>
        <v>0.29349999999999998</v>
      </c>
      <c r="I56" t="s">
        <v>172</v>
      </c>
      <c r="J56">
        <v>100000</v>
      </c>
      <c r="K56">
        <v>743.882025</v>
      </c>
      <c r="L56">
        <v>-17666.267103999999</v>
      </c>
      <c r="M56">
        <v>72041.421879999994</v>
      </c>
      <c r="N56">
        <v>-0.83647800000000005</v>
      </c>
      <c r="O56">
        <v>25.843222999999998</v>
      </c>
      <c r="P56">
        <v>205.79280399999999</v>
      </c>
      <c r="Q56">
        <v>13.54585571</v>
      </c>
      <c r="R56">
        <v>2640</v>
      </c>
      <c r="S56">
        <v>1040</v>
      </c>
      <c r="T56">
        <f>S56/(S56+R56)</f>
        <v>0.28260869565217389</v>
      </c>
      <c r="U56">
        <f>-4.1056-2.4928*T56</f>
        <v>-4.8100869565217392</v>
      </c>
      <c r="V56">
        <f>L56-(SUM(R56:S56)*U56)</f>
        <v>34.852896000000328</v>
      </c>
      <c r="W56">
        <f>V56/(2*O56*Q56)</f>
        <v>4.9780098818917595E-2</v>
      </c>
      <c r="X56">
        <f>W56*16.02</f>
        <v>0.7974771830790599</v>
      </c>
    </row>
    <row r="57" spans="1:32" x14ac:dyDescent="0.2">
      <c r="B57">
        <v>-9923.3784329999999</v>
      </c>
      <c r="C57">
        <v>38084.045543</v>
      </c>
      <c r="D57">
        <f t="shared" ref="D57:D65" si="16">B57/2000</f>
        <v>-4.9616892164999999</v>
      </c>
      <c r="E57">
        <f t="shared" ref="E57:E65" si="17">C57/2000</f>
        <v>19.042022771500001</v>
      </c>
      <c r="F57">
        <f t="shared" ref="F57:F65" si="18">B57-2000*(H57*$F$2+(1-H57)*E$2)</f>
        <v>13.3953452024125</v>
      </c>
      <c r="G57">
        <f t="shared" ref="G57:G65" si="19">F57/2000</f>
        <v>6.6976726012062497E-3</v>
      </c>
      <c r="H57">
        <f>630/2000</f>
        <v>0.315</v>
      </c>
      <c r="J57">
        <v>100000</v>
      </c>
      <c r="K57">
        <v>743.68579999999997</v>
      </c>
      <c r="L57">
        <v>-17757.792197999999</v>
      </c>
      <c r="M57">
        <v>71828.265807000003</v>
      </c>
      <c r="N57">
        <v>-1.0291060000000001</v>
      </c>
      <c r="O57">
        <v>25.833666000000001</v>
      </c>
      <c r="P57">
        <v>205.26593800000001</v>
      </c>
      <c r="Q57">
        <v>13.545448</v>
      </c>
      <c r="R57">
        <v>2603</v>
      </c>
      <c r="S57">
        <v>1077</v>
      </c>
      <c r="T57">
        <f>S57/(S57+R57)</f>
        <v>0.29266304347826089</v>
      </c>
      <c r="U57">
        <f>-4.1056-2.4928*T57</f>
        <v>-4.8351504347826086</v>
      </c>
      <c r="V57">
        <f>L57-(SUM(R57:S57)*U57)</f>
        <v>35.561401999999362</v>
      </c>
      <c r="W57">
        <f>V57/(2*O57*Q57)</f>
        <v>5.081237156400932E-2</v>
      </c>
      <c r="X57">
        <f>W57*16.02</f>
        <v>0.81401419245542928</v>
      </c>
    </row>
    <row r="58" spans="1:32" x14ac:dyDescent="0.2">
      <c r="B58">
        <v>-9809.8408660000005</v>
      </c>
      <c r="C58">
        <v>38335.240940000003</v>
      </c>
      <c r="D58">
        <f t="shared" si="16"/>
        <v>-4.904920433</v>
      </c>
      <c r="E58">
        <f t="shared" si="17"/>
        <v>19.167620470000003</v>
      </c>
      <c r="F58">
        <f t="shared" si="18"/>
        <v>8.447059533034917</v>
      </c>
      <c r="G58">
        <f t="shared" si="19"/>
        <v>4.2235297665174582E-3</v>
      </c>
      <c r="H58">
        <f>586/2000</f>
        <v>0.29299999999999998</v>
      </c>
      <c r="J58">
        <v>100000</v>
      </c>
      <c r="K58">
        <v>743.93571399999996</v>
      </c>
      <c r="L58">
        <v>-17798.012567000002</v>
      </c>
      <c r="M58">
        <v>71746.202114999993</v>
      </c>
      <c r="N58">
        <v>-0.86856599999999995</v>
      </c>
      <c r="O58">
        <v>25.858194000000001</v>
      </c>
      <c r="P58">
        <v>205.20288199999999</v>
      </c>
      <c r="Q58">
        <v>13.52129</v>
      </c>
      <c r="R58">
        <v>2587</v>
      </c>
      <c r="S58">
        <v>1093</v>
      </c>
      <c r="T58">
        <f>S58/(S58+R58)</f>
        <v>0.29701086956521738</v>
      </c>
      <c r="U58">
        <f>-4.1056-2.4928*T58</f>
        <v>-4.8459886956521743</v>
      </c>
      <c r="V58">
        <f>L58-(SUM(R58:S58)*U58)</f>
        <v>35.225833000000421</v>
      </c>
      <c r="W58">
        <f>V58/(2*O58*Q58)</f>
        <v>5.0374988416546015E-2</v>
      </c>
      <c r="X58">
        <f>W58*16.02</f>
        <v>0.80700731443306717</v>
      </c>
    </row>
    <row r="59" spans="1:32" x14ac:dyDescent="0.2">
      <c r="B59">
        <v>-9834.0745590000006</v>
      </c>
      <c r="C59">
        <v>38274.830351999997</v>
      </c>
      <c r="D59">
        <f t="shared" si="16"/>
        <v>-4.9170372795000006</v>
      </c>
      <c r="E59">
        <f t="shared" si="17"/>
        <v>19.137415175999998</v>
      </c>
      <c r="F59">
        <f t="shared" si="18"/>
        <v>11.141969412437902</v>
      </c>
      <c r="G59">
        <f t="shared" si="19"/>
        <v>5.5709847062189507E-3</v>
      </c>
      <c r="H59">
        <f>596/2000</f>
        <v>0.29799999999999999</v>
      </c>
      <c r="J59">
        <v>100000</v>
      </c>
      <c r="K59">
        <v>743.51744299999996</v>
      </c>
      <c r="L59">
        <v>-17703.089803999999</v>
      </c>
      <c r="M59">
        <v>71951.080639000007</v>
      </c>
      <c r="N59">
        <v>-0.87493600000000005</v>
      </c>
      <c r="O59">
        <v>25.829471999999999</v>
      </c>
      <c r="P59">
        <v>205.694231</v>
      </c>
      <c r="Q59">
        <v>13.542552000000001</v>
      </c>
      <c r="R59">
        <v>2626</v>
      </c>
      <c r="S59">
        <v>1054</v>
      </c>
      <c r="T59">
        <f>S59/(S59+R59)</f>
        <v>0.28641304347826085</v>
      </c>
      <c r="U59">
        <f>-4.1056-2.4928*T59</f>
        <v>-4.8195704347826087</v>
      </c>
      <c r="V59">
        <f>L59-(SUM(R59:S59)*U59)</f>
        <v>32.929395999999542</v>
      </c>
      <c r="W59">
        <f>V59/(2*O59*Q59)</f>
        <v>4.706929882385804E-2</v>
      </c>
      <c r="X59">
        <f>W59*16.02</f>
        <v>0.75405016715820583</v>
      </c>
    </row>
    <row r="60" spans="1:32" x14ac:dyDescent="0.2">
      <c r="B60">
        <v>-9855.1594339999992</v>
      </c>
      <c r="C60">
        <v>38207.839251999998</v>
      </c>
      <c r="D60">
        <f t="shared" si="16"/>
        <v>-4.9275797169999995</v>
      </c>
      <c r="E60">
        <f t="shared" si="17"/>
        <v>19.103919626</v>
      </c>
      <c r="F60">
        <f t="shared" si="18"/>
        <v>11.59997671596102</v>
      </c>
      <c r="G60">
        <f t="shared" si="19"/>
        <v>5.7999883579805097E-3</v>
      </c>
      <c r="H60">
        <f>604/2000</f>
        <v>0.30199999999999999</v>
      </c>
      <c r="J60">
        <v>100000</v>
      </c>
      <c r="K60">
        <v>743.99962300000004</v>
      </c>
      <c r="L60">
        <v>-17756.740641</v>
      </c>
      <c r="M60">
        <v>71868.373718999996</v>
      </c>
      <c r="N60">
        <v>-0.94705899999999998</v>
      </c>
      <c r="O60">
        <v>25.809716999999999</v>
      </c>
      <c r="P60">
        <v>205.53922399999999</v>
      </c>
      <c r="Q60">
        <v>13.547551</v>
      </c>
      <c r="R60">
        <v>2602</v>
      </c>
      <c r="S60">
        <v>1078</v>
      </c>
      <c r="T60">
        <f>S60/(S60+R60)</f>
        <v>0.29293478260869565</v>
      </c>
      <c r="U60">
        <f>-4.1056-2.4928*T60</f>
        <v>-4.8358278260869563</v>
      </c>
      <c r="V60">
        <f>L60-(SUM(R60:S60)*U60)</f>
        <v>39.105758999998216</v>
      </c>
      <c r="W60">
        <f>V60/(2*O60*Q60)</f>
        <v>5.5919938696794125E-2</v>
      </c>
      <c r="X60">
        <f>W60*16.02</f>
        <v>0.89583741792264182</v>
      </c>
      <c r="Y60" s="1">
        <f>AVERAGE(X56:X60)</f>
        <v>0.8136772550096808</v>
      </c>
    </row>
    <row r="61" spans="1:32" x14ac:dyDescent="0.2">
      <c r="B61">
        <v>-9889.5982480000002</v>
      </c>
      <c r="C61">
        <v>38153.957048999997</v>
      </c>
      <c r="D61">
        <f t="shared" si="16"/>
        <v>-4.9447991240000002</v>
      </c>
      <c r="E61">
        <f t="shared" si="17"/>
        <v>19.076978524499999</v>
      </c>
      <c r="F61">
        <f t="shared" si="18"/>
        <v>12.168346459186068</v>
      </c>
      <c r="G61">
        <f t="shared" si="19"/>
        <v>6.0841732295930338E-3</v>
      </c>
      <c r="H61">
        <f>617/2000</f>
        <v>0.3085</v>
      </c>
      <c r="Y61">
        <f>STDEV(X56:X60)</f>
        <v>5.1509042750343861E-2</v>
      </c>
    </row>
    <row r="62" spans="1:32" x14ac:dyDescent="0.2">
      <c r="B62">
        <v>-9887.5485420000005</v>
      </c>
      <c r="C62">
        <v>38160.877019</v>
      </c>
      <c r="D62">
        <f t="shared" si="16"/>
        <v>-4.9437742710000006</v>
      </c>
      <c r="E62">
        <f t="shared" si="17"/>
        <v>19.080438509499999</v>
      </c>
      <c r="F62">
        <f t="shared" si="18"/>
        <v>11.525192171244271</v>
      </c>
      <c r="G62">
        <f t="shared" si="19"/>
        <v>5.7625960856221353E-3</v>
      </c>
      <c r="H62">
        <f>616/2000</f>
        <v>0.308</v>
      </c>
      <c r="I62" t="s">
        <v>17</v>
      </c>
      <c r="K62">
        <v>694.02973199999997</v>
      </c>
      <c r="L62">
        <v>-18315.113181000001</v>
      </c>
      <c r="M62">
        <v>73568.939266999994</v>
      </c>
      <c r="N62">
        <v>-0.66419099999999998</v>
      </c>
      <c r="O62">
        <v>30.319846999999999</v>
      </c>
      <c r="P62">
        <v>90.043413000000001</v>
      </c>
      <c r="Q62">
        <v>26.947368999999998</v>
      </c>
      <c r="R62">
        <v>2620</v>
      </c>
      <c r="S62">
        <v>1156</v>
      </c>
      <c r="T62">
        <f>S62/(S62+R62)</f>
        <v>0.30614406779661019</v>
      </c>
      <c r="U62">
        <f>-4.1056-2.4928*T62</f>
        <v>-4.8687559322033902</v>
      </c>
      <c r="V62">
        <f>L62-(SUM(R62:S62)*U62)</f>
        <v>69.309219000002486</v>
      </c>
      <c r="W62">
        <f>V62/(2*O62*Q62)</f>
        <v>4.2414820621785095E-2</v>
      </c>
      <c r="X62">
        <f>W62*16.02</f>
        <v>0.67948542636099718</v>
      </c>
    </row>
    <row r="63" spans="1:32" x14ac:dyDescent="0.2">
      <c r="B63">
        <v>-9930.1816909999998</v>
      </c>
      <c r="C63">
        <v>38048.040523999996</v>
      </c>
      <c r="D63">
        <f t="shared" si="16"/>
        <v>-4.9650908454999998</v>
      </c>
      <c r="E63">
        <f t="shared" si="17"/>
        <v>19.024020261999997</v>
      </c>
      <c r="F63">
        <f t="shared" si="18"/>
        <v>14.670668066231883</v>
      </c>
      <c r="G63">
        <f t="shared" si="19"/>
        <v>7.3353340331159412E-3</v>
      </c>
      <c r="H63">
        <f>633/2000</f>
        <v>0.3165</v>
      </c>
      <c r="K63">
        <v>694.03146900000002</v>
      </c>
      <c r="L63">
        <v>-18371.075221999999</v>
      </c>
      <c r="M63">
        <v>73463.459367000003</v>
      </c>
      <c r="N63">
        <v>-0.72257700000000002</v>
      </c>
      <c r="O63">
        <v>30.324729999999999</v>
      </c>
      <c r="P63">
        <v>89.866117000000003</v>
      </c>
      <c r="Q63">
        <v>26.957487</v>
      </c>
      <c r="R63">
        <v>2600</v>
      </c>
      <c r="S63">
        <v>1176</v>
      </c>
      <c r="T63">
        <f>S63/(S63+R63)</f>
        <v>0.3114406779661017</v>
      </c>
      <c r="U63">
        <f>-4.1056-2.4928*T63</f>
        <v>-4.8819593220338984</v>
      </c>
      <c r="V63">
        <f>L63-(SUM(R63:S63)*U63)</f>
        <v>63.203177999999753</v>
      </c>
      <c r="W63">
        <f>V63/(2*O63*Q63)</f>
        <v>3.8657393961636456E-2</v>
      </c>
      <c r="X63">
        <f>W63*16.02</f>
        <v>0.61929145126541596</v>
      </c>
    </row>
    <row r="64" spans="1:32" x14ac:dyDescent="0.2">
      <c r="B64">
        <v>-9898.6645919999992</v>
      </c>
      <c r="C64">
        <v>38135.859959000001</v>
      </c>
      <c r="D64">
        <f t="shared" si="16"/>
        <v>-4.9493322959999997</v>
      </c>
      <c r="E64">
        <f t="shared" si="17"/>
        <v>19.067929979500001</v>
      </c>
      <c r="F64">
        <f t="shared" si="18"/>
        <v>13.873443610948016</v>
      </c>
      <c r="G64">
        <f t="shared" si="19"/>
        <v>6.9367218054740077E-3</v>
      </c>
      <c r="H64">
        <f>621/2000</f>
        <v>0.3105</v>
      </c>
      <c r="K64">
        <v>694.02602000000002</v>
      </c>
      <c r="L64">
        <v>-18349.779108999999</v>
      </c>
      <c r="M64">
        <v>73488.054258999997</v>
      </c>
      <c r="N64">
        <v>-0.66056899999999996</v>
      </c>
      <c r="O64">
        <v>30.326042000000001</v>
      </c>
      <c r="P64">
        <v>89.800995999999998</v>
      </c>
      <c r="Q64">
        <v>26.984902000000002</v>
      </c>
      <c r="R64">
        <v>2607</v>
      </c>
      <c r="S64">
        <v>1169</v>
      </c>
      <c r="T64">
        <f>S64/(S64+R64)</f>
        <v>0.30958686440677968</v>
      </c>
      <c r="U64">
        <f>-4.1056-2.4928*T64</f>
        <v>-4.8773381355932202</v>
      </c>
      <c r="V64">
        <f>L64-(SUM(R64:S64)*U64)</f>
        <v>67.049691000000166</v>
      </c>
      <c r="W64">
        <f>V64/(2*O64*Q64)</f>
        <v>4.0966627010521069E-2</v>
      </c>
      <c r="X64">
        <f>W64*16.02</f>
        <v>0.65628536470854748</v>
      </c>
    </row>
    <row r="65" spans="2:25" x14ac:dyDescent="0.2">
      <c r="B65">
        <v>-9867.9606170000006</v>
      </c>
      <c r="C65">
        <v>38175.201521000003</v>
      </c>
      <c r="D65">
        <f t="shared" si="16"/>
        <v>-4.9339803085000007</v>
      </c>
      <c r="E65">
        <f t="shared" si="17"/>
        <v>19.087600760500003</v>
      </c>
      <c r="F65">
        <f t="shared" si="18"/>
        <v>9.5702348677205009</v>
      </c>
      <c r="G65">
        <f t="shared" si="19"/>
        <v>4.7851174338602509E-3</v>
      </c>
      <c r="H65">
        <f>608/2000</f>
        <v>0.30399999999999999</v>
      </c>
      <c r="K65">
        <v>693.99270100000001</v>
      </c>
      <c r="L65">
        <v>-18415.350410999999</v>
      </c>
      <c r="M65">
        <v>73326.662301000004</v>
      </c>
      <c r="N65">
        <v>-0.77195499999999995</v>
      </c>
      <c r="O65">
        <v>30.287652999999999</v>
      </c>
      <c r="P65">
        <v>89.813658000000004</v>
      </c>
      <c r="Q65">
        <v>26.955956</v>
      </c>
      <c r="R65">
        <v>2582</v>
      </c>
      <c r="S65">
        <v>1194</v>
      </c>
      <c r="T65">
        <f>S65/(S65+R65)</f>
        <v>0.31620762711864409</v>
      </c>
      <c r="U65">
        <f>-4.1056-2.4928*T65</f>
        <v>-4.8938423728813554</v>
      </c>
      <c r="V65">
        <f>L65-(SUM(R65:S65)*U65)</f>
        <v>63.798388999999588</v>
      </c>
      <c r="W65">
        <f>V65/(2*O65*Q65)</f>
        <v>3.9071434524035248E-2</v>
      </c>
      <c r="X65">
        <f>W65*16.02</f>
        <v>0.62592438107504467</v>
      </c>
    </row>
    <row r="66" spans="2:25" x14ac:dyDescent="0.2">
      <c r="K66">
        <v>693.82012299999997</v>
      </c>
      <c r="L66">
        <v>-18329.829621000001</v>
      </c>
      <c r="M66">
        <v>73539.816873999996</v>
      </c>
      <c r="N66">
        <v>-0.82496199999999997</v>
      </c>
      <c r="O66">
        <v>30.320301000000001</v>
      </c>
      <c r="P66">
        <v>89.907172000000003</v>
      </c>
      <c r="Q66">
        <v>26.977108999999999</v>
      </c>
      <c r="R66">
        <v>2613</v>
      </c>
      <c r="S66">
        <v>1163</v>
      </c>
      <c r="T66">
        <f>S66/(S66+R66)</f>
        <v>0.3079978813559322</v>
      </c>
      <c r="U66">
        <f>-4.1056-2.4928*T66</f>
        <v>-4.8733771186440675</v>
      </c>
      <c r="V66">
        <f>L66-(SUM(R66:S66)*U66)</f>
        <v>72.042378999998618</v>
      </c>
      <c r="W66">
        <f>V66/(2*O66*Q66)</f>
        <v>4.4038156959887595E-2</v>
      </c>
      <c r="X66">
        <f>W66*16.02</f>
        <v>0.70549127449739923</v>
      </c>
      <c r="Y66" s="1">
        <f>AVERAGE(X62:X66)</f>
        <v>0.65729557958148088</v>
      </c>
    </row>
    <row r="67" spans="2:25" x14ac:dyDescent="0.2">
      <c r="Y67">
        <f>STDEV(X62:X66)</f>
        <v>3.6210152952626209E-2</v>
      </c>
    </row>
    <row r="68" spans="2:25" x14ac:dyDescent="0.2">
      <c r="I68" t="s">
        <v>173</v>
      </c>
      <c r="J68">
        <v>100000</v>
      </c>
      <c r="K68">
        <v>743.75795800000003</v>
      </c>
      <c r="L68">
        <v>-31396.552755000001</v>
      </c>
      <c r="M68">
        <v>126417.96941600001</v>
      </c>
      <c r="N68">
        <v>-0.50697199999999998</v>
      </c>
      <c r="O68">
        <v>39.541426000000001</v>
      </c>
      <c r="P68">
        <v>236.27911800000001</v>
      </c>
      <c r="Q68">
        <v>13.531053</v>
      </c>
      <c r="R68">
        <v>4562</v>
      </c>
      <c r="S68">
        <v>1926</v>
      </c>
      <c r="T68">
        <f>S68/(S68+R68)</f>
        <v>0.29685573366214552</v>
      </c>
      <c r="U68">
        <f>-4.1056-2.4928*T68</f>
        <v>-4.8456019728729967</v>
      </c>
      <c r="V68">
        <f>L68-(SUM(R68:S68)*U68)</f>
        <v>41.712845000001835</v>
      </c>
      <c r="W68">
        <f>V68/(2*O68*Q68)</f>
        <v>3.8981261851595735E-2</v>
      </c>
      <c r="X68">
        <f>W68*16.02</f>
        <v>0.62447981486256365</v>
      </c>
    </row>
    <row r="69" spans="2:25" x14ac:dyDescent="0.2">
      <c r="J69">
        <v>100000</v>
      </c>
      <c r="K69">
        <v>743.93003399999998</v>
      </c>
      <c r="L69">
        <v>-31318.203428000001</v>
      </c>
      <c r="M69">
        <v>126625.91841499999</v>
      </c>
      <c r="N69">
        <v>-0.56771899999999997</v>
      </c>
      <c r="O69">
        <v>39.516829000000001</v>
      </c>
      <c r="P69">
        <v>236.41649200000001</v>
      </c>
      <c r="Q69">
        <v>13.553865999999999</v>
      </c>
      <c r="R69">
        <v>4590</v>
      </c>
      <c r="S69">
        <v>1898</v>
      </c>
      <c r="T69">
        <f>S69/(S69+R69)</f>
        <v>0.29254007398273735</v>
      </c>
      <c r="U69">
        <f>-4.1056-2.4928*T69</f>
        <v>-4.834843896424168</v>
      </c>
      <c r="V69">
        <f>L69-(SUM(R69:S69)*U69)</f>
        <v>50.263772000002064</v>
      </c>
      <c r="W69">
        <f>V69/(2*O69*Q69)</f>
        <v>4.6922355517578687E-2</v>
      </c>
      <c r="X69">
        <f>W69*16.02</f>
        <v>0.75169613539161051</v>
      </c>
    </row>
    <row r="70" spans="2:25" x14ac:dyDescent="0.2">
      <c r="J70">
        <v>100000</v>
      </c>
      <c r="K70">
        <v>743.76126299999999</v>
      </c>
      <c r="L70">
        <v>-31496.396878</v>
      </c>
      <c r="M70">
        <v>126228.217064</v>
      </c>
      <c r="N70">
        <v>-0.42011300000000001</v>
      </c>
      <c r="O70">
        <v>39.48874</v>
      </c>
      <c r="P70">
        <v>236.230819</v>
      </c>
      <c r="Q70">
        <v>13.531534000000001</v>
      </c>
      <c r="R70">
        <v>4520</v>
      </c>
      <c r="S70">
        <v>1968</v>
      </c>
      <c r="T70">
        <f>S70/(S70+R70)</f>
        <v>0.30332922318125771</v>
      </c>
      <c r="U70">
        <f>-4.1056-2.4928*T70</f>
        <v>-4.8617390875462387</v>
      </c>
      <c r="V70">
        <f>L70-(SUM(R70:S70)*U70)</f>
        <v>46.566321999998763</v>
      </c>
      <c r="W70">
        <f>V70/(2*O70*Q70)</f>
        <v>4.3573418325745621E-2</v>
      </c>
      <c r="X70">
        <f>W70*16.02</f>
        <v>0.69804616157844479</v>
      </c>
    </row>
    <row r="71" spans="2:25" x14ac:dyDescent="0.2">
      <c r="J71">
        <v>100000</v>
      </c>
      <c r="K71">
        <v>743.56484799999998</v>
      </c>
      <c r="L71">
        <v>-31359.639459000002</v>
      </c>
      <c r="M71">
        <v>126513.26670599999</v>
      </c>
      <c r="N71">
        <v>-0.63977899999999999</v>
      </c>
      <c r="O71">
        <v>39.541293000000003</v>
      </c>
      <c r="P71">
        <v>236.337311</v>
      </c>
      <c r="Q71">
        <v>13.537967</v>
      </c>
      <c r="R71">
        <v>4575</v>
      </c>
      <c r="S71">
        <v>1913</v>
      </c>
      <c r="T71">
        <f>S71/(S71+R71)</f>
        <v>0.29485203452527742</v>
      </c>
      <c r="U71">
        <f>-4.1056-2.4928*T71</f>
        <v>-4.8406071516646119</v>
      </c>
      <c r="V71">
        <f>L71-(SUM(R71:S71)*U71)</f>
        <v>46.219741000000795</v>
      </c>
      <c r="W71">
        <f>V71/(2*O71*Q71)</f>
        <v>4.3171107898022448E-2</v>
      </c>
      <c r="X71">
        <f>W71*16.02</f>
        <v>0.6916011485263196</v>
      </c>
    </row>
    <row r="72" spans="2:25" x14ac:dyDescent="0.2">
      <c r="J72">
        <v>100000</v>
      </c>
      <c r="K72">
        <v>743.67022699999995</v>
      </c>
      <c r="L72">
        <v>-31374.334864</v>
      </c>
      <c r="M72">
        <v>126455.914041</v>
      </c>
      <c r="N72">
        <v>-0.46506900000000001</v>
      </c>
      <c r="O72">
        <v>39.548819999999999</v>
      </c>
      <c r="P72">
        <v>236.54877500000001</v>
      </c>
      <c r="Q72">
        <v>13.517155000000001</v>
      </c>
      <c r="R72">
        <v>4567</v>
      </c>
      <c r="S72">
        <v>1921</v>
      </c>
      <c r="T72">
        <f>S72/(S72+R72)</f>
        <v>0.29608508014796547</v>
      </c>
      <c r="U72">
        <f>-4.1056-2.4928*T72</f>
        <v>-4.8436808877928481</v>
      </c>
      <c r="V72">
        <f>L72-(SUM(R72:S72)*U72)</f>
        <v>51.466735999998491</v>
      </c>
      <c r="W72">
        <f>V72/(2*O72*Q72)</f>
        <v>4.8136865444013396E-2</v>
      </c>
      <c r="X72">
        <f>W72*16.02</f>
        <v>0.77115258441309464</v>
      </c>
      <c r="Y72" s="1">
        <f>AVERAGE(X68:X72)</f>
        <v>0.70739516895440668</v>
      </c>
    </row>
    <row r="73" spans="2:25" x14ac:dyDescent="0.2">
      <c r="Y73">
        <f>STDEV(X68:X72)</f>
        <v>5.7531284136581588E-2</v>
      </c>
    </row>
    <row r="74" spans="2:25" x14ac:dyDescent="0.2">
      <c r="I74" t="s">
        <v>174</v>
      </c>
      <c r="J74">
        <v>100000</v>
      </c>
      <c r="K74">
        <v>743.934394</v>
      </c>
      <c r="L74">
        <v>-15931.879475</v>
      </c>
      <c r="M74">
        <v>64249.862676999997</v>
      </c>
      <c r="N74">
        <v>-1.0149600000000001</v>
      </c>
      <c r="O74">
        <v>24.455055000000002</v>
      </c>
      <c r="P74">
        <v>194.21657999999999</v>
      </c>
      <c r="Q74">
        <v>13.527521999999999</v>
      </c>
      <c r="R74">
        <v>2323</v>
      </c>
      <c r="S74">
        <v>973</v>
      </c>
      <c r="T74">
        <f>S74/(S74+R74)</f>
        <v>0.29520631067961167</v>
      </c>
      <c r="U74">
        <f>-4.1056-2.4928*T74</f>
        <v>-4.8414902912621356</v>
      </c>
      <c r="V74">
        <f>L74-(SUM(R74:S74)*U74)</f>
        <v>25.672524999999951</v>
      </c>
      <c r="W74">
        <f>V74/(2*O74*Q74)</f>
        <v>3.8801784290827868E-2</v>
      </c>
      <c r="X74">
        <f>W74*16.02</f>
        <v>0.6216045843390624</v>
      </c>
    </row>
    <row r="75" spans="2:25" x14ac:dyDescent="0.2">
      <c r="J75">
        <v>100000</v>
      </c>
      <c r="K75">
        <v>743.58828800000003</v>
      </c>
      <c r="L75">
        <v>-15853.07343</v>
      </c>
      <c r="M75">
        <v>64451.955761999998</v>
      </c>
      <c r="N75">
        <v>-1.032232</v>
      </c>
      <c r="O75">
        <v>24.493525999999999</v>
      </c>
      <c r="P75">
        <v>194.451797</v>
      </c>
      <c r="Q75">
        <v>13.532361999999999</v>
      </c>
      <c r="R75">
        <v>2352</v>
      </c>
      <c r="S75">
        <v>944</v>
      </c>
      <c r="T75">
        <f>S75/(S75+R75)</f>
        <v>0.28640776699029125</v>
      </c>
      <c r="U75">
        <f>-4.1056-2.4928*T75</f>
        <v>-4.819557281553398</v>
      </c>
      <c r="V75">
        <f>L75-(SUM(R75:S75)*U75)</f>
        <v>32.187369999999646</v>
      </c>
      <c r="W75">
        <f>V75/(2*O75*Q75)</f>
        <v>4.8554622353210397E-2</v>
      </c>
      <c r="X75">
        <f>W75*16.02</f>
        <v>0.77784505009843052</v>
      </c>
    </row>
    <row r="76" spans="2:25" x14ac:dyDescent="0.2">
      <c r="J76">
        <v>100000</v>
      </c>
      <c r="K76">
        <v>743.631528</v>
      </c>
      <c r="L76">
        <v>-15987.051986</v>
      </c>
      <c r="M76">
        <v>64131.834099</v>
      </c>
      <c r="N76">
        <v>-0.97754099999999999</v>
      </c>
      <c r="O76">
        <v>24.452776</v>
      </c>
      <c r="P76">
        <v>194.20647600000001</v>
      </c>
      <c r="Q76">
        <v>13.504626</v>
      </c>
      <c r="R76">
        <v>2298</v>
      </c>
      <c r="S76">
        <v>998</v>
      </c>
      <c r="T76">
        <f>S76/(S76+R76)</f>
        <v>0.30279126213592233</v>
      </c>
      <c r="U76">
        <f>-4.1056-2.4928*T76</f>
        <v>-4.8603980582524269</v>
      </c>
      <c r="V76">
        <f>L76-(SUM(R76:S76)*U76)</f>
        <v>32.820013999998991</v>
      </c>
      <c r="W76">
        <f>V76/(2*O76*Q76)</f>
        <v>4.9693322598965015E-2</v>
      </c>
      <c r="X76">
        <f>W76*16.02</f>
        <v>0.79608702803541953</v>
      </c>
    </row>
    <row r="77" spans="2:25" x14ac:dyDescent="0.2">
      <c r="J77">
        <v>100000</v>
      </c>
      <c r="K77">
        <v>743.57490600000006</v>
      </c>
      <c r="L77">
        <v>-15990.873693</v>
      </c>
      <c r="M77">
        <v>64150.483326000001</v>
      </c>
      <c r="N77">
        <v>-1.0489040000000001</v>
      </c>
      <c r="O77">
        <v>24.459484</v>
      </c>
      <c r="P77">
        <v>193.981109</v>
      </c>
      <c r="Q77">
        <v>13.520536</v>
      </c>
      <c r="R77">
        <v>2298</v>
      </c>
      <c r="S77">
        <v>998</v>
      </c>
      <c r="T77">
        <f>S77/(S77+R77)</f>
        <v>0.30279126213592233</v>
      </c>
      <c r="U77">
        <f>-4.1056-2.4928*T77</f>
        <v>-4.8603980582524269</v>
      </c>
      <c r="V77">
        <f>L77-(SUM(R77:S77)*U77)</f>
        <v>28.998306999999841</v>
      </c>
      <c r="W77">
        <f>V77/(2*O77*Q77)</f>
        <v>4.384311957182864E-2</v>
      </c>
      <c r="X77">
        <f>W77*16.02</f>
        <v>0.70236677554069482</v>
      </c>
    </row>
    <row r="78" spans="2:25" x14ac:dyDescent="0.2">
      <c r="J78">
        <v>100000</v>
      </c>
      <c r="K78">
        <v>743.89171399999998</v>
      </c>
      <c r="L78">
        <v>-15896.145974999999</v>
      </c>
      <c r="M78">
        <v>64353.634360999997</v>
      </c>
      <c r="N78">
        <v>-0.97221100000000005</v>
      </c>
      <c r="O78">
        <v>24.478542999999998</v>
      </c>
      <c r="P78">
        <v>194.127746</v>
      </c>
      <c r="Q78">
        <v>13.542562999999999</v>
      </c>
      <c r="R78">
        <v>2336</v>
      </c>
      <c r="S78">
        <v>960</v>
      </c>
      <c r="T78">
        <f>S78/(S78+R78)</f>
        <v>0.29126213592233008</v>
      </c>
      <c r="U78">
        <f>-4.1056-2.4928*T78</f>
        <v>-4.8316582524271841</v>
      </c>
      <c r="V78">
        <f>L78-(SUM(R78:S78)*U78)</f>
        <v>28.999624999998559</v>
      </c>
      <c r="W78">
        <f>V78/(2*O78*Q78)</f>
        <v>4.3739715847616753E-2</v>
      </c>
      <c r="X78">
        <f>W78*16.02</f>
        <v>0.70071024787882041</v>
      </c>
      <c r="Y78" s="1">
        <f>AVERAGE(X74:X78)</f>
        <v>0.71972273717848556</v>
      </c>
    </row>
    <row r="79" spans="2:25" x14ac:dyDescent="0.2">
      <c r="Y79">
        <f>STDEV(X74:X78)</f>
        <v>6.982045589869984E-2</v>
      </c>
    </row>
    <row r="80" spans="2:25" x14ac:dyDescent="0.2">
      <c r="I80" t="s">
        <v>175</v>
      </c>
      <c r="J80">
        <v>100000</v>
      </c>
      <c r="K80">
        <v>743.76108999999997</v>
      </c>
      <c r="L80">
        <v>-22962.603576000001</v>
      </c>
      <c r="M80">
        <v>92637.885741000006</v>
      </c>
      <c r="N80">
        <v>-0.86309800000000003</v>
      </c>
      <c r="O80">
        <v>33.936525000000003</v>
      </c>
      <c r="P80">
        <v>201.978892</v>
      </c>
      <c r="Q80">
        <v>13.514994</v>
      </c>
      <c r="R80">
        <v>3353</v>
      </c>
      <c r="S80">
        <v>1399</v>
      </c>
      <c r="T80">
        <f>S80/(S80+R80)</f>
        <v>0.29440235690235689</v>
      </c>
      <c r="U80">
        <f>-4.1056-2.4928*T80</f>
        <v>-4.8394861952861952</v>
      </c>
      <c r="V80">
        <f>L80-(SUM(R80:S80)*U80)</f>
        <v>34.634823999997025</v>
      </c>
      <c r="W80">
        <f>V80/(2*O80*Q80)</f>
        <v>3.775719843521106E-2</v>
      </c>
      <c r="X80">
        <f>W80*16.02</f>
        <v>0.60487031893208121</v>
      </c>
    </row>
    <row r="81" spans="9:29" x14ac:dyDescent="0.2">
      <c r="J81">
        <v>100000</v>
      </c>
      <c r="K81">
        <v>743.69564500000001</v>
      </c>
      <c r="L81">
        <v>-23086.883666000002</v>
      </c>
      <c r="M81">
        <v>92352.241112999996</v>
      </c>
      <c r="N81">
        <v>-0.647424</v>
      </c>
      <c r="O81">
        <v>33.892546000000003</v>
      </c>
      <c r="P81">
        <v>201.72992199999999</v>
      </c>
      <c r="Q81">
        <v>13.5074539</v>
      </c>
      <c r="R81">
        <v>3305</v>
      </c>
      <c r="S81">
        <v>1447</v>
      </c>
      <c r="T81">
        <f>S81/(S81+R81)</f>
        <v>0.304503367003367</v>
      </c>
      <c r="U81">
        <f>-4.1056-2.4928*T81</f>
        <v>-4.8646659932659935</v>
      </c>
      <c r="V81">
        <f>L81-(SUM(R81:S81)*U81)</f>
        <v>30.009133999999904</v>
      </c>
      <c r="W81">
        <f>V81/(2*O81*Q81)</f>
        <v>3.2775232334481957E-2</v>
      </c>
      <c r="X81">
        <f>W81*16.02</f>
        <v>0.52505922199840094</v>
      </c>
    </row>
    <row r="82" spans="9:29" x14ac:dyDescent="0.2">
      <c r="J82">
        <v>100000</v>
      </c>
      <c r="K82">
        <v>743.852531</v>
      </c>
      <c r="L82">
        <v>-22955.042266</v>
      </c>
      <c r="M82">
        <v>92657.171113999997</v>
      </c>
      <c r="N82">
        <v>-0.65062299999999995</v>
      </c>
      <c r="O82">
        <v>33.951104000000001</v>
      </c>
      <c r="P82">
        <v>201.56507300000001</v>
      </c>
      <c r="Q82">
        <v>13.539745999999999</v>
      </c>
      <c r="R82">
        <v>3357</v>
      </c>
      <c r="S82">
        <v>1395</v>
      </c>
      <c r="T82">
        <f>S82/(S82+R82)</f>
        <v>0.29356060606060608</v>
      </c>
      <c r="U82">
        <f>-4.1056-2.4928*T82</f>
        <v>-4.8373878787878786</v>
      </c>
      <c r="V82">
        <f>L82-(SUM(R82:S82)*U82)</f>
        <v>32.224933999998029</v>
      </c>
      <c r="W82">
        <f>V82/(2*O82*Q82)</f>
        <v>3.5050774813478479E-2</v>
      </c>
      <c r="X82">
        <f>W82*16.02</f>
        <v>0.56151341251192521</v>
      </c>
    </row>
    <row r="83" spans="9:29" x14ac:dyDescent="0.2">
      <c r="J83">
        <v>100000</v>
      </c>
      <c r="K83">
        <v>743.79536499999995</v>
      </c>
      <c r="L83">
        <v>-23102.200721000001</v>
      </c>
      <c r="M83">
        <v>92351.549222999995</v>
      </c>
      <c r="N83">
        <v>-0.66796</v>
      </c>
      <c r="O83">
        <v>33.909759000000001</v>
      </c>
      <c r="P83">
        <v>201.72720799999999</v>
      </c>
      <c r="Q83">
        <v>13.500677</v>
      </c>
      <c r="R83">
        <v>3295</v>
      </c>
      <c r="S83">
        <v>1457</v>
      </c>
      <c r="T83">
        <f>S83/(S83+R83)</f>
        <v>0.30660774410774411</v>
      </c>
      <c r="U83">
        <f>-4.1056-2.4928*T83</f>
        <v>-4.8699117845117845</v>
      </c>
      <c r="V83">
        <f>L83-(SUM(R83:S83)*U83)</f>
        <v>39.62007900000026</v>
      </c>
      <c r="W83">
        <f>V83/(2*O83*Q83)</f>
        <v>4.3271812964305212E-2</v>
      </c>
      <c r="X83">
        <f>W83*16.02</f>
        <v>0.69321444368816942</v>
      </c>
    </row>
    <row r="84" spans="9:29" x14ac:dyDescent="0.2">
      <c r="J84">
        <v>100000</v>
      </c>
      <c r="K84">
        <v>743.869013</v>
      </c>
      <c r="L84">
        <v>-22960.041654000001</v>
      </c>
      <c r="M84">
        <v>92648.396959999998</v>
      </c>
      <c r="N84">
        <v>-0.69939300000000004</v>
      </c>
      <c r="O84">
        <v>33.931308999999999</v>
      </c>
      <c r="P84">
        <v>201.88143400000001</v>
      </c>
      <c r="Q84">
        <v>13.525135000000001</v>
      </c>
      <c r="R84">
        <v>3355</v>
      </c>
      <c r="S84">
        <v>1397</v>
      </c>
      <c r="T84">
        <f>S84/(S84+R84)</f>
        <v>0.29398148148148145</v>
      </c>
      <c r="U84">
        <f>-4.1056-2.4928*T84</f>
        <v>-4.8384370370370373</v>
      </c>
      <c r="V84">
        <f>L84-(SUM(R84:S84)*U84)</f>
        <v>32.211146000001463</v>
      </c>
      <c r="W84">
        <f>V84/(2*O84*Q84)</f>
        <v>3.5094087762397551E-2</v>
      </c>
      <c r="X84">
        <f>W84*16.02</f>
        <v>0.5622072859536088</v>
      </c>
      <c r="Y84" s="1">
        <f>AVERAGE(X80:X84)</f>
        <v>0.5893729366168371</v>
      </c>
    </row>
    <row r="85" spans="9:29" x14ac:dyDescent="0.2">
      <c r="Y85">
        <f>STDEV(X80:X84)</f>
        <v>6.4563160929435551E-2</v>
      </c>
    </row>
    <row r="86" spans="9:29" x14ac:dyDescent="0.2">
      <c r="I86" t="s">
        <v>111</v>
      </c>
      <c r="K86">
        <v>693.82847400000003</v>
      </c>
      <c r="L86">
        <v>-18660.376980000001</v>
      </c>
      <c r="M86">
        <v>74151.578582000002</v>
      </c>
      <c r="N86">
        <v>-0.71860100000000005</v>
      </c>
      <c r="O86">
        <v>30.345890000000001</v>
      </c>
      <c r="P86">
        <v>180.912451</v>
      </c>
      <c r="Q86">
        <v>13.506815</v>
      </c>
      <c r="R86">
        <v>2624</v>
      </c>
      <c r="S86">
        <v>1200</v>
      </c>
      <c r="T86">
        <f>S86/(S86+R86)</f>
        <v>0.31380753138075312</v>
      </c>
      <c r="U86">
        <f>-4.1056-2.4928*T86</f>
        <v>-4.8878594142259413</v>
      </c>
      <c r="V86">
        <f>L86-(SUM(R86:S86)*U86)</f>
        <v>30.797419999998965</v>
      </c>
      <c r="W86">
        <f>V86/(2*O86*Q86)</f>
        <v>3.756916212146974E-2</v>
      </c>
      <c r="X86">
        <f>W86*16.02</f>
        <v>0.60185797718594525</v>
      </c>
    </row>
    <row r="87" spans="9:29" x14ac:dyDescent="0.2">
      <c r="K87">
        <v>694.23816099999999</v>
      </c>
      <c r="L87">
        <v>-18638.681718</v>
      </c>
      <c r="M87">
        <v>74178.708910000001</v>
      </c>
      <c r="N87">
        <v>-0.75629400000000002</v>
      </c>
      <c r="O87">
        <v>30.372055</v>
      </c>
      <c r="P87">
        <v>180.73744600000001</v>
      </c>
      <c r="Q87">
        <v>13.513188</v>
      </c>
      <c r="R87">
        <v>2625</v>
      </c>
      <c r="S87">
        <v>1197</v>
      </c>
      <c r="T87">
        <f>S87/(S87+R87)</f>
        <v>0.31318681318681318</v>
      </c>
      <c r="U87">
        <f>-4.1056-2.4928*T87</f>
        <v>-4.8863120879120876</v>
      </c>
      <c r="V87">
        <f>L87-(SUM(R87:S87)*U87)</f>
        <v>36.80308199999854</v>
      </c>
      <c r="W87">
        <f>V87/(2*O87*Q87)</f>
        <v>4.4835518563288712E-2</v>
      </c>
      <c r="X87">
        <f>W87*16.02</f>
        <v>0.7182650073838851</v>
      </c>
    </row>
    <row r="88" spans="9:29" x14ac:dyDescent="0.2">
      <c r="K88">
        <v>693.82480499999997</v>
      </c>
      <c r="L88">
        <v>-18640.661407</v>
      </c>
      <c r="M88">
        <v>74216.855460999999</v>
      </c>
      <c r="N88">
        <v>-0.76492899999999997</v>
      </c>
      <c r="O88">
        <v>30.374312</v>
      </c>
      <c r="P88">
        <v>180.902345</v>
      </c>
      <c r="Q88">
        <v>13.506814</v>
      </c>
      <c r="R88">
        <v>2628</v>
      </c>
      <c r="S88">
        <v>1196</v>
      </c>
      <c r="T88">
        <f>S88/(S88+R88)</f>
        <v>0.31276150627615062</v>
      </c>
      <c r="U88">
        <f>-4.1056-2.4928*T88</f>
        <v>-4.8852518828451883</v>
      </c>
      <c r="V88">
        <f>L88-(SUM(R88:S88)*U88)</f>
        <v>40.541793000000325</v>
      </c>
      <c r="W88">
        <f>V88/(2*O88*Q88)</f>
        <v>4.9409855895382514E-2</v>
      </c>
      <c r="X88">
        <f>W88*16.02</f>
        <v>0.79154589144402787</v>
      </c>
    </row>
    <row r="89" spans="9:29" x14ac:dyDescent="0.2">
      <c r="K89">
        <v>693.94804199999999</v>
      </c>
      <c r="L89">
        <v>-18576.195474</v>
      </c>
      <c r="M89">
        <v>74385.832737000004</v>
      </c>
      <c r="N89">
        <v>-0.72297400000000001</v>
      </c>
      <c r="O89">
        <v>30.362366999999999</v>
      </c>
      <c r="P89">
        <v>181.02093600000001</v>
      </c>
      <c r="Q89">
        <v>13.534018</v>
      </c>
      <c r="R89">
        <v>2654</v>
      </c>
      <c r="S89">
        <v>1170</v>
      </c>
      <c r="T89">
        <f>S89/(S89+R89)</f>
        <v>0.30596234309623432</v>
      </c>
      <c r="U89">
        <f>-4.1056-2.4928*T89</f>
        <v>-4.8683029288702926</v>
      </c>
      <c r="V89">
        <f>L89-(SUM(R89:S89)*U89)</f>
        <v>40.194926000000123</v>
      </c>
      <c r="W89">
        <f>V89/(2*O89*Q89)</f>
        <v>4.8907882776729333E-2</v>
      </c>
      <c r="X89">
        <f>W89*16.02</f>
        <v>0.78350428208320388</v>
      </c>
      <c r="AA89" s="1"/>
      <c r="AB89" s="1"/>
      <c r="AC89" s="1"/>
    </row>
    <row r="90" spans="9:29" x14ac:dyDescent="0.2">
      <c r="K90">
        <v>693.93352600000003</v>
      </c>
      <c r="L90">
        <v>-18611.869903999999</v>
      </c>
      <c r="M90">
        <v>74287.021449000007</v>
      </c>
      <c r="N90">
        <v>-0.76682399999999995</v>
      </c>
      <c r="O90">
        <v>30.368379999999998</v>
      </c>
      <c r="P90">
        <v>181.09411800000001</v>
      </c>
      <c r="Q90">
        <v>13.507899999999999</v>
      </c>
      <c r="R90">
        <v>2643</v>
      </c>
      <c r="S90">
        <v>1181</v>
      </c>
      <c r="T90">
        <f>S90/(S90+R90)</f>
        <v>0.3088389121338912</v>
      </c>
      <c r="U90">
        <f>-4.1056-2.4928*T90</f>
        <v>-4.875473640167364</v>
      </c>
      <c r="V90">
        <f>L90-(SUM(R90:S90)*U90)</f>
        <v>31.941296000000875</v>
      </c>
      <c r="W90">
        <f>V90/(2*O90*Q90)</f>
        <v>3.8932570237494302E-2</v>
      </c>
      <c r="X90">
        <f>W90*16.02</f>
        <v>0.62369977520465869</v>
      </c>
      <c r="Y90" s="1">
        <f>AVERAGE(X86:X90)</f>
        <v>0.7037745866603442</v>
      </c>
      <c r="AA90" s="1"/>
      <c r="AB90" s="1"/>
      <c r="AC90" s="1"/>
    </row>
    <row r="91" spans="9:29" x14ac:dyDescent="0.2">
      <c r="Y91">
        <f>STDEV(X86:X90)</f>
        <v>8.8132810696154862E-2</v>
      </c>
      <c r="AA91" s="1"/>
      <c r="AB91" s="1"/>
      <c r="AC91" s="1"/>
    </row>
    <row r="92" spans="9:29" x14ac:dyDescent="0.2">
      <c r="I92">
        <v>1000</v>
      </c>
      <c r="J92" t="s">
        <v>176</v>
      </c>
      <c r="K92" t="s">
        <v>18</v>
      </c>
      <c r="L92" t="s">
        <v>5</v>
      </c>
      <c r="M92" t="s">
        <v>7</v>
      </c>
      <c r="N92" t="s">
        <v>19</v>
      </c>
      <c r="O92" t="s">
        <v>20</v>
      </c>
      <c r="P92" t="s">
        <v>21</v>
      </c>
      <c r="Q92" t="s">
        <v>22</v>
      </c>
      <c r="R92" t="s">
        <v>4</v>
      </c>
      <c r="S92" t="s">
        <v>10</v>
      </c>
      <c r="T92" t="s">
        <v>13</v>
      </c>
      <c r="U92" t="s">
        <v>26</v>
      </c>
      <c r="V92" t="s">
        <v>12</v>
      </c>
      <c r="W92" t="s">
        <v>23</v>
      </c>
      <c r="X92" t="s">
        <v>23</v>
      </c>
      <c r="AA92" s="1"/>
      <c r="AB92" s="1"/>
      <c r="AC92" s="1"/>
    </row>
    <row r="93" spans="9:29" x14ac:dyDescent="0.2">
      <c r="I93" t="s">
        <v>55</v>
      </c>
      <c r="K93">
        <v>867.66500699999995</v>
      </c>
      <c r="L93">
        <v>-18917.358568</v>
      </c>
      <c r="M93">
        <v>76291.414447000003</v>
      </c>
      <c r="N93">
        <v>-0.86840700000000004</v>
      </c>
      <c r="O93">
        <v>30.713085</v>
      </c>
      <c r="P93">
        <v>183.22633999999999</v>
      </c>
      <c r="Q93">
        <v>13.557065</v>
      </c>
      <c r="R93">
        <v>2690</v>
      </c>
      <c r="S93">
        <v>1214</v>
      </c>
      <c r="T93">
        <f>S93/(S93+R93)</f>
        <v>0.31096311475409838</v>
      </c>
      <c r="U93">
        <f>-4.0807-2.4832*T93</f>
        <v>-4.852883606557377</v>
      </c>
      <c r="V93">
        <f>L93-(SUM(R93:S93)*U93)</f>
        <v>28.299031999998988</v>
      </c>
      <c r="W93">
        <f>V93/(2*O93*Q93)</f>
        <v>3.3982276136611519E-2</v>
      </c>
      <c r="X93">
        <f>W93*16.02</f>
        <v>0.54439606370851656</v>
      </c>
      <c r="AA93" s="1"/>
      <c r="AB93" s="1"/>
      <c r="AC93" s="1"/>
    </row>
    <row r="94" spans="9:29" x14ac:dyDescent="0.2">
      <c r="K94">
        <v>867.72161500000004</v>
      </c>
      <c r="L94">
        <v>-18932.329197999999</v>
      </c>
      <c r="M94">
        <v>76251.569294999994</v>
      </c>
      <c r="N94">
        <v>-0.95289100000000004</v>
      </c>
      <c r="O94">
        <v>30.698533000000001</v>
      </c>
      <c r="P94">
        <v>183.18812500000001</v>
      </c>
      <c r="Q94">
        <v>13.559246</v>
      </c>
      <c r="R94">
        <v>2683</v>
      </c>
      <c r="S94">
        <v>1221</v>
      </c>
      <c r="T94">
        <f>S94/(S94+R94)</f>
        <v>0.31275614754098363</v>
      </c>
      <c r="U94">
        <f>-4.0807-2.4832*T94</f>
        <v>-4.8573360655737705</v>
      </c>
      <c r="V94">
        <f>L94-(SUM(R94:S94)*U94)</f>
        <v>30.710802000001422</v>
      </c>
      <c r="W94">
        <f>V94/(2*O94*Q94)</f>
        <v>3.6889944352055226E-2</v>
      </c>
      <c r="X94">
        <f>W94*16.02</f>
        <v>0.59097690851992468</v>
      </c>
      <c r="AA94" s="1"/>
      <c r="AB94" s="1"/>
      <c r="AC94" s="1"/>
    </row>
    <row r="95" spans="9:29" x14ac:dyDescent="0.2">
      <c r="K95">
        <v>867.47143900000003</v>
      </c>
      <c r="L95">
        <v>-18932.582957999999</v>
      </c>
      <c r="M95">
        <v>76232.469442999994</v>
      </c>
      <c r="N95">
        <v>-0.98898900000000001</v>
      </c>
      <c r="O95">
        <v>30.717421000000002</v>
      </c>
      <c r="P95">
        <v>183.215666</v>
      </c>
      <c r="Q95">
        <v>13.545472</v>
      </c>
      <c r="R95">
        <v>2684</v>
      </c>
      <c r="S95">
        <v>1220</v>
      </c>
      <c r="T95">
        <f>S95/(S95+R95)</f>
        <v>0.3125</v>
      </c>
      <c r="U95">
        <f>-4.0807-2.4832*T95</f>
        <v>-4.8567</v>
      </c>
      <c r="V95">
        <f>L95-(SUM(R95:S95)*U95)</f>
        <v>27.973841999999422</v>
      </c>
      <c r="W95">
        <f>V95/(2*O95*Q95)</f>
        <v>3.3615782804014914E-2</v>
      </c>
      <c r="X95">
        <f>W95*16.02</f>
        <v>0.5385248405203189</v>
      </c>
      <c r="AA95" s="1"/>
      <c r="AB95" s="1"/>
      <c r="AC95" s="1"/>
    </row>
    <row r="96" spans="9:29" x14ac:dyDescent="0.2">
      <c r="K96">
        <v>867.56545800000004</v>
      </c>
      <c r="L96">
        <v>-18857.072511999999</v>
      </c>
      <c r="M96">
        <v>76429.692985999995</v>
      </c>
      <c r="N96">
        <v>-0.85144299999999995</v>
      </c>
      <c r="O96">
        <v>30.745014999999999</v>
      </c>
      <c r="P96">
        <v>183.26949099999999</v>
      </c>
      <c r="Q96">
        <v>13.564346</v>
      </c>
      <c r="R96">
        <v>2713</v>
      </c>
      <c r="S96">
        <v>1191</v>
      </c>
      <c r="T96">
        <f>S96/(S96+R96)</f>
        <v>0.30507172131147542</v>
      </c>
      <c r="U96">
        <f>-4.0807-2.4832*T96</f>
        <v>-4.8382540983606557</v>
      </c>
      <c r="V96">
        <f>L96-(SUM(R96:S96)*U96)</f>
        <v>31.471487999999226</v>
      </c>
      <c r="W96">
        <f>V96/(2*O96*Q96)</f>
        <v>3.7732337732824632E-2</v>
      </c>
      <c r="X96">
        <f>W96*16.02</f>
        <v>0.60447205047985064</v>
      </c>
    </row>
    <row r="97" spans="9:25" x14ac:dyDescent="0.2">
      <c r="K97">
        <v>867.563805</v>
      </c>
      <c r="L97">
        <v>-18889.407472999999</v>
      </c>
      <c r="M97">
        <v>76344.032422000004</v>
      </c>
      <c r="N97">
        <v>-0.97013199999999999</v>
      </c>
      <c r="O97">
        <v>30.712267000000001</v>
      </c>
      <c r="P97">
        <v>183.30382599999999</v>
      </c>
      <c r="Q97">
        <v>13.561049000000001</v>
      </c>
      <c r="R97">
        <v>2702</v>
      </c>
      <c r="S97">
        <v>1202</v>
      </c>
      <c r="T97">
        <f>S97/(S97+R97)</f>
        <v>0.30788934426229508</v>
      </c>
      <c r="U97">
        <f>-4.0807-2.4832*T97</f>
        <v>-4.8452508196721311</v>
      </c>
      <c r="V97">
        <f>L97-(SUM(R97:S97)*U97)</f>
        <v>26.451726999999664</v>
      </c>
      <c r="W97">
        <f>V97/(2*O97*Q97)</f>
        <v>3.1755494226365893E-2</v>
      </c>
      <c r="X97">
        <f>W97*16.02</f>
        <v>0.5087230175063816</v>
      </c>
    </row>
    <row r="98" spans="9:25" x14ac:dyDescent="0.2">
      <c r="X98" s="1">
        <f>AVERAGE(X93:X97)</f>
        <v>0.55741857614699852</v>
      </c>
      <c r="Y98">
        <f>STDEV(X93:X97)</f>
        <v>3.9490529326368866E-2</v>
      </c>
    </row>
    <row r="99" spans="9:25" x14ac:dyDescent="0.2">
      <c r="I99" t="s">
        <v>133</v>
      </c>
      <c r="J99">
        <v>100000</v>
      </c>
      <c r="K99">
        <v>929.41792099999998</v>
      </c>
      <c r="L99">
        <v>-15228.164176</v>
      </c>
      <c r="M99">
        <v>62201.643967999997</v>
      </c>
      <c r="N99">
        <v>-1.6666259999999999</v>
      </c>
      <c r="O99">
        <v>24.023893999999999</v>
      </c>
      <c r="P99">
        <v>190.793237</v>
      </c>
      <c r="Q99">
        <v>13.570539</v>
      </c>
      <c r="R99">
        <v>2232</v>
      </c>
      <c r="S99">
        <v>936</v>
      </c>
      <c r="T99">
        <f>S99/(S99+R99)</f>
        <v>0.29545454545454547</v>
      </c>
      <c r="U99">
        <f>-4.0807-2.4832*T99</f>
        <v>-4.8143727272727279</v>
      </c>
      <c r="V99">
        <f>L99-(SUM(R99:S99)*U99)</f>
        <v>23.768624000002092</v>
      </c>
      <c r="W99">
        <f>V99/(2*O99*Q99)</f>
        <v>3.6453022563853132E-2</v>
      </c>
      <c r="X99">
        <f>W99*16.02</f>
        <v>0.58397742147292719</v>
      </c>
    </row>
    <row r="100" spans="9:25" x14ac:dyDescent="0.2">
      <c r="J100">
        <v>100000</v>
      </c>
      <c r="K100">
        <v>929.88735899999995</v>
      </c>
      <c r="L100">
        <v>-15265.178692</v>
      </c>
      <c r="M100">
        <v>62136.127637999998</v>
      </c>
      <c r="N100">
        <v>-1.6373500000000001</v>
      </c>
      <c r="O100">
        <v>24.004376000000001</v>
      </c>
      <c r="P100">
        <v>190.856257</v>
      </c>
      <c r="Q100">
        <v>13.562787999999999</v>
      </c>
      <c r="R100">
        <v>2217</v>
      </c>
      <c r="S100">
        <v>951</v>
      </c>
      <c r="T100">
        <f>S100/(S100+R100)</f>
        <v>0.30018939393939392</v>
      </c>
      <c r="U100">
        <f>-4.0807-2.4832*T100</f>
        <v>-4.8261303030303031</v>
      </c>
      <c r="V100">
        <f>L100-(SUM(R100:S100)*U100)</f>
        <v>24.00210800000059</v>
      </c>
      <c r="W100">
        <f>V100/(2*O100*Q100)</f>
        <v>3.6862093443744144E-2</v>
      </c>
      <c r="X100">
        <f>W100*16.02</f>
        <v>0.59053073696878122</v>
      </c>
    </row>
    <row r="101" spans="9:25" x14ac:dyDescent="0.2">
      <c r="J101">
        <v>100000</v>
      </c>
      <c r="K101">
        <v>929.78813100000002</v>
      </c>
      <c r="L101">
        <v>-15251.019141999999</v>
      </c>
      <c r="M101">
        <v>62151.943598999998</v>
      </c>
      <c r="N101">
        <v>-1.5059689999999999</v>
      </c>
      <c r="O101">
        <v>24.039128999999999</v>
      </c>
      <c r="P101">
        <v>190.70519100000001</v>
      </c>
      <c r="Q101">
        <v>13.557369</v>
      </c>
      <c r="R101">
        <v>2224</v>
      </c>
      <c r="S101">
        <v>944</v>
      </c>
      <c r="T101">
        <f>S101/(S101+R101)</f>
        <v>0.29797979797979796</v>
      </c>
      <c r="U101">
        <f>-4.0807-2.4832*T101</f>
        <v>-4.8206434343434346</v>
      </c>
      <c r="V101">
        <f>L101-(SUM(R101:S101)*U101)</f>
        <v>20.779258000002301</v>
      </c>
      <c r="W101">
        <f>V101/(2*O101*Q101)</f>
        <v>3.187908847633502E-2</v>
      </c>
      <c r="X101">
        <f>W101*16.02</f>
        <v>0.51070299739088698</v>
      </c>
    </row>
    <row r="102" spans="9:25" x14ac:dyDescent="0.2">
      <c r="J102">
        <v>100000</v>
      </c>
      <c r="K102">
        <v>929.74912600000005</v>
      </c>
      <c r="L102">
        <v>-15267.225630000001</v>
      </c>
      <c r="M102">
        <v>62115.288086</v>
      </c>
      <c r="N102">
        <v>-1.42245</v>
      </c>
      <c r="O102">
        <v>23.998389</v>
      </c>
      <c r="P102">
        <v>190.71871999999999</v>
      </c>
      <c r="Q102">
        <v>13.571405</v>
      </c>
      <c r="R102">
        <v>2218</v>
      </c>
      <c r="S102">
        <v>950</v>
      </c>
      <c r="T102">
        <f>S102/(S102+R102)</f>
        <v>0.29987373737373735</v>
      </c>
      <c r="U102">
        <f>-4.0807-2.4832*T102</f>
        <v>-4.825346464646465</v>
      </c>
      <c r="V102">
        <f>L102-(SUM(R102:S102)*U102)</f>
        <v>19.47197000000051</v>
      </c>
      <c r="W102">
        <f>V102/(2*O102*Q102)</f>
        <v>2.9893240517668066E-2</v>
      </c>
      <c r="X102">
        <f>W102*16.02</f>
        <v>0.4788897130930424</v>
      </c>
    </row>
    <row r="103" spans="9:25" x14ac:dyDescent="0.2">
      <c r="J103">
        <v>100000</v>
      </c>
      <c r="K103">
        <v>929.56083100000001</v>
      </c>
      <c r="L103">
        <v>-15129.103257000001</v>
      </c>
      <c r="M103">
        <v>62423.848317999997</v>
      </c>
      <c r="N103">
        <v>-1.4749969999999999</v>
      </c>
      <c r="O103">
        <v>24.072326</v>
      </c>
      <c r="P103">
        <v>190.86368400000001</v>
      </c>
      <c r="Q103">
        <v>13.586600000000001</v>
      </c>
      <c r="R103">
        <v>2269</v>
      </c>
      <c r="S103">
        <v>899</v>
      </c>
      <c r="T103">
        <f>S103/(S103+R103)</f>
        <v>0.28377525252525254</v>
      </c>
      <c r="U103">
        <f>-4.0807-2.4832*T103</f>
        <v>-4.7853707070707072</v>
      </c>
      <c r="V103">
        <f>L103-(SUM(R103:S103)*U103)</f>
        <v>30.951143000000229</v>
      </c>
      <c r="W103">
        <f>V103/(2*O103*Q103)</f>
        <v>4.7317070672704915E-2</v>
      </c>
      <c r="X103">
        <f>W103*16.02</f>
        <v>0.75801947217673271</v>
      </c>
    </row>
    <row r="104" spans="9:25" x14ac:dyDescent="0.2">
      <c r="X104" s="1">
        <f>AVERAGE(X99:X103)</f>
        <v>0.58442406822047421</v>
      </c>
      <c r="Y104">
        <f>STDEV(X99:X103)</f>
        <v>0.10810313543981814</v>
      </c>
    </row>
    <row r="105" spans="9:25" x14ac:dyDescent="0.2">
      <c r="I105" t="s">
        <v>28</v>
      </c>
      <c r="K105">
        <v>929.76776600000005</v>
      </c>
      <c r="L105">
        <v>-11968.298945</v>
      </c>
      <c r="M105">
        <v>48348.615502000001</v>
      </c>
      <c r="N105">
        <v>-1.9728859999999999</v>
      </c>
      <c r="O105">
        <v>34.649935999999997</v>
      </c>
      <c r="P105">
        <v>137.74981099999999</v>
      </c>
      <c r="Q105">
        <v>10.129609</v>
      </c>
      <c r="R105">
        <v>1703</v>
      </c>
      <c r="S105">
        <v>769</v>
      </c>
      <c r="T105">
        <f>S105/(S105+R105)</f>
        <v>0.31108414239482202</v>
      </c>
      <c r="U105">
        <f>-4.0807-2.4832*T105</f>
        <v>-4.8531841423948219</v>
      </c>
      <c r="V105">
        <f>L105-(SUM(R105:S105)*U105)</f>
        <v>28.772254999999859</v>
      </c>
      <c r="W105">
        <f>V105/(2*O105*Q105)</f>
        <v>4.0987250514584794E-2</v>
      </c>
      <c r="X105">
        <f>W105*16.02</f>
        <v>0.6566157532436484</v>
      </c>
    </row>
    <row r="106" spans="9:25" x14ac:dyDescent="0.2">
      <c r="K106">
        <v>929.87230099999999</v>
      </c>
      <c r="L106">
        <v>-11987.93909</v>
      </c>
      <c r="M106">
        <v>48308.818288000002</v>
      </c>
      <c r="N106">
        <v>-1.857837</v>
      </c>
      <c r="O106">
        <v>34.696609000000002</v>
      </c>
      <c r="P106">
        <v>137.34045699999999</v>
      </c>
      <c r="Q106">
        <v>10.137795000000001</v>
      </c>
      <c r="R106">
        <v>1696</v>
      </c>
      <c r="S106">
        <v>776</v>
      </c>
      <c r="T106">
        <f>S106/(S106+R106)</f>
        <v>0.31391585760517798</v>
      </c>
      <c r="U106">
        <f>-4.0807-2.4832*T106</f>
        <v>-4.8602158576051782</v>
      </c>
      <c r="V106">
        <f>L106-(SUM(R106:S106)*U106)</f>
        <v>26.514510000000882</v>
      </c>
      <c r="W106">
        <f>V106/(2*O106*Q106)</f>
        <v>3.7689734049987975E-2</v>
      </c>
      <c r="X106">
        <f>W106*16.02</f>
        <v>0.60378953948080738</v>
      </c>
    </row>
    <row r="107" spans="9:25" x14ac:dyDescent="0.2">
      <c r="K107">
        <v>929.55532700000003</v>
      </c>
      <c r="L107">
        <v>-11904.841023000001</v>
      </c>
      <c r="M107">
        <v>48496.168401000003</v>
      </c>
      <c r="N107">
        <v>-1.9870110000000001</v>
      </c>
      <c r="O107">
        <v>34.664012</v>
      </c>
      <c r="P107">
        <v>138.015218</v>
      </c>
      <c r="Q107">
        <v>10.136877999999999</v>
      </c>
      <c r="R107">
        <v>1730</v>
      </c>
      <c r="S107">
        <v>742</v>
      </c>
      <c r="T107">
        <f>S107/(S107+R107)</f>
        <v>0.30016181229773464</v>
      </c>
      <c r="U107">
        <f>-4.0807-2.4832*T107</f>
        <v>-4.826061812297735</v>
      </c>
      <c r="V107">
        <f>L107-(SUM(R107:S107)*U107)</f>
        <v>25.183777000000191</v>
      </c>
      <c r="W107">
        <f>V107/(2*O107*Q107)</f>
        <v>3.5835034205120499E-2</v>
      </c>
      <c r="X107">
        <f>W107*16.02</f>
        <v>0.57407724796603032</v>
      </c>
    </row>
    <row r="108" spans="9:25" x14ac:dyDescent="0.2">
      <c r="K108">
        <v>929.42350999999996</v>
      </c>
      <c r="L108">
        <v>-11978.413368</v>
      </c>
      <c r="M108">
        <v>48331.718970000002</v>
      </c>
      <c r="N108">
        <v>-1.8336509999999999</v>
      </c>
      <c r="O108">
        <v>34.641624</v>
      </c>
      <c r="P108">
        <v>137.50881100000001</v>
      </c>
      <c r="Q108">
        <v>10.146248</v>
      </c>
      <c r="R108">
        <v>1697</v>
      </c>
      <c r="S108">
        <v>775</v>
      </c>
      <c r="T108">
        <f>S108/(S108+R108)</f>
        <v>0.31351132686084143</v>
      </c>
      <c r="U108">
        <f>-4.0807-2.4832*T108</f>
        <v>-4.8592113268608417</v>
      </c>
      <c r="V108">
        <f>L108-(SUM(R108:S108)*U108)</f>
        <v>33.557032000000618</v>
      </c>
      <c r="W108">
        <f>V108/(2*O108*Q108)</f>
        <v>4.7736418192327178E-2</v>
      </c>
      <c r="X108">
        <f>W108*16.02</f>
        <v>0.76473741944108131</v>
      </c>
    </row>
    <row r="109" spans="9:25" x14ac:dyDescent="0.2">
      <c r="K109">
        <v>929.52665999999999</v>
      </c>
      <c r="L109">
        <v>-12006.806184999999</v>
      </c>
      <c r="M109">
        <v>48279.711778999997</v>
      </c>
      <c r="N109">
        <v>-1.887419</v>
      </c>
      <c r="O109">
        <v>34.636848000000001</v>
      </c>
      <c r="P109">
        <v>137.709193</v>
      </c>
      <c r="Q109">
        <v>10.121981</v>
      </c>
      <c r="R109">
        <v>1688</v>
      </c>
      <c r="S109">
        <v>784</v>
      </c>
      <c r="T109">
        <f>S109/(S109+R109)</f>
        <v>0.31715210355987056</v>
      </c>
      <c r="U109">
        <f>-4.0807-2.4832*T109</f>
        <v>-4.8682521035598709</v>
      </c>
      <c r="V109">
        <f>L109-(SUM(R109:S109)*U109)</f>
        <v>27.51301500000227</v>
      </c>
      <c r="W109">
        <f>V109/(2*O109*Q109)</f>
        <v>3.9237769151438368E-2</v>
      </c>
      <c r="X109">
        <f>W109*16.02</f>
        <v>0.62858906180604268</v>
      </c>
    </row>
    <row r="110" spans="9:25" x14ac:dyDescent="0.2">
      <c r="X110" s="1">
        <f>AVERAGE(X105:X109)</f>
        <v>0.64556180438752198</v>
      </c>
      <c r="Y110">
        <f>STDEV(X105:X109)</f>
        <v>7.3259905339925296E-2</v>
      </c>
    </row>
    <row r="111" spans="9:25" x14ac:dyDescent="0.2">
      <c r="I111" t="s">
        <v>134</v>
      </c>
      <c r="J111">
        <v>100000</v>
      </c>
      <c r="K111">
        <v>929.93354299999999</v>
      </c>
      <c r="L111">
        <v>-15581.860914999999</v>
      </c>
      <c r="M111">
        <v>63398.444882000003</v>
      </c>
      <c r="N111">
        <v>-1.3821239999999999</v>
      </c>
      <c r="O111">
        <v>28.007928</v>
      </c>
      <c r="P111">
        <v>167.22343900000001</v>
      </c>
      <c r="Q111">
        <v>13.536362</v>
      </c>
      <c r="R111">
        <v>2251</v>
      </c>
      <c r="S111">
        <v>981</v>
      </c>
      <c r="T111">
        <f>S111/(S111+R111)</f>
        <v>0.3035272277227723</v>
      </c>
      <c r="U111">
        <f>-4.0807-2.4832*T111</f>
        <v>-4.8344188118811884</v>
      </c>
      <c r="V111">
        <f>L111-(SUM(R111:S111)*U111)</f>
        <v>42.980685000002268</v>
      </c>
      <c r="W111">
        <f>V111/(2*O111*Q111)</f>
        <v>5.6683987769427339E-2</v>
      </c>
      <c r="X111">
        <f>W111*16.02</f>
        <v>0.9080774840662259</v>
      </c>
    </row>
    <row r="112" spans="9:25" x14ac:dyDescent="0.2">
      <c r="J112">
        <v>100000</v>
      </c>
      <c r="K112">
        <v>929.56286799999998</v>
      </c>
      <c r="L112">
        <v>-15585.080292000001</v>
      </c>
      <c r="M112">
        <v>63365.566815999999</v>
      </c>
      <c r="N112">
        <v>-1.3144450000000001</v>
      </c>
      <c r="O112">
        <v>27.976595</v>
      </c>
      <c r="P112">
        <v>167.069918</v>
      </c>
      <c r="Q112">
        <v>13.556953999999999</v>
      </c>
      <c r="R112">
        <v>2255</v>
      </c>
      <c r="S112">
        <v>977</v>
      </c>
      <c r="T112">
        <f>S112/(S112+R112)</f>
        <v>0.30228960396039606</v>
      </c>
      <c r="U112">
        <f>-4.0807-2.4832*T112</f>
        <v>-4.8313455445544555</v>
      </c>
      <c r="V112">
        <f>L112-(SUM(R112:S112)*U112)</f>
        <v>29.828508000000511</v>
      </c>
      <c r="W112">
        <f>V112/(2*O112*Q112)</f>
        <v>3.9322811082645744E-2</v>
      </c>
      <c r="X112">
        <f>W112*16.02</f>
        <v>0.62995143354398475</v>
      </c>
    </row>
    <row r="113" spans="9:29" x14ac:dyDescent="0.2">
      <c r="J113">
        <v>100000</v>
      </c>
      <c r="K113">
        <v>930.06854399999997</v>
      </c>
      <c r="L113">
        <v>-15493.42383</v>
      </c>
      <c r="M113">
        <v>63595.303962999998</v>
      </c>
      <c r="N113">
        <v>-1.3783080000000001</v>
      </c>
      <c r="O113">
        <v>27.994039999999998</v>
      </c>
      <c r="P113">
        <v>167.51894799999999</v>
      </c>
      <c r="Q113">
        <v>13.561173</v>
      </c>
      <c r="R113">
        <v>2288</v>
      </c>
      <c r="S113">
        <v>944</v>
      </c>
      <c r="T113">
        <f>S113/(S113+R113)</f>
        <v>0.29207920792079206</v>
      </c>
      <c r="U113">
        <f>-4.0807-2.4832*T113</f>
        <v>-4.805991089108911</v>
      </c>
      <c r="V113">
        <f>L113-(SUM(R113:S113)*U113)</f>
        <v>39.539370000000417</v>
      </c>
      <c r="W113">
        <f>V113/(2*O113*Q113)</f>
        <v>5.2075915595268391E-2</v>
      </c>
      <c r="X113">
        <f>W113*16.02</f>
        <v>0.8342561678361996</v>
      </c>
    </row>
    <row r="114" spans="9:29" x14ac:dyDescent="0.2">
      <c r="J114">
        <v>100000</v>
      </c>
      <c r="K114">
        <v>929.93099500000005</v>
      </c>
      <c r="L114">
        <v>-15515.046532</v>
      </c>
      <c r="M114">
        <v>63538.731436000002</v>
      </c>
      <c r="N114">
        <v>-1.262338</v>
      </c>
      <c r="O114">
        <v>28.097472</v>
      </c>
      <c r="P114">
        <v>166.90716599999999</v>
      </c>
      <c r="Q114">
        <v>13.548712999999999</v>
      </c>
      <c r="R114">
        <v>2279</v>
      </c>
      <c r="S114">
        <v>953</v>
      </c>
      <c r="T114">
        <f>S114/(S114+R114)</f>
        <v>0.29486386138613863</v>
      </c>
      <c r="U114">
        <f>-4.0807-2.4832*T114</f>
        <v>-4.8129059405940593</v>
      </c>
      <c r="V114">
        <f>L114-(SUM(R114:S114)*U114)</f>
        <v>40.265467999999601</v>
      </c>
      <c r="W114">
        <f>V114/(2*O114*Q114)</f>
        <v>5.2885603562764595E-2</v>
      </c>
      <c r="X114">
        <f>W114*16.02</f>
        <v>0.84722736907548879</v>
      </c>
    </row>
    <row r="115" spans="9:29" x14ac:dyDescent="0.2">
      <c r="J115">
        <v>100000</v>
      </c>
      <c r="K115">
        <v>929.68372099999999</v>
      </c>
      <c r="L115">
        <v>-15537.85986</v>
      </c>
      <c r="M115">
        <v>63436.638289000002</v>
      </c>
      <c r="N115">
        <v>-1.2464770000000001</v>
      </c>
      <c r="O115">
        <v>28.027267999999999</v>
      </c>
      <c r="P115">
        <v>166.989802</v>
      </c>
      <c r="Q115">
        <v>13.554119999999999</v>
      </c>
      <c r="R115">
        <v>2274</v>
      </c>
      <c r="S115">
        <v>958</v>
      </c>
      <c r="T115">
        <f>S115/(S115+R115)</f>
        <v>0.2964108910891089</v>
      </c>
      <c r="U115">
        <f>-4.0807-2.4832*T115</f>
        <v>-4.8167475247524756</v>
      </c>
      <c r="V115">
        <f>L115-(SUM(R115:S115)*U115)</f>
        <v>29.868140000000494</v>
      </c>
      <c r="W115">
        <f>V115/(2*O115*Q115)</f>
        <v>3.9312086074506258E-2</v>
      </c>
      <c r="X115">
        <f>W115*16.02</f>
        <v>0.62977961891359024</v>
      </c>
    </row>
    <row r="116" spans="9:29" x14ac:dyDescent="0.2">
      <c r="X116" s="1">
        <f>AVERAGE(X111:X115)</f>
        <v>0.76985841468709793</v>
      </c>
      <c r="Y116">
        <f>STDEV(X111:X115)</f>
        <v>0.13079905318060656</v>
      </c>
    </row>
    <row r="117" spans="9:29" x14ac:dyDescent="0.2">
      <c r="I117" t="s">
        <v>27</v>
      </c>
      <c r="K117">
        <v>929.79409099999998</v>
      </c>
      <c r="L117">
        <v>-13897.83669</v>
      </c>
      <c r="M117">
        <v>56481.713809000001</v>
      </c>
      <c r="N117">
        <v>-1.4201710000000001</v>
      </c>
      <c r="O117">
        <v>32.184534999999997</v>
      </c>
      <c r="P117">
        <v>129.678056</v>
      </c>
      <c r="Q117">
        <v>13.533051</v>
      </c>
      <c r="R117">
        <v>2001</v>
      </c>
      <c r="S117">
        <v>879</v>
      </c>
      <c r="T117">
        <f>S117/(S117+R117)</f>
        <v>0.30520833333333336</v>
      </c>
      <c r="U117">
        <f>-4.0807-2.4832*T117</f>
        <v>-4.8385933333333337</v>
      </c>
      <c r="V117">
        <f>L117-(SUM(R117:S117)*U117)</f>
        <v>37.312110000000757</v>
      </c>
      <c r="W117">
        <f>V117/(2*O117*Q117)</f>
        <v>4.2832838536782263E-2</v>
      </c>
      <c r="X117">
        <f>W117*16.02</f>
        <v>0.68618207335925185</v>
      </c>
    </row>
    <row r="118" spans="9:29" x14ac:dyDescent="0.2">
      <c r="K118">
        <v>929.61501099999998</v>
      </c>
      <c r="L118">
        <v>-13901.800474</v>
      </c>
      <c r="M118">
        <v>56487.082401</v>
      </c>
      <c r="N118">
        <v>-1.322597</v>
      </c>
      <c r="O118">
        <v>32.157268999999999</v>
      </c>
      <c r="P118">
        <v>129.719235</v>
      </c>
      <c r="Q118">
        <v>13.541511</v>
      </c>
      <c r="R118">
        <v>1999</v>
      </c>
      <c r="S118">
        <v>881</v>
      </c>
      <c r="T118">
        <f>S118/(S118+R118)</f>
        <v>0.3059027777777778</v>
      </c>
      <c r="U118">
        <f>-4.0807-2.4832*T118</f>
        <v>-4.8403177777777779</v>
      </c>
      <c r="V118">
        <f>L118-(SUM(R118:S118)*U118)</f>
        <v>38.314726000000519</v>
      </c>
      <c r="W118">
        <f>V118/(2*O118*Q118)</f>
        <v>4.3993594047564297E-2</v>
      </c>
      <c r="X118">
        <f>W118*16.02</f>
        <v>0.70477737664198004</v>
      </c>
    </row>
    <row r="119" spans="9:29" x14ac:dyDescent="0.2">
      <c r="K119">
        <v>929.91503599999999</v>
      </c>
      <c r="L119">
        <v>-13898.922859</v>
      </c>
      <c r="M119">
        <v>56447.722239000002</v>
      </c>
      <c r="N119">
        <v>-1.470656</v>
      </c>
      <c r="O119">
        <v>32.175792999999999</v>
      </c>
      <c r="P119">
        <v>129.64870400000001</v>
      </c>
      <c r="Q119">
        <v>13.531648000000001</v>
      </c>
      <c r="R119">
        <v>2001</v>
      </c>
      <c r="S119">
        <v>879</v>
      </c>
      <c r="T119">
        <f>S119/(S119+R119)</f>
        <v>0.30520833333333336</v>
      </c>
      <c r="U119">
        <f>-4.0807-2.4832*T119</f>
        <v>-4.8385933333333337</v>
      </c>
      <c r="V119">
        <f>L119-(SUM(R119:S119)*U119)</f>
        <v>36.225941000000603</v>
      </c>
      <c r="W119">
        <f>V119/(2*O119*Q119)</f>
        <v>4.1601570752122882E-2</v>
      </c>
      <c r="X119">
        <f>W119*16.02</f>
        <v>0.66645716344900852</v>
      </c>
    </row>
    <row r="120" spans="9:29" x14ac:dyDescent="0.2">
      <c r="K120">
        <v>930.016977</v>
      </c>
      <c r="L120">
        <v>-13965.306673999999</v>
      </c>
      <c r="M120">
        <v>56304.398952000003</v>
      </c>
      <c r="N120">
        <v>-1.7148859999999999</v>
      </c>
      <c r="O120">
        <v>32.208536000000002</v>
      </c>
      <c r="P120">
        <v>129.301905</v>
      </c>
      <c r="Q120">
        <v>13.519738</v>
      </c>
      <c r="R120">
        <v>1972</v>
      </c>
      <c r="S120">
        <v>908</v>
      </c>
      <c r="T120">
        <f>S120/(S120+R120)</f>
        <v>0.31527777777777777</v>
      </c>
      <c r="U120">
        <f>-4.0807-2.4832*T120</f>
        <v>-4.8635977777777777</v>
      </c>
      <c r="V120">
        <f>L120-(SUM(R120:S120)*U120)</f>
        <v>41.854925999999978</v>
      </c>
      <c r="W120">
        <f>V120/(2*O120*Q120)</f>
        <v>4.8059286886196033E-2</v>
      </c>
      <c r="X120">
        <f>W120*16.02</f>
        <v>0.76990977591686038</v>
      </c>
    </row>
    <row r="121" spans="9:29" x14ac:dyDescent="0.2">
      <c r="K121">
        <v>929.574793</v>
      </c>
      <c r="L121">
        <v>-13927.237633000001</v>
      </c>
      <c r="M121">
        <v>56367.090626999998</v>
      </c>
      <c r="N121">
        <v>-1.3279019999999999</v>
      </c>
      <c r="O121">
        <v>32.191260999999997</v>
      </c>
      <c r="P121">
        <v>129.59021799999999</v>
      </c>
      <c r="Q121">
        <v>13.511924</v>
      </c>
      <c r="R121">
        <v>1989</v>
      </c>
      <c r="S121">
        <v>891</v>
      </c>
      <c r="T121">
        <f>S121/(S121+R121)</f>
        <v>0.30937500000000001</v>
      </c>
      <c r="U121">
        <f>-4.0807-2.4832*T121</f>
        <v>-4.8489400000000007</v>
      </c>
      <c r="V121">
        <f>L121-(SUM(R121:S121)*U121)</f>
        <v>37.709567000001698</v>
      </c>
      <c r="W121">
        <f>V121/(2*O121*Q121)</f>
        <v>4.3347730729164792E-2</v>
      </c>
      <c r="X121">
        <f>W121*16.02</f>
        <v>0.69443064628121998</v>
      </c>
      <c r="AA121" s="1"/>
      <c r="AB121" s="1"/>
      <c r="AC121" s="1"/>
    </row>
    <row r="122" spans="9:29" x14ac:dyDescent="0.2">
      <c r="X122" s="1">
        <f>AVERAGE(X117:X121)</f>
        <v>0.70435140712966415</v>
      </c>
      <c r="Y122">
        <f>STDEV(X117:X121)</f>
        <v>3.9251118002118821E-2</v>
      </c>
      <c r="AA122" s="1"/>
      <c r="AB122" s="1"/>
      <c r="AC122" s="1"/>
    </row>
    <row r="123" spans="9:29" x14ac:dyDescent="0.2">
      <c r="I123" t="s">
        <v>172</v>
      </c>
      <c r="J123">
        <v>100000</v>
      </c>
      <c r="K123">
        <v>929.63758900000005</v>
      </c>
      <c r="L123">
        <v>-17738.925279999999</v>
      </c>
      <c r="M123">
        <v>72153.692376999999</v>
      </c>
      <c r="N123">
        <v>-1.2070419999999999</v>
      </c>
      <c r="O123">
        <v>25.875356</v>
      </c>
      <c r="P123">
        <v>205.88149200000001</v>
      </c>
      <c r="Q123">
        <v>13.544281</v>
      </c>
      <c r="R123">
        <v>2570</v>
      </c>
      <c r="S123">
        <v>1110</v>
      </c>
      <c r="T123">
        <f>S123/(S123+R123)</f>
        <v>0.3016304347826087</v>
      </c>
      <c r="U123">
        <f>-4.0807-2.4832*T123</f>
        <v>-4.8297086956521742</v>
      </c>
      <c r="V123">
        <f>L123-(SUM(R123:S123)*U123)</f>
        <v>34.402720000001864</v>
      </c>
      <c r="W123">
        <f>V123/(2*O123*Q123)</f>
        <v>4.9081801654126518E-2</v>
      </c>
      <c r="X123">
        <f>W123*16.02</f>
        <v>0.78629046249910683</v>
      </c>
      <c r="AA123" s="1"/>
      <c r="AB123" s="1"/>
      <c r="AC123" s="1"/>
    </row>
    <row r="124" spans="9:29" x14ac:dyDescent="0.2">
      <c r="J124">
        <v>100000</v>
      </c>
      <c r="K124">
        <v>929.83605999999997</v>
      </c>
      <c r="L124">
        <v>-17594.701880000001</v>
      </c>
      <c r="M124">
        <v>72485.074802000003</v>
      </c>
      <c r="N124">
        <v>-1.380722</v>
      </c>
      <c r="O124">
        <v>25.913827999999999</v>
      </c>
      <c r="P124">
        <v>206.18671000000001</v>
      </c>
      <c r="Q124">
        <v>13.566178000000001</v>
      </c>
      <c r="R124">
        <v>2628</v>
      </c>
      <c r="S124">
        <v>1052</v>
      </c>
      <c r="T124">
        <f>S124/(S124+R124)</f>
        <v>0.28586956521739132</v>
      </c>
      <c r="U124">
        <f>-4.0807-2.4832*T124</f>
        <v>-4.7905713043478269</v>
      </c>
      <c r="V124">
        <f>L124-(SUM(R124:S124)*U124)</f>
        <v>34.600520000003598</v>
      </c>
      <c r="W124">
        <f>V124/(2*O124*Q124)</f>
        <v>4.9211153745689663E-2</v>
      </c>
      <c r="X124">
        <f>W124*16.02</f>
        <v>0.78836268300594836</v>
      </c>
      <c r="AA124" s="1"/>
      <c r="AB124" s="1"/>
      <c r="AC124" s="1"/>
    </row>
    <row r="125" spans="9:29" x14ac:dyDescent="0.2">
      <c r="J125">
        <v>100000</v>
      </c>
      <c r="K125">
        <v>929.76658099999997</v>
      </c>
      <c r="L125">
        <v>-17715.048490000001</v>
      </c>
      <c r="M125">
        <v>72207.275704999993</v>
      </c>
      <c r="N125">
        <v>-1.1794039999999999</v>
      </c>
      <c r="O125">
        <v>25.878753</v>
      </c>
      <c r="P125">
        <v>205.65958599999999</v>
      </c>
      <c r="Q125">
        <v>13.567187000000001</v>
      </c>
      <c r="R125">
        <v>2581</v>
      </c>
      <c r="S125">
        <v>1099</v>
      </c>
      <c r="T125">
        <f>S125/(S125+R125)</f>
        <v>0.2986413043478261</v>
      </c>
      <c r="U125">
        <f>-4.0807-2.4832*T125</f>
        <v>-4.8222860869565221</v>
      </c>
      <c r="V125">
        <f>L125-(SUM(R125:S125)*U125)</f>
        <v>30.964309999999386</v>
      </c>
      <c r="W125">
        <f>V125/(2*O125*Q125)</f>
        <v>4.4095904424247066E-2</v>
      </c>
      <c r="X125">
        <f>W125*16.02</f>
        <v>0.70641638887643798</v>
      </c>
      <c r="AA125" s="1"/>
      <c r="AB125" s="1"/>
      <c r="AC125" s="1"/>
    </row>
    <row r="126" spans="9:29" x14ac:dyDescent="0.2">
      <c r="J126">
        <v>100000</v>
      </c>
      <c r="K126">
        <v>929.79526399999997</v>
      </c>
      <c r="L126">
        <v>-17621.852127999999</v>
      </c>
      <c r="M126">
        <v>72403.168600999998</v>
      </c>
      <c r="N126">
        <v>-1.080722</v>
      </c>
      <c r="O126">
        <v>25.890038000000001</v>
      </c>
      <c r="P126">
        <v>205.93115900000001</v>
      </c>
      <c r="Q126">
        <v>13.580143</v>
      </c>
      <c r="R126">
        <v>2617</v>
      </c>
      <c r="S126">
        <v>1063</v>
      </c>
      <c r="T126">
        <f>S126/(S126+R126)</f>
        <v>0.28885869565217392</v>
      </c>
      <c r="U126">
        <f>-4.0807-2.4832*T126</f>
        <v>-4.797993913043479</v>
      </c>
      <c r="V126">
        <f>L126-(SUM(R126:S126)*U126)</f>
        <v>34.765472000002774</v>
      </c>
      <c r="W126">
        <f>V126/(2*O126*Q126)</f>
        <v>4.9440300686482967E-2</v>
      </c>
      <c r="X126">
        <f>W126*16.02</f>
        <v>0.79203361699745711</v>
      </c>
      <c r="AA126" s="1"/>
      <c r="AB126" s="1"/>
      <c r="AC126" s="1"/>
    </row>
    <row r="127" spans="9:29" x14ac:dyDescent="0.2">
      <c r="J127">
        <v>100000</v>
      </c>
      <c r="K127">
        <v>929.57987000000003</v>
      </c>
      <c r="L127">
        <v>-17725.179840000001</v>
      </c>
      <c r="M127">
        <v>72177.682396999997</v>
      </c>
      <c r="N127">
        <v>-1.1532420000000001</v>
      </c>
      <c r="O127">
        <v>25.898751000000001</v>
      </c>
      <c r="P127">
        <v>205.777366</v>
      </c>
      <c r="Q127">
        <v>13.543404000000001</v>
      </c>
      <c r="R127">
        <v>2574</v>
      </c>
      <c r="S127">
        <v>1106</v>
      </c>
      <c r="T127">
        <f>S127/(S127+R127)</f>
        <v>0.30054347826086958</v>
      </c>
      <c r="U127">
        <f>-4.0807-2.4832*T127</f>
        <v>-4.8270095652173914</v>
      </c>
      <c r="V127">
        <f>L127-(SUM(R127:S127)*U127)</f>
        <v>38.215359999998327</v>
      </c>
      <c r="W127">
        <f>V127/(2*O127*Q127)</f>
        <v>5.4475510100017693E-2</v>
      </c>
      <c r="X127">
        <f>W127*16.02</f>
        <v>0.87269767180228341</v>
      </c>
      <c r="AA127" s="1"/>
      <c r="AB127" s="1"/>
      <c r="AC127" s="1"/>
    </row>
    <row r="128" spans="9:29" x14ac:dyDescent="0.2">
      <c r="X128" s="1">
        <f>AVERAGE(X123:X127)</f>
        <v>0.78916016463624672</v>
      </c>
      <c r="Y128">
        <f>STDEV(X123:X127)</f>
        <v>5.8826387417305885E-2</v>
      </c>
    </row>
    <row r="129" spans="9:25" x14ac:dyDescent="0.2">
      <c r="I129" t="s">
        <v>17</v>
      </c>
      <c r="K129">
        <v>867.31508399999996</v>
      </c>
      <c r="L129">
        <v>-18206.458388999999</v>
      </c>
      <c r="M129">
        <v>74113.301817</v>
      </c>
      <c r="N129">
        <v>-1.071307</v>
      </c>
      <c r="O129">
        <v>30.394995000000002</v>
      </c>
      <c r="P129">
        <v>90.257583999999994</v>
      </c>
      <c r="Q129">
        <v>27.015405999999999</v>
      </c>
      <c r="R129">
        <v>2620</v>
      </c>
      <c r="S129">
        <v>1156</v>
      </c>
      <c r="T129">
        <f>S129/(S129+R129)</f>
        <v>0.30614406779661019</v>
      </c>
      <c r="U129">
        <f>-4.0807-2.4832*T129</f>
        <v>-4.8409169491525423</v>
      </c>
      <c r="V129">
        <f>L129-(SUM(R129:S129)*U129)</f>
        <v>72.844011000001046</v>
      </c>
      <c r="W129">
        <f>V129/(2*O129*Q129)</f>
        <v>4.4355786115956142E-2</v>
      </c>
      <c r="X129">
        <f>W129*16.02</f>
        <v>0.71057969357761741</v>
      </c>
    </row>
    <row r="130" spans="9:25" x14ac:dyDescent="0.2">
      <c r="K130">
        <v>867.39605400000005</v>
      </c>
      <c r="L130">
        <v>-18264.089266999999</v>
      </c>
      <c r="M130">
        <v>73980.623353999996</v>
      </c>
      <c r="N130">
        <v>-1.134946</v>
      </c>
      <c r="O130">
        <v>30.378475000000002</v>
      </c>
      <c r="P130">
        <v>90.052870999999996</v>
      </c>
      <c r="Q130">
        <v>27.043047000000001</v>
      </c>
      <c r="R130">
        <v>2600</v>
      </c>
      <c r="S130">
        <v>1176</v>
      </c>
      <c r="T130">
        <f>S130/(S130+R130)</f>
        <v>0.3114406779661017</v>
      </c>
      <c r="U130">
        <f>-4.0807-2.4832*T130</f>
        <v>-4.8540694915254239</v>
      </c>
      <c r="V130">
        <f>L130-(SUM(R130:S130)*U130)</f>
        <v>64.877133000001777</v>
      </c>
      <c r="W130">
        <f>V130/(2*O130*Q130)</f>
        <v>3.9485720089933986E-2</v>
      </c>
      <c r="X130">
        <f>W130*16.02</f>
        <v>0.63256123584074242</v>
      </c>
    </row>
    <row r="131" spans="9:25" x14ac:dyDescent="0.2">
      <c r="K131">
        <v>867.40571999999997</v>
      </c>
      <c r="L131">
        <v>-18240.911065</v>
      </c>
      <c r="M131">
        <v>73997.726907999997</v>
      </c>
      <c r="N131">
        <v>-1.003557</v>
      </c>
      <c r="O131">
        <v>30.377085999999998</v>
      </c>
      <c r="P131">
        <v>90.079419000000001</v>
      </c>
      <c r="Q131">
        <v>27.042560000000002</v>
      </c>
      <c r="R131">
        <v>2607</v>
      </c>
      <c r="S131">
        <v>1169</v>
      </c>
      <c r="T131">
        <f>S131/(S131+R131)</f>
        <v>0.30958686440677968</v>
      </c>
      <c r="U131">
        <f>-4.0807-2.4832*T131</f>
        <v>-4.8494661016949152</v>
      </c>
      <c r="V131">
        <f>L131-(SUM(R131:S131)*U131)</f>
        <v>70.672934999998688</v>
      </c>
      <c r="W131">
        <f>V131/(2*O131*Q131)</f>
        <v>4.3015920350167609E-2</v>
      </c>
      <c r="X131">
        <f>W131*16.02</f>
        <v>0.68911504400968504</v>
      </c>
    </row>
    <row r="132" spans="9:25" x14ac:dyDescent="0.2">
      <c r="K132">
        <v>867.62749499999995</v>
      </c>
      <c r="L132">
        <v>-18305.817556000002</v>
      </c>
      <c r="M132">
        <v>73869.474866000004</v>
      </c>
      <c r="N132">
        <v>-0.94103700000000001</v>
      </c>
      <c r="O132">
        <v>30.364267999999999</v>
      </c>
      <c r="P132">
        <v>90.083674999999999</v>
      </c>
      <c r="Q132">
        <v>27.005814000000001</v>
      </c>
      <c r="R132">
        <v>2582</v>
      </c>
      <c r="S132">
        <v>1194</v>
      </c>
      <c r="T132">
        <f>S132/(S132+R132)</f>
        <v>0.31620762711864409</v>
      </c>
      <c r="U132">
        <f>-4.0807-2.4832*T132</f>
        <v>-4.8659067796610174</v>
      </c>
      <c r="V132">
        <f>L132-(SUM(R132:S132)*U132)</f>
        <v>67.846443999998883</v>
      </c>
      <c r="W132">
        <f>V132/(2*O132*Q132)</f>
        <v>4.1369188933173845E-2</v>
      </c>
      <c r="X132">
        <f>W132*16.02</f>
        <v>0.66273440670944495</v>
      </c>
    </row>
    <row r="133" spans="9:25" x14ac:dyDescent="0.2">
      <c r="K133">
        <v>867.33851700000002</v>
      </c>
      <c r="L133">
        <v>-18219.359385</v>
      </c>
      <c r="M133">
        <v>74073.005545000007</v>
      </c>
      <c r="N133">
        <v>-0.99925699999999995</v>
      </c>
      <c r="O133">
        <v>30.392581</v>
      </c>
      <c r="P133">
        <v>90.090440999999998</v>
      </c>
      <c r="Q133">
        <v>27.052956999999999</v>
      </c>
      <c r="R133">
        <v>2613</v>
      </c>
      <c r="S133">
        <v>1163</v>
      </c>
      <c r="T133">
        <f>S133/(S133+R133)</f>
        <v>0.3079978813559322</v>
      </c>
      <c r="U133">
        <f>-4.0807-2.4832*T133</f>
        <v>-4.845520338983051</v>
      </c>
      <c r="V133">
        <f>L133-(SUM(R133:S133)*U133)</f>
        <v>77.325414999999339</v>
      </c>
      <c r="W133">
        <f>V133/(2*O133*Q133)</f>
        <v>4.7022957314799364E-2</v>
      </c>
      <c r="X133">
        <f>W133*16.02</f>
        <v>0.75330777618308575</v>
      </c>
    </row>
    <row r="134" spans="9:25" x14ac:dyDescent="0.2">
      <c r="X134" s="1">
        <f>AVERAGE(X129:X133)</f>
        <v>0.68965963126411522</v>
      </c>
      <c r="Y134">
        <f>STDEV(X129:X133)</f>
        <v>4.6027780772453161E-2</v>
      </c>
    </row>
    <row r="135" spans="9:25" x14ac:dyDescent="0.2">
      <c r="I135" t="s">
        <v>173</v>
      </c>
      <c r="J135">
        <v>100000</v>
      </c>
      <c r="K135">
        <v>929.39364699999999</v>
      </c>
      <c r="L135">
        <v>-31097.011525000002</v>
      </c>
      <c r="M135">
        <v>127570.318554</v>
      </c>
      <c r="N135">
        <v>-0.67665900000000001</v>
      </c>
      <c r="O135">
        <v>39.669409999999999</v>
      </c>
      <c r="P135">
        <v>237.14250999999999</v>
      </c>
      <c r="Q135">
        <v>13.560794</v>
      </c>
      <c r="R135">
        <v>4605</v>
      </c>
      <c r="S135">
        <v>1883</v>
      </c>
      <c r="T135">
        <f>S135/(S135+R135)</f>
        <v>0.29022811344019728</v>
      </c>
      <c r="U135">
        <f>-4.0807-2.4832*T135</f>
        <v>-4.8013944512946978</v>
      </c>
      <c r="V135">
        <f>L135-(SUM(R135:S135)*U135)</f>
        <v>54.435674999996991</v>
      </c>
      <c r="W135">
        <f>V135/(2*O135*Q135)</f>
        <v>5.0595600744349531E-2</v>
      </c>
      <c r="X135">
        <f>W135*16.02</f>
        <v>0.81054152392447942</v>
      </c>
    </row>
    <row r="136" spans="9:25" x14ac:dyDescent="0.2">
      <c r="J136">
        <v>100000</v>
      </c>
      <c r="K136">
        <v>929.67864499999996</v>
      </c>
      <c r="L136">
        <v>-31009.543247000001</v>
      </c>
      <c r="M136">
        <v>127833.456142</v>
      </c>
      <c r="N136">
        <v>-0.63548700000000002</v>
      </c>
      <c r="O136">
        <v>39.683661000000001</v>
      </c>
      <c r="P136">
        <v>237.35180099999999</v>
      </c>
      <c r="Q136">
        <v>13.571904</v>
      </c>
      <c r="R136">
        <v>4634</v>
      </c>
      <c r="S136">
        <v>1854</v>
      </c>
      <c r="T136">
        <f>S136/(S136+R136)</f>
        <v>0.28575832305795312</v>
      </c>
      <c r="U136">
        <f>-4.0807-2.4832*T136</f>
        <v>-4.7902950678175094</v>
      </c>
      <c r="V136">
        <f>L136-(SUM(R136:S136)*U136)</f>
        <v>69.891153000000486</v>
      </c>
      <c r="W136">
        <f>V136/(2*O136*Q136)</f>
        <v>6.4884311324829982E-2</v>
      </c>
      <c r="X136">
        <f>W136*16.02</f>
        <v>1.0394466674237763</v>
      </c>
    </row>
    <row r="137" spans="9:25" x14ac:dyDescent="0.2">
      <c r="J137">
        <v>100000</v>
      </c>
      <c r="K137">
        <v>929.85216100000002</v>
      </c>
      <c r="L137">
        <v>-31173.326073</v>
      </c>
      <c r="M137">
        <v>127431.771566</v>
      </c>
      <c r="N137">
        <v>-0.64447600000000005</v>
      </c>
      <c r="O137">
        <v>39.647075999999998</v>
      </c>
      <c r="P137">
        <v>236.980839</v>
      </c>
      <c r="Q137">
        <v>13.562946</v>
      </c>
      <c r="R137">
        <v>4573</v>
      </c>
      <c r="S137">
        <v>1915</v>
      </c>
      <c r="T137">
        <f>S137/(S137+R137)</f>
        <v>0.29516029593094945</v>
      </c>
      <c r="U137">
        <f>-4.0807-2.4832*T137</f>
        <v>-4.8136420468557342</v>
      </c>
      <c r="V137">
        <f>L137-(SUM(R137:S137)*U137)</f>
        <v>57.583527000002505</v>
      </c>
      <c r="W137">
        <f>V137/(2*O137*Q137)</f>
        <v>5.3543045543687412E-2</v>
      </c>
      <c r="X137">
        <f>W137*16.02</f>
        <v>0.85775958960987231</v>
      </c>
    </row>
    <row r="138" spans="9:25" x14ac:dyDescent="0.2">
      <c r="J138">
        <v>100000</v>
      </c>
      <c r="K138">
        <v>929.54056800000001</v>
      </c>
      <c r="L138">
        <v>-31182.948269</v>
      </c>
      <c r="M138">
        <v>127432.042151</v>
      </c>
      <c r="N138">
        <v>-0.82439300000000004</v>
      </c>
      <c r="O138">
        <v>39.635272999999998</v>
      </c>
      <c r="P138">
        <v>236.98555899999999</v>
      </c>
      <c r="Q138">
        <v>13.566739</v>
      </c>
      <c r="R138">
        <v>4566</v>
      </c>
      <c r="S138">
        <v>1922</v>
      </c>
      <c r="T138">
        <f>S138/(S138+R138)</f>
        <v>0.29623921085080146</v>
      </c>
      <c r="U138">
        <f>-4.0807-2.4832*T138</f>
        <v>-4.8163212083847107</v>
      </c>
      <c r="V138">
        <f>L138-(SUM(R138:S138)*U138)</f>
        <v>65.343731000000844</v>
      </c>
      <c r="W138">
        <f>V138/(2*O138*Q138)</f>
        <v>6.0759838194812107E-2</v>
      </c>
      <c r="X138">
        <f>W138*16.02</f>
        <v>0.97337260788088997</v>
      </c>
    </row>
    <row r="139" spans="9:25" x14ac:dyDescent="0.2">
      <c r="J139">
        <v>100000</v>
      </c>
      <c r="K139">
        <v>929.58041200000002</v>
      </c>
      <c r="L139">
        <v>-31379.366446</v>
      </c>
      <c r="M139">
        <v>126995.32594900001</v>
      </c>
      <c r="N139">
        <v>-0.58704699999999999</v>
      </c>
      <c r="O139">
        <v>39.590350000000001</v>
      </c>
      <c r="P139">
        <v>236.634288</v>
      </c>
      <c r="Q139">
        <v>13.555678</v>
      </c>
      <c r="R139">
        <v>4495</v>
      </c>
      <c r="S139">
        <v>1993</v>
      </c>
      <c r="T139">
        <f>S139/(S139+R139)</f>
        <v>0.30718249075215781</v>
      </c>
      <c r="U139">
        <f>-4.0807-2.4832*T139</f>
        <v>-4.8434955610357582</v>
      </c>
      <c r="V139">
        <f>L139-(SUM(R139:S139)*U139)</f>
        <v>45.232754000000568</v>
      </c>
      <c r="W139">
        <f>V139/(2*O139*Q139)</f>
        <v>4.214173867472467E-2</v>
      </c>
      <c r="X139">
        <f>W139*16.02</f>
        <v>0.67511065356908917</v>
      </c>
    </row>
    <row r="140" spans="9:25" x14ac:dyDescent="0.2">
      <c r="X140" s="1">
        <f>AVERAGE(X135:X139)</f>
        <v>0.87124620848162126</v>
      </c>
      <c r="Y140">
        <f>STDEV(X135:X139)</f>
        <v>0.14235281816602016</v>
      </c>
    </row>
    <row r="141" spans="9:25" x14ac:dyDescent="0.2">
      <c r="I141" t="s">
        <v>174</v>
      </c>
      <c r="J141">
        <v>100000</v>
      </c>
      <c r="K141">
        <v>929.85123299999998</v>
      </c>
      <c r="L141">
        <v>-15940.963938999999</v>
      </c>
      <c r="M141">
        <v>64498.232831000001</v>
      </c>
      <c r="N141">
        <v>-1.3203739999999999</v>
      </c>
      <c r="O141">
        <v>24.505163</v>
      </c>
      <c r="P141">
        <v>194.682514</v>
      </c>
      <c r="Q141">
        <v>13.519615999999999</v>
      </c>
      <c r="R141">
        <v>2279</v>
      </c>
      <c r="S141">
        <v>1017</v>
      </c>
      <c r="T141">
        <f>S141/(S141+R141)</f>
        <v>0.30855582524271846</v>
      </c>
      <c r="U141">
        <f>-4.0807-2.4832*T141</f>
        <v>-4.8469058252427191</v>
      </c>
      <c r="V141">
        <f>L141-(SUM(R141:S141)*U141)</f>
        <v>34.437661000003573</v>
      </c>
      <c r="W141">
        <f>V141/(2*O141*Q141)</f>
        <v>5.1973468258449056E-2</v>
      </c>
      <c r="X141">
        <f>W141*16.02</f>
        <v>0.83261496150035386</v>
      </c>
    </row>
    <row r="142" spans="9:25" x14ac:dyDescent="0.2">
      <c r="J142">
        <v>100000</v>
      </c>
      <c r="K142">
        <v>929.62515499999995</v>
      </c>
      <c r="L142">
        <v>-15878.783820000001</v>
      </c>
      <c r="M142">
        <v>64631.364171000001</v>
      </c>
      <c r="N142">
        <v>-1.259911</v>
      </c>
      <c r="O142">
        <v>24.521426999999999</v>
      </c>
      <c r="P142">
        <v>194.67717999999999</v>
      </c>
      <c r="Q142">
        <v>13.538911000000001</v>
      </c>
      <c r="R142">
        <v>2306</v>
      </c>
      <c r="S142">
        <v>990</v>
      </c>
      <c r="T142">
        <f>S142/(S142+R142)</f>
        <v>0.30036407766990292</v>
      </c>
      <c r="U142">
        <f>-4.0807-2.4832*T142</f>
        <v>-4.8265640776699028</v>
      </c>
      <c r="V142">
        <f>L142-(SUM(R142:S142)*U142)</f>
        <v>29.571379999999408</v>
      </c>
      <c r="W142">
        <f>V142/(2*O142*Q142)</f>
        <v>4.4536093818920243E-2</v>
      </c>
      <c r="X142">
        <f>W142*16.02</f>
        <v>0.71346822297910228</v>
      </c>
    </row>
    <row r="143" spans="9:25" x14ac:dyDescent="0.2">
      <c r="J143">
        <v>100000</v>
      </c>
      <c r="K143">
        <v>929.86128699999995</v>
      </c>
      <c r="L143">
        <v>-15824.581201000001</v>
      </c>
      <c r="M143">
        <v>64757.748602</v>
      </c>
      <c r="N143">
        <v>-1.190396</v>
      </c>
      <c r="O143">
        <v>24.523454999999998</v>
      </c>
      <c r="P143">
        <v>194.75377399999999</v>
      </c>
      <c r="Q143">
        <v>13.558937</v>
      </c>
      <c r="R143">
        <v>2327</v>
      </c>
      <c r="S143">
        <v>969</v>
      </c>
      <c r="T143">
        <f>S143/(S143+R143)</f>
        <v>0.29399271844660196</v>
      </c>
      <c r="U143">
        <f>-4.0807-2.4832*T143</f>
        <v>-4.8107427184466021</v>
      </c>
      <c r="V143">
        <f>L143-(SUM(R143:S143)*U143)</f>
        <v>31.626798999999664</v>
      </c>
      <c r="W143">
        <f>V143/(2*O143*Q143)</f>
        <v>4.7557382548962468E-2</v>
      </c>
      <c r="X143">
        <f>W143*16.02</f>
        <v>0.76186926843437874</v>
      </c>
    </row>
    <row r="144" spans="9:25" x14ac:dyDescent="0.2">
      <c r="J144">
        <v>100000</v>
      </c>
      <c r="K144">
        <v>929.73929999999996</v>
      </c>
      <c r="L144">
        <v>-15841.013958</v>
      </c>
      <c r="M144">
        <v>64714.588671999998</v>
      </c>
      <c r="N144">
        <v>-1.2467220000000001</v>
      </c>
      <c r="O144">
        <v>24.533676</v>
      </c>
      <c r="P144">
        <v>194.78373099999999</v>
      </c>
      <c r="Q144">
        <v>13.542166</v>
      </c>
      <c r="R144">
        <v>2321</v>
      </c>
      <c r="S144">
        <v>975</v>
      </c>
      <c r="T144">
        <f>S144/(S144+R144)</f>
        <v>0.2958131067961165</v>
      </c>
      <c r="U144">
        <f>-4.0807-2.4832*T144</f>
        <v>-4.8152631067961167</v>
      </c>
      <c r="V144">
        <f>L144-(SUM(R144:S144)*U144)</f>
        <v>30.093242000000828</v>
      </c>
      <c r="W144">
        <f>V144/(2*O144*Q144)</f>
        <v>4.5288529893245368E-2</v>
      </c>
      <c r="X144">
        <f>W144*16.02</f>
        <v>0.72552224888979078</v>
      </c>
    </row>
    <row r="145" spans="9:25" x14ac:dyDescent="0.2">
      <c r="J145">
        <v>100000</v>
      </c>
      <c r="K145">
        <v>929.88607500000001</v>
      </c>
      <c r="L145">
        <v>-15878.273146</v>
      </c>
      <c r="M145">
        <v>64634.340730999997</v>
      </c>
      <c r="N145">
        <v>-1.442323</v>
      </c>
      <c r="O145">
        <v>24.500402000000001</v>
      </c>
      <c r="P145">
        <v>194.638972</v>
      </c>
      <c r="Q145">
        <v>13.553813999999999</v>
      </c>
      <c r="R145">
        <v>2306</v>
      </c>
      <c r="S145">
        <v>990</v>
      </c>
      <c r="T145">
        <f>S145/(S145+R145)</f>
        <v>0.30036407766990292</v>
      </c>
      <c r="U145">
        <f>-4.0807-2.4832*T145</f>
        <v>-4.8265640776699028</v>
      </c>
      <c r="V145">
        <f>L145-(SUM(R145:S145)*U145)</f>
        <v>30.082054000000426</v>
      </c>
      <c r="W145">
        <f>V145/(2*O145*Q145)</f>
        <v>4.5294217278041428E-2</v>
      </c>
      <c r="X145">
        <f>W145*16.02</f>
        <v>0.72561336079422367</v>
      </c>
    </row>
    <row r="146" spans="9:25" x14ac:dyDescent="0.2">
      <c r="X146" s="1">
        <f>AVERAGE(X141:X145)</f>
        <v>0.7518176125195698</v>
      </c>
      <c r="Y146">
        <f>STDEV(X141:X145)</f>
        <v>4.8677592442484381E-2</v>
      </c>
    </row>
    <row r="147" spans="9:25" x14ac:dyDescent="0.2">
      <c r="I147" t="s">
        <v>175</v>
      </c>
      <c r="J147">
        <v>100000</v>
      </c>
      <c r="K147">
        <v>929.86350900000002</v>
      </c>
      <c r="L147">
        <v>-22936.887523000001</v>
      </c>
      <c r="M147">
        <v>93066.574271000005</v>
      </c>
      <c r="N147">
        <v>-0.71384899999999996</v>
      </c>
      <c r="O147">
        <v>33.997784000000003</v>
      </c>
      <c r="P147">
        <v>202.21169499999999</v>
      </c>
      <c r="Q147">
        <v>13.537477000000001</v>
      </c>
      <c r="R147">
        <v>3311</v>
      </c>
      <c r="S147">
        <v>1441</v>
      </c>
      <c r="T147">
        <f>S147/(S147+R147)</f>
        <v>0.30324074074074076</v>
      </c>
      <c r="U147">
        <f>-4.0807-2.4832*T147</f>
        <v>-4.8337074074074078</v>
      </c>
      <c r="V147">
        <f>L147-(SUM(R147:S147)*U147)</f>
        <v>32.890077000000019</v>
      </c>
      <c r="W147">
        <f>V147/(2*O147*Q147)</f>
        <v>3.5731113662835545E-2</v>
      </c>
      <c r="X147">
        <f>W147*16.02</f>
        <v>0.57241244087862542</v>
      </c>
    </row>
    <row r="148" spans="9:25" x14ac:dyDescent="0.2">
      <c r="J148">
        <v>100000</v>
      </c>
      <c r="K148">
        <v>929.64235299999996</v>
      </c>
      <c r="L148">
        <v>-22896.399849000001</v>
      </c>
      <c r="M148">
        <v>93168.497814999995</v>
      </c>
      <c r="N148">
        <v>-0.90692399999999995</v>
      </c>
      <c r="O148">
        <v>33.994002000000002</v>
      </c>
      <c r="P148">
        <v>202.402715</v>
      </c>
      <c r="Q148">
        <v>13.541017999999999</v>
      </c>
      <c r="R148">
        <v>3328</v>
      </c>
      <c r="S148">
        <v>1424</v>
      </c>
      <c r="T148">
        <f>S148/(S148+R148)</f>
        <v>0.29966329966329969</v>
      </c>
      <c r="U148">
        <f>-4.0807-2.4832*T148</f>
        <v>-4.824823905723906</v>
      </c>
      <c r="V148">
        <f>L148-(SUM(R148:S148)*U148)</f>
        <v>31.163350999999238</v>
      </c>
      <c r="W148">
        <f>V148/(2*O148*Q148)</f>
        <v>3.3850145874157751E-2</v>
      </c>
      <c r="X148">
        <f>W148*16.02</f>
        <v>0.5422793369040072</v>
      </c>
    </row>
    <row r="149" spans="9:25" x14ac:dyDescent="0.2">
      <c r="J149">
        <v>100000</v>
      </c>
      <c r="K149">
        <v>929.69271900000001</v>
      </c>
      <c r="L149">
        <v>-22762.001546</v>
      </c>
      <c r="M149">
        <v>93482.519274999999</v>
      </c>
      <c r="N149">
        <v>-1.0187170000000001</v>
      </c>
      <c r="O149">
        <v>34.019170000000003</v>
      </c>
      <c r="P149">
        <v>202.56251599999999</v>
      </c>
      <c r="Q149">
        <v>13.565897</v>
      </c>
      <c r="R149">
        <v>3377</v>
      </c>
      <c r="S149">
        <v>1375</v>
      </c>
      <c r="T149">
        <f>S149/(S149+R149)</f>
        <v>0.28935185185185186</v>
      </c>
      <c r="U149">
        <f>-4.0807-2.4832*T149</f>
        <v>-4.7992185185185186</v>
      </c>
      <c r="V149">
        <f>L149-(SUM(R149:S149)*U149)</f>
        <v>43.884853999999905</v>
      </c>
      <c r="W149">
        <f>V149/(2*O149*Q149)</f>
        <v>4.7545830017002029E-2</v>
      </c>
      <c r="X149">
        <f>W149*16.02</f>
        <v>0.76168419687237243</v>
      </c>
    </row>
    <row r="150" spans="9:25" x14ac:dyDescent="0.2">
      <c r="J150">
        <v>100000</v>
      </c>
      <c r="K150">
        <v>929.65364599999998</v>
      </c>
      <c r="L150">
        <v>-22852.346025999999</v>
      </c>
      <c r="M150">
        <v>93270.985362000007</v>
      </c>
      <c r="N150">
        <v>-0.90099099999999999</v>
      </c>
      <c r="O150">
        <v>34.005273000000003</v>
      </c>
      <c r="P150">
        <v>202.33567099999999</v>
      </c>
      <c r="Q150">
        <v>13.555911999999999</v>
      </c>
      <c r="R150">
        <v>3343</v>
      </c>
      <c r="S150">
        <v>1409</v>
      </c>
      <c r="T150">
        <f>S150/(S150+R150)</f>
        <v>0.296506734006734</v>
      </c>
      <c r="U150">
        <f>-4.0807-2.4832*T150</f>
        <v>-4.8169855218855222</v>
      </c>
      <c r="V150">
        <f>L150-(SUM(R150:S150)*U150)</f>
        <v>37.969174000001658</v>
      </c>
      <c r="W150">
        <f>V150/(2*O150*Q150)</f>
        <v>4.1183774478658855E-2</v>
      </c>
      <c r="X150">
        <f>W150*16.02</f>
        <v>0.65976406714811486</v>
      </c>
    </row>
    <row r="151" spans="9:25" x14ac:dyDescent="0.2">
      <c r="J151">
        <v>100000</v>
      </c>
      <c r="K151">
        <v>929.48812299999997</v>
      </c>
      <c r="L151">
        <v>-22959.998780000002</v>
      </c>
      <c r="M151">
        <v>93039.039457000006</v>
      </c>
      <c r="N151">
        <v>-0.843333</v>
      </c>
      <c r="O151">
        <v>33.99259</v>
      </c>
      <c r="P151">
        <v>202.24314100000001</v>
      </c>
      <c r="Q151">
        <v>13.533427</v>
      </c>
      <c r="R151">
        <v>3301</v>
      </c>
      <c r="S151">
        <v>1451</v>
      </c>
      <c r="T151">
        <f>S151/(S151+R151)</f>
        <v>0.30534511784511786</v>
      </c>
      <c r="U151">
        <f>-4.0807-2.4832*T151</f>
        <v>-4.8389329966329973</v>
      </c>
      <c r="V151">
        <f>L151-(SUM(R151:S151)*U151)</f>
        <v>34.610820000001695</v>
      </c>
      <c r="W151">
        <f>V151/(2*O151*Q151)</f>
        <v>3.7617493301353812E-2</v>
      </c>
      <c r="X151">
        <f>W151*16.02</f>
        <v>0.602632242687688</v>
      </c>
    </row>
    <row r="152" spans="9:25" x14ac:dyDescent="0.2">
      <c r="X152" s="1">
        <f>AVERAGE(X147:X151)</f>
        <v>0.62775445689816156</v>
      </c>
      <c r="Y152">
        <f>STDEV(X147:X151)</f>
        <v>8.6547170548597882E-2</v>
      </c>
    </row>
    <row r="153" spans="9:25" x14ac:dyDescent="0.2">
      <c r="I153" t="s">
        <v>111</v>
      </c>
      <c r="K153">
        <v>867.46252900000002</v>
      </c>
      <c r="L153">
        <v>-18550.737787999999</v>
      </c>
      <c r="M153">
        <v>74676.497531999994</v>
      </c>
      <c r="N153">
        <v>-0.95214900000000002</v>
      </c>
      <c r="O153">
        <v>30.404125000000001</v>
      </c>
      <c r="P153">
        <v>181.45699300000001</v>
      </c>
      <c r="Q153">
        <v>13.535655999999999</v>
      </c>
      <c r="R153">
        <v>2624</v>
      </c>
      <c r="S153">
        <v>1200</v>
      </c>
      <c r="T153">
        <f>S153/(S153+R153)</f>
        <v>0.31380753138075312</v>
      </c>
      <c r="U153">
        <f>-4.0807-2.4832*T153</f>
        <v>-4.8599468619246862</v>
      </c>
      <c r="V153">
        <f>L153-(SUM(R153:S153)*U153)</f>
        <v>33.699012000000948</v>
      </c>
      <c r="W153">
        <f>V153/(2*O153*Q153)</f>
        <v>4.0942593990807317E-2</v>
      </c>
      <c r="X153">
        <f>W153*16.02</f>
        <v>0.6559003557327332</v>
      </c>
    </row>
    <row r="154" spans="9:25" x14ac:dyDescent="0.2">
      <c r="K154">
        <v>867.44426499999997</v>
      </c>
      <c r="L154">
        <v>-18530.577120000002</v>
      </c>
      <c r="M154">
        <v>74693.455189</v>
      </c>
      <c r="N154">
        <v>-0.963063</v>
      </c>
      <c r="O154">
        <v>30.434128999999999</v>
      </c>
      <c r="P154">
        <v>181.23070200000001</v>
      </c>
      <c r="Q154">
        <v>13.542261</v>
      </c>
      <c r="R154">
        <v>2625</v>
      </c>
      <c r="S154">
        <v>1197</v>
      </c>
      <c r="T154">
        <f>S154/(S154+R154)</f>
        <v>0.31318681318681318</v>
      </c>
      <c r="U154">
        <f>-4.0807-2.4832*T154</f>
        <v>-4.8584054945054946</v>
      </c>
      <c r="V154">
        <f>L154-(SUM(R154:S154)*U154)</f>
        <v>38.248679999996966</v>
      </c>
      <c r="W154">
        <f>V154/(2*O154*Q154)</f>
        <v>4.6401754215051653E-2</v>
      </c>
      <c r="X154">
        <f>W154*16.02</f>
        <v>0.74335610252512752</v>
      </c>
    </row>
    <row r="155" spans="9:25" x14ac:dyDescent="0.2">
      <c r="K155">
        <v>867.63919799999996</v>
      </c>
      <c r="L155">
        <v>-18530.380422999999</v>
      </c>
      <c r="M155">
        <v>74747.359238999998</v>
      </c>
      <c r="N155">
        <v>-0.96325899999999998</v>
      </c>
      <c r="O155">
        <v>30.432756999999999</v>
      </c>
      <c r="P155">
        <v>181.494212</v>
      </c>
      <c r="Q155">
        <v>13.532969</v>
      </c>
      <c r="R155">
        <v>2628</v>
      </c>
      <c r="S155">
        <v>1196</v>
      </c>
      <c r="T155">
        <f>S155/(S155+R155)</f>
        <v>0.31276150627615062</v>
      </c>
      <c r="U155">
        <f>-4.0807-2.4832*T155</f>
        <v>-4.8573493723849372</v>
      </c>
      <c r="V155">
        <f>L155-(SUM(R155:S155)*U155)</f>
        <v>44.123577000002115</v>
      </c>
      <c r="W155">
        <f>V155/(2*O155*Q155)</f>
        <v>5.3568110961776334E-2</v>
      </c>
      <c r="X155">
        <f>W155*16.02</f>
        <v>0.85816113760765689</v>
      </c>
    </row>
    <row r="156" spans="9:25" x14ac:dyDescent="0.2">
      <c r="K156">
        <v>867.62027699999999</v>
      </c>
      <c r="L156">
        <v>-18468.15005</v>
      </c>
      <c r="M156">
        <v>74903.641017000002</v>
      </c>
      <c r="N156">
        <v>-0.91891199999999995</v>
      </c>
      <c r="O156">
        <v>30.420867999999999</v>
      </c>
      <c r="P156">
        <v>181.675073</v>
      </c>
      <c r="Q156">
        <v>13.553063</v>
      </c>
      <c r="R156">
        <v>2654</v>
      </c>
      <c r="S156">
        <v>1170</v>
      </c>
      <c r="T156">
        <f>S156/(S156+R156)</f>
        <v>0.30596234309623432</v>
      </c>
      <c r="U156">
        <f>-4.0807-2.4832*T156</f>
        <v>-4.8404656903765693</v>
      </c>
      <c r="V156">
        <f>L156-(SUM(R156:S156)*U156)</f>
        <v>41.790750000000116</v>
      </c>
      <c r="W156">
        <f>V156/(2*O156*Q156)</f>
        <v>5.0680525677048581E-2</v>
      </c>
      <c r="X156">
        <f>W156*16.02</f>
        <v>0.81190202134631828</v>
      </c>
    </row>
    <row r="157" spans="9:25" x14ac:dyDescent="0.2">
      <c r="K157">
        <v>867.37701600000003</v>
      </c>
      <c r="L157">
        <v>-18504.417034999999</v>
      </c>
      <c r="M157">
        <v>74802.681568</v>
      </c>
      <c r="N157">
        <v>-1.1307830000000001</v>
      </c>
      <c r="O157">
        <v>30.439813999999998</v>
      </c>
      <c r="P157">
        <v>181.59591399999999</v>
      </c>
      <c r="Q157">
        <v>13.532259</v>
      </c>
      <c r="R157">
        <v>2643</v>
      </c>
      <c r="S157">
        <v>1181</v>
      </c>
      <c r="T157">
        <f>S157/(S157+R157)</f>
        <v>0.3088389121338912</v>
      </c>
      <c r="U157">
        <f>-4.0807-2.4832*T157</f>
        <v>-4.8476087866108788</v>
      </c>
      <c r="V157">
        <f>L157-(SUM(R157:S157)*U157)</f>
        <v>32.838965000002645</v>
      </c>
      <c r="W157">
        <f>V157/(2*O157*Q157)</f>
        <v>3.9860906352408014E-2</v>
      </c>
      <c r="X157">
        <f>W157*16.02</f>
        <v>0.63857171976557636</v>
      </c>
    </row>
    <row r="158" spans="9:25" x14ac:dyDescent="0.2">
      <c r="X158" s="1">
        <f>AVERAGE(X153:X157)</f>
        <v>0.74157826739548249</v>
      </c>
      <c r="Y158">
        <f>STDEV(X153:X157)</f>
        <v>9.5513363064961346E-2</v>
      </c>
    </row>
    <row r="159" spans="9:25" x14ac:dyDescent="0.2">
      <c r="X159" s="1"/>
    </row>
    <row r="160" spans="9:25" x14ac:dyDescent="0.2">
      <c r="I160">
        <v>1200</v>
      </c>
      <c r="J160" t="s">
        <v>176</v>
      </c>
      <c r="K160" t="s">
        <v>18</v>
      </c>
      <c r="L160" t="s">
        <v>5</v>
      </c>
      <c r="M160" t="s">
        <v>7</v>
      </c>
      <c r="N160" t="s">
        <v>19</v>
      </c>
      <c r="O160" t="s">
        <v>20</v>
      </c>
      <c r="P160" t="s">
        <v>21</v>
      </c>
      <c r="Q160" t="s">
        <v>22</v>
      </c>
      <c r="R160" t="s">
        <v>4</v>
      </c>
      <c r="S160" t="s">
        <v>10</v>
      </c>
      <c r="T160" t="s">
        <v>13</v>
      </c>
      <c r="U160" t="s">
        <v>26</v>
      </c>
      <c r="V160" t="s">
        <v>12</v>
      </c>
      <c r="W160" t="s">
        <v>23</v>
      </c>
      <c r="X160" t="s">
        <v>23</v>
      </c>
    </row>
    <row r="161" spans="9:25" x14ac:dyDescent="0.2">
      <c r="I161" t="s">
        <v>55</v>
      </c>
      <c r="K161">
        <v>1041.158465</v>
      </c>
      <c r="L161">
        <v>-18805.221748</v>
      </c>
      <c r="M161">
        <v>76842.421740999998</v>
      </c>
      <c r="N161">
        <v>-1.170871</v>
      </c>
      <c r="O161">
        <v>30.783705000000001</v>
      </c>
      <c r="P161">
        <v>183.72296600000001</v>
      </c>
      <c r="Q161">
        <v>13.586857999999999</v>
      </c>
      <c r="R161">
        <v>2690</v>
      </c>
      <c r="S161">
        <v>1214</v>
      </c>
      <c r="T161">
        <f>S161/(S161+R161)</f>
        <v>0.31096311475409838</v>
      </c>
      <c r="U161">
        <f>-4.0574-2.4647*T161</f>
        <v>-4.8238307889344263</v>
      </c>
      <c r="V161">
        <f>L161-(SUM(R161:S161)*U161)</f>
        <v>27.013652000001457</v>
      </c>
      <c r="W161">
        <f>V161/(2*O161*Q161)</f>
        <v>3.2293370862526143E-2</v>
      </c>
      <c r="X161">
        <f>W161*16.02</f>
        <v>0.51733980121766876</v>
      </c>
    </row>
    <row r="162" spans="9:25" x14ac:dyDescent="0.2">
      <c r="K162">
        <v>1041.0313410000001</v>
      </c>
      <c r="L162">
        <v>-18821.715453000001</v>
      </c>
      <c r="M162">
        <v>76799.105074999999</v>
      </c>
      <c r="N162">
        <v>-1.133221</v>
      </c>
      <c r="O162">
        <v>30.807739000000002</v>
      </c>
      <c r="P162">
        <v>183.604232</v>
      </c>
      <c r="Q162">
        <v>13.577375</v>
      </c>
      <c r="R162">
        <v>2683</v>
      </c>
      <c r="S162">
        <v>1221</v>
      </c>
      <c r="T162">
        <f>S162/(S162+R162)</f>
        <v>0.31275614754098363</v>
      </c>
      <c r="U162">
        <f>-4.0574-2.4647*T162</f>
        <v>-4.8282500768442631</v>
      </c>
      <c r="V162">
        <f>L162-(SUM(R162:S162)*U162)</f>
        <v>27.772847000003821</v>
      </c>
      <c r="W162">
        <f>V162/(2*O162*Q162)</f>
        <v>3.3198217544546715E-2</v>
      </c>
      <c r="X162">
        <f>W162*16.02</f>
        <v>0.53183544506363833</v>
      </c>
    </row>
    <row r="163" spans="9:25" x14ac:dyDescent="0.2">
      <c r="K163">
        <v>1041.151707</v>
      </c>
      <c r="L163">
        <v>-18817.384429999998</v>
      </c>
      <c r="M163">
        <v>76784.742557999998</v>
      </c>
      <c r="N163">
        <v>-1.0883020000000001</v>
      </c>
      <c r="O163">
        <v>30.806373000000001</v>
      </c>
      <c r="P163">
        <v>183.68122700000001</v>
      </c>
      <c r="Q163">
        <v>13.569744999999999</v>
      </c>
      <c r="R163">
        <v>2684</v>
      </c>
      <c r="S163">
        <v>1220</v>
      </c>
      <c r="T163">
        <f>S163/(S163+R163)</f>
        <v>0.3125</v>
      </c>
      <c r="U163">
        <f>-4.0574-2.4647*T163</f>
        <v>-4.8276187500000001</v>
      </c>
      <c r="V163">
        <f>L163-(SUM(R163:S163)*U163)</f>
        <v>29.639170000002196</v>
      </c>
      <c r="W163">
        <f>V163/(2*O163*Q163)</f>
        <v>3.5450615998821433E-2</v>
      </c>
      <c r="X163">
        <f>W163*16.02</f>
        <v>0.56791886830111937</v>
      </c>
    </row>
    <row r="164" spans="9:25" x14ac:dyDescent="0.2">
      <c r="K164">
        <v>1040.9748119999999</v>
      </c>
      <c r="L164">
        <v>-18745.814181999998</v>
      </c>
      <c r="M164">
        <v>76990.572207999998</v>
      </c>
      <c r="N164">
        <v>-1.3135079999999999</v>
      </c>
      <c r="O164">
        <v>30.799647</v>
      </c>
      <c r="P164">
        <v>184.00796199999999</v>
      </c>
      <c r="Q164">
        <v>13.584932</v>
      </c>
      <c r="R164">
        <v>2713</v>
      </c>
      <c r="S164">
        <v>1191</v>
      </c>
      <c r="T164">
        <f>S164/(S164+R164)</f>
        <v>0.30507172131147542</v>
      </c>
      <c r="U164">
        <f>-4.0574-2.4647*T164</f>
        <v>-4.8093102715163933</v>
      </c>
      <c r="V164">
        <f>L164-(SUM(R164:S164)*U164)</f>
        <v>29.733118000000104</v>
      </c>
      <c r="W164">
        <f>V164/(2*O164*Q164)</f>
        <v>3.5530985292842057E-2</v>
      </c>
      <c r="X164">
        <f>W164*16.02</f>
        <v>0.56920638439132976</v>
      </c>
    </row>
    <row r="165" spans="9:25" x14ac:dyDescent="0.2">
      <c r="K165">
        <v>1041.0124940000001</v>
      </c>
      <c r="L165">
        <v>-18776.165567</v>
      </c>
      <c r="M165">
        <v>76910.177049999998</v>
      </c>
      <c r="N165">
        <v>-1.058829</v>
      </c>
      <c r="O165">
        <v>30.811374000000001</v>
      </c>
      <c r="P165">
        <v>183.748549</v>
      </c>
      <c r="Q165">
        <v>13.584727000000001</v>
      </c>
      <c r="R165">
        <v>2702</v>
      </c>
      <c r="S165">
        <v>1202</v>
      </c>
      <c r="T165">
        <f>S165/(S165+R165)</f>
        <v>0.30788934426229508</v>
      </c>
      <c r="U165">
        <f>-4.0574-2.4647*T165</f>
        <v>-4.8162548668032787</v>
      </c>
      <c r="V165">
        <f>L165-(SUM(R165:S165)*U165)</f>
        <v>26.493432999999641</v>
      </c>
      <c r="W165">
        <f>V165/(2*O165*Q165)</f>
        <v>3.1647999349183005E-2</v>
      </c>
      <c r="X165">
        <f>W165*16.02</f>
        <v>0.50700094957391173</v>
      </c>
    </row>
    <row r="166" spans="9:25" x14ac:dyDescent="0.2">
      <c r="X166" s="1">
        <f>AVERAGE(X161:X165)</f>
        <v>0.53866028970953361</v>
      </c>
      <c r="Y166">
        <f>STDEV(X161:X165)</f>
        <v>2.8690520530763299E-2</v>
      </c>
    </row>
    <row r="167" spans="9:25" x14ac:dyDescent="0.2">
      <c r="I167" t="s">
        <v>133</v>
      </c>
      <c r="J167">
        <v>100000</v>
      </c>
      <c r="K167">
        <v>1115.678541</v>
      </c>
      <c r="L167">
        <v>-15220.197591</v>
      </c>
      <c r="M167">
        <v>62461.161873999998</v>
      </c>
      <c r="N167">
        <v>-1.842975</v>
      </c>
      <c r="O167">
        <v>24.052032000000001</v>
      </c>
      <c r="P167">
        <v>191.21595099999999</v>
      </c>
      <c r="Q167">
        <v>13.581163999999999</v>
      </c>
      <c r="R167">
        <v>2198</v>
      </c>
      <c r="S167">
        <v>970</v>
      </c>
      <c r="T167">
        <f>S167/(S167+R167)</f>
        <v>0.30618686868686867</v>
      </c>
      <c r="U167">
        <f>-4.0574-2.4647*T167</f>
        <v>-4.8120587752525257</v>
      </c>
      <c r="V167">
        <f>L167-(SUM(R167:S167)*U167)</f>
        <v>24.404609000001074</v>
      </c>
      <c r="W167">
        <f>V167/(2*O167*Q167)</f>
        <v>3.7355374243988056E-2</v>
      </c>
      <c r="X167">
        <f>W167*16.02</f>
        <v>0.59843309538868861</v>
      </c>
    </row>
    <row r="168" spans="9:25" x14ac:dyDescent="0.2">
      <c r="J168">
        <v>100000</v>
      </c>
      <c r="K168">
        <v>1115.8737000000001</v>
      </c>
      <c r="L168">
        <v>-15168.697206999999</v>
      </c>
      <c r="M168">
        <v>62605.056392999999</v>
      </c>
      <c r="N168">
        <v>-1.645548</v>
      </c>
      <c r="O168">
        <v>24.074563999999999</v>
      </c>
      <c r="P168">
        <v>191.38859199999999</v>
      </c>
      <c r="Q168">
        <v>13.587441999999999</v>
      </c>
      <c r="R168">
        <v>2218</v>
      </c>
      <c r="S168">
        <v>950</v>
      </c>
      <c r="T168">
        <f>S168/(S168+R168)</f>
        <v>0.29987373737373735</v>
      </c>
      <c r="U168">
        <f>-4.0574-2.4647*T168</f>
        <v>-4.7964988005050504</v>
      </c>
      <c r="V168">
        <f>L168-(SUM(R168:S168)*U168)</f>
        <v>26.610993000000235</v>
      </c>
      <c r="W168">
        <f>V168/(2*O168*Q168)</f>
        <v>4.0675692097202405E-2</v>
      </c>
      <c r="X168">
        <f>W168*16.02</f>
        <v>0.65162458739718254</v>
      </c>
    </row>
    <row r="169" spans="9:25" x14ac:dyDescent="0.2">
      <c r="J169">
        <v>100000</v>
      </c>
      <c r="K169">
        <v>1115.458261</v>
      </c>
      <c r="L169">
        <v>-15148.464581</v>
      </c>
      <c r="M169">
        <v>62630.268075</v>
      </c>
      <c r="N169">
        <v>-1.690728</v>
      </c>
      <c r="O169">
        <v>24.085746</v>
      </c>
      <c r="P169">
        <v>191.35602700000001</v>
      </c>
      <c r="Q169">
        <v>13.588908</v>
      </c>
      <c r="R169">
        <v>2227</v>
      </c>
      <c r="S169">
        <v>941</v>
      </c>
      <c r="T169">
        <f>S169/(S169+R169)</f>
        <v>0.29703282828282829</v>
      </c>
      <c r="U169">
        <f>-4.0574-2.4647*T169</f>
        <v>-4.7894968118686876</v>
      </c>
      <c r="V169">
        <f>L169-(SUM(R169:S169)*U169)</f>
        <v>24.66131900000255</v>
      </c>
      <c r="W169">
        <f>V169/(2*O169*Q169)</f>
        <v>3.7673992307944527E-2</v>
      </c>
      <c r="X169">
        <f>W169*16.02</f>
        <v>0.60353735677327136</v>
      </c>
    </row>
    <row r="170" spans="9:25" x14ac:dyDescent="0.2">
      <c r="J170">
        <v>100000</v>
      </c>
      <c r="K170">
        <v>1115.722158</v>
      </c>
      <c r="L170">
        <v>-15132.128169</v>
      </c>
      <c r="M170">
        <v>62651.894898999999</v>
      </c>
      <c r="N170">
        <v>-1.546038</v>
      </c>
      <c r="O170">
        <v>24.098110999999999</v>
      </c>
      <c r="P170">
        <v>191.30838600000001</v>
      </c>
      <c r="Q170">
        <v>13.590006000000001</v>
      </c>
      <c r="R170">
        <v>2234</v>
      </c>
      <c r="S170">
        <v>934</v>
      </c>
      <c r="T170">
        <f>S170/(S170+R170)</f>
        <v>0.29482323232323232</v>
      </c>
      <c r="U170">
        <f>-4.0574-2.4647*T170</f>
        <v>-4.7840508207070709</v>
      </c>
      <c r="V170">
        <f>L170-(SUM(R170:S170)*U170)</f>
        <v>23.744831000001795</v>
      </c>
      <c r="W170">
        <f>V170/(2*O170*Q170)</f>
        <v>3.6252372874463576E-2</v>
      </c>
      <c r="X170">
        <f>W170*16.02</f>
        <v>0.58076301344890646</v>
      </c>
    </row>
    <row r="171" spans="9:25" x14ac:dyDescent="0.2">
      <c r="J171">
        <v>100000</v>
      </c>
      <c r="K171">
        <v>1115.4362450000001</v>
      </c>
      <c r="L171">
        <v>-15203.593117</v>
      </c>
      <c r="M171">
        <v>62509.355836000002</v>
      </c>
      <c r="N171">
        <v>-1.6437580000000001</v>
      </c>
      <c r="O171">
        <v>24.056930999999999</v>
      </c>
      <c r="P171">
        <v>190.87178499999999</v>
      </c>
      <c r="Q171">
        <v>13.613352000000001</v>
      </c>
      <c r="R171">
        <v>2205</v>
      </c>
      <c r="S171">
        <v>963</v>
      </c>
      <c r="T171">
        <f>S171/(S171+R171)</f>
        <v>0.30397727272727271</v>
      </c>
      <c r="U171">
        <f>-4.0574-2.4647*T171</f>
        <v>-4.806612784090909</v>
      </c>
      <c r="V171">
        <f>L171-(SUM(R171:S171)*U171)</f>
        <v>23.75618299999951</v>
      </c>
      <c r="W171">
        <f>V171/(2*O171*Q171)</f>
        <v>3.6269483389591489E-2</v>
      </c>
      <c r="X171">
        <f>W171*16.02</f>
        <v>0.58103712390125561</v>
      </c>
    </row>
    <row r="172" spans="9:25" x14ac:dyDescent="0.2">
      <c r="X172" s="1">
        <f>AVERAGE(X167:X171)</f>
        <v>0.60307903538186092</v>
      </c>
      <c r="Y172">
        <f>STDEV(X167:X171)</f>
        <v>2.899274104849878E-2</v>
      </c>
    </row>
    <row r="173" spans="9:25" x14ac:dyDescent="0.2">
      <c r="I173" t="s">
        <v>28</v>
      </c>
      <c r="K173">
        <v>1115.341645</v>
      </c>
      <c r="L173">
        <v>-11897.522206</v>
      </c>
      <c r="M173">
        <v>48709.210343999999</v>
      </c>
      <c r="N173">
        <v>-2.4125169999999998</v>
      </c>
      <c r="O173">
        <v>34.729596000000001</v>
      </c>
      <c r="P173">
        <v>137.932232</v>
      </c>
      <c r="Q173">
        <v>10.168305999999999</v>
      </c>
      <c r="R173">
        <v>1703</v>
      </c>
      <c r="S173">
        <v>769</v>
      </c>
      <c r="T173">
        <f>S173/(S173+R173)</f>
        <v>0.31108414239482202</v>
      </c>
      <c r="U173">
        <f>-4.0574-2.4647*T173</f>
        <v>-4.8241290857605179</v>
      </c>
      <c r="V173">
        <f>L173-(SUM(R173:S173)*U173)</f>
        <v>27.724894000000859</v>
      </c>
      <c r="W173">
        <f>V173/(2*O173*Q173)</f>
        <v>3.9254690742270199E-2</v>
      </c>
      <c r="X173">
        <f>W173*16.02</f>
        <v>0.62886014569116855</v>
      </c>
    </row>
    <row r="174" spans="9:25" x14ac:dyDescent="0.2">
      <c r="K174">
        <v>1115.6175740000001</v>
      </c>
      <c r="L174">
        <v>-11914.513322999999</v>
      </c>
      <c r="M174">
        <v>48669.193692000001</v>
      </c>
      <c r="N174">
        <v>-2.0719609999999999</v>
      </c>
      <c r="O174">
        <v>34.794255</v>
      </c>
      <c r="P174">
        <v>137.88059899999999</v>
      </c>
      <c r="Q174">
        <v>10.144880000000001</v>
      </c>
      <c r="R174">
        <v>1696</v>
      </c>
      <c r="S174">
        <v>776</v>
      </c>
      <c r="T174">
        <f>S174/(S174+R174)</f>
        <v>0.31391585760517798</v>
      </c>
      <c r="U174">
        <f>-4.0574-2.4647*T174</f>
        <v>-4.8311084142394822</v>
      </c>
      <c r="V174">
        <f>L174-(SUM(R174:S174)*U174)</f>
        <v>27.986677000000782</v>
      </c>
      <c r="W174">
        <f>V174/(2*O174*Q174)</f>
        <v>3.9643033876362969E-2</v>
      </c>
      <c r="X174">
        <f>W174*16.02</f>
        <v>0.63508140269933477</v>
      </c>
    </row>
    <row r="175" spans="9:25" x14ac:dyDescent="0.2">
      <c r="K175">
        <v>1115.482626</v>
      </c>
      <c r="L175">
        <v>-11834.997007</v>
      </c>
      <c r="M175">
        <v>48852.971057000002</v>
      </c>
      <c r="N175">
        <v>-2.2993779999999999</v>
      </c>
      <c r="O175">
        <v>34.756734999999999</v>
      </c>
      <c r="P175">
        <v>138.21251799999999</v>
      </c>
      <c r="Q175">
        <v>10.169698</v>
      </c>
      <c r="R175">
        <v>1730</v>
      </c>
      <c r="S175">
        <v>742</v>
      </c>
      <c r="T175">
        <f>S175/(S175+R175)</f>
        <v>0.30016181229773464</v>
      </c>
      <c r="U175">
        <f>-4.0574-2.4647*T175</f>
        <v>-4.7972088187702271</v>
      </c>
      <c r="V175">
        <f>L175-(SUM(R175:S175)*U175)</f>
        <v>23.703193000001193</v>
      </c>
      <c r="W175">
        <f>V175/(2*O175*Q175)</f>
        <v>3.3529712385255858E-2</v>
      </c>
      <c r="X175">
        <f>W175*16.02</f>
        <v>0.53714599241179883</v>
      </c>
    </row>
    <row r="176" spans="9:25" x14ac:dyDescent="0.2">
      <c r="K176">
        <v>1115.7508</v>
      </c>
      <c r="L176">
        <v>-11908.356956</v>
      </c>
      <c r="M176">
        <v>48670.747661000001</v>
      </c>
      <c r="N176">
        <v>-2.176879</v>
      </c>
      <c r="O176">
        <v>34.827568999999997</v>
      </c>
      <c r="P176">
        <v>137.71473399999999</v>
      </c>
      <c r="Q176">
        <v>10.147716000000001</v>
      </c>
      <c r="R176">
        <v>1697</v>
      </c>
      <c r="S176">
        <v>775</v>
      </c>
      <c r="T176">
        <f>S176/(S176+R176)</f>
        <v>0.31351132686084143</v>
      </c>
      <c r="U176">
        <f>-4.0574-2.4647*T176</f>
        <v>-4.8301113673139167</v>
      </c>
      <c r="V176">
        <f>L176-(SUM(R176:S176)*U176)</f>
        <v>31.678344000001744</v>
      </c>
      <c r="W176">
        <f>V176/(2*O176*Q176)</f>
        <v>4.4816817067325404E-2</v>
      </c>
      <c r="X176">
        <f>W176*16.02</f>
        <v>0.71796540941855291</v>
      </c>
    </row>
    <row r="177" spans="9:25" x14ac:dyDescent="0.2">
      <c r="K177">
        <v>1115.895258</v>
      </c>
      <c r="L177">
        <v>-11933.614541999999</v>
      </c>
      <c r="M177">
        <v>48627.145046999998</v>
      </c>
      <c r="N177">
        <v>-2.247849</v>
      </c>
      <c r="O177">
        <v>34.757283999999999</v>
      </c>
      <c r="P177">
        <v>138.03165799999999</v>
      </c>
      <c r="Q177">
        <v>10.135785</v>
      </c>
      <c r="R177">
        <v>1688</v>
      </c>
      <c r="S177">
        <v>784</v>
      </c>
      <c r="T177">
        <f>S177/(S177+R177)</f>
        <v>0.31715210355987056</v>
      </c>
      <c r="U177">
        <f>-4.0574-2.4647*T177</f>
        <v>-4.839084789644013</v>
      </c>
      <c r="V177">
        <f>L177-(SUM(R177:S177)*U177)</f>
        <v>28.603058000000601</v>
      </c>
      <c r="W177">
        <f>V177/(2*O177*Q177)</f>
        <v>4.0595626567060242E-2</v>
      </c>
      <c r="X177">
        <f>W177*16.02</f>
        <v>0.65034193760430503</v>
      </c>
    </row>
    <row r="178" spans="9:25" x14ac:dyDescent="0.2">
      <c r="X178" s="1">
        <f>AVERAGE(X173:X177)</f>
        <v>0.63387897756503198</v>
      </c>
      <c r="Y178">
        <f>STDEV(X173:X177)</f>
        <v>6.4663478856594278E-2</v>
      </c>
    </row>
    <row r="179" spans="9:25" x14ac:dyDescent="0.2">
      <c r="I179" t="s">
        <v>134</v>
      </c>
      <c r="J179">
        <v>100000</v>
      </c>
      <c r="K179">
        <v>1115.5371399999999</v>
      </c>
      <c r="L179">
        <v>-15434.240888</v>
      </c>
      <c r="M179">
        <v>63958.887201999998</v>
      </c>
      <c r="N179">
        <v>-1.7845839999999999</v>
      </c>
      <c r="O179">
        <v>28.083406</v>
      </c>
      <c r="P179">
        <v>167.475751</v>
      </c>
      <c r="Q179">
        <v>13.598839999999999</v>
      </c>
      <c r="R179">
        <v>2275</v>
      </c>
      <c r="S179">
        <v>957</v>
      </c>
      <c r="T179">
        <f>S179/(S179+R179)</f>
        <v>0.29610148514851486</v>
      </c>
      <c r="U179">
        <f>-4.0574-2.4647*T179</f>
        <v>-4.7872013304455452</v>
      </c>
      <c r="V179">
        <f>L179-(SUM(R179:S179)*U179)</f>
        <v>37.993812000002436</v>
      </c>
      <c r="W179">
        <f>V179/(2*O179*Q179)</f>
        <v>4.974291491522357E-2</v>
      </c>
      <c r="X179">
        <f>W179*16.02</f>
        <v>0.7968814969418816</v>
      </c>
    </row>
    <row r="180" spans="9:25" x14ac:dyDescent="0.2">
      <c r="J180">
        <v>100000</v>
      </c>
      <c r="K180">
        <v>1115.4698289999999</v>
      </c>
      <c r="L180">
        <v>-15399.460187999999</v>
      </c>
      <c r="M180">
        <v>64042.048942000001</v>
      </c>
      <c r="N180">
        <v>-1.583925</v>
      </c>
      <c r="O180">
        <v>28.071263999999999</v>
      </c>
      <c r="P180">
        <v>167.705262</v>
      </c>
      <c r="Q180">
        <v>13.603771</v>
      </c>
      <c r="R180">
        <v>2289</v>
      </c>
      <c r="S180">
        <v>943</v>
      </c>
      <c r="T180">
        <f>S180/(S180+R180)</f>
        <v>0.29176980198019803</v>
      </c>
      <c r="U180">
        <f>-4.0574-2.4647*T180</f>
        <v>-4.7765250309405944</v>
      </c>
      <c r="V180">
        <f>L180-(SUM(R180:S180)*U180)</f>
        <v>38.268712000002779</v>
      </c>
      <c r="W180">
        <f>V180/(2*O180*Q180)</f>
        <v>5.0106327039377549E-2</v>
      </c>
      <c r="X180">
        <f>W180*16.02</f>
        <v>0.80270335917082836</v>
      </c>
    </row>
    <row r="181" spans="9:25" x14ac:dyDescent="0.2">
      <c r="J181">
        <v>100000</v>
      </c>
      <c r="K181">
        <v>1115.8007950000001</v>
      </c>
      <c r="L181">
        <v>-15511.852640999999</v>
      </c>
      <c r="M181">
        <v>63802.984430999997</v>
      </c>
      <c r="N181">
        <v>-1.8630789999999999</v>
      </c>
      <c r="O181">
        <v>28.083414000000001</v>
      </c>
      <c r="P181">
        <v>167.533929</v>
      </c>
      <c r="Q181">
        <v>13.560953</v>
      </c>
      <c r="R181">
        <v>2244</v>
      </c>
      <c r="S181">
        <v>988</v>
      </c>
      <c r="T181">
        <f>S181/(S181+R181)</f>
        <v>0.30569306930693069</v>
      </c>
      <c r="U181">
        <f>-4.0574-2.4647*T181</f>
        <v>-4.8108417079207921</v>
      </c>
      <c r="V181">
        <f>L181-(SUM(R181:S181)*U181)</f>
        <v>36.787759000000733</v>
      </c>
      <c r="W181">
        <f>V181/(2*O181*Q181)</f>
        <v>4.8298453385874407E-2</v>
      </c>
      <c r="X181">
        <f>W181*16.02</f>
        <v>0.77374122324170802</v>
      </c>
    </row>
    <row r="182" spans="9:25" x14ac:dyDescent="0.2">
      <c r="J182">
        <v>100000</v>
      </c>
      <c r="K182">
        <v>1115.3168410000001</v>
      </c>
      <c r="L182">
        <v>-15528.141734000001</v>
      </c>
      <c r="M182">
        <v>63752.708277999998</v>
      </c>
      <c r="N182">
        <v>-1.623486</v>
      </c>
      <c r="O182">
        <v>28.055807999999999</v>
      </c>
      <c r="P182">
        <v>167.38701900000001</v>
      </c>
      <c r="Q182">
        <v>13.575511000000001</v>
      </c>
      <c r="R182">
        <v>2238</v>
      </c>
      <c r="S182">
        <v>994</v>
      </c>
      <c r="T182">
        <f>S182/(S182+R182)</f>
        <v>0.30754950495049505</v>
      </c>
      <c r="U182">
        <f>-4.0574-2.4647*T182</f>
        <v>-4.8154172648514857</v>
      </c>
      <c r="V182">
        <f>L182-(SUM(R182:S182)*U182)</f>
        <v>35.286866000000373</v>
      </c>
      <c r="W182">
        <f>V182/(2*O182*Q182)</f>
        <v>4.632379444329008E-2</v>
      </c>
      <c r="X182">
        <f>W182*16.02</f>
        <v>0.74210718698150702</v>
      </c>
    </row>
    <row r="183" spans="9:25" x14ac:dyDescent="0.2">
      <c r="J183">
        <v>100000</v>
      </c>
      <c r="K183">
        <v>1115.270657</v>
      </c>
      <c r="L183">
        <v>-15451.490040000001</v>
      </c>
      <c r="M183">
        <v>63963.145499999999</v>
      </c>
      <c r="N183">
        <v>-1.7166410000000001</v>
      </c>
      <c r="O183">
        <v>28.080223</v>
      </c>
      <c r="P183">
        <v>167.76325499999999</v>
      </c>
      <c r="Q183">
        <v>13.577969</v>
      </c>
      <c r="R183">
        <v>2268</v>
      </c>
      <c r="S183">
        <v>964</v>
      </c>
      <c r="T183">
        <f>S183/(S183+R183)</f>
        <v>0.29826732673267325</v>
      </c>
      <c r="U183">
        <f>-4.0574-2.4647*T183</f>
        <v>-4.7925394801980197</v>
      </c>
      <c r="V183">
        <f>L183-(SUM(R183:S183)*U183)</f>
        <v>37.997559999999794</v>
      </c>
      <c r="W183">
        <f>V183/(2*O183*Q183)</f>
        <v>4.9829938199577498E-2</v>
      </c>
      <c r="X183">
        <f>W183*16.02</f>
        <v>0.79827560995723146</v>
      </c>
    </row>
    <row r="184" spans="9:25" x14ac:dyDescent="0.2">
      <c r="X184" s="1">
        <f>AVERAGE(X179:X183)</f>
        <v>0.7827417752586312</v>
      </c>
      <c r="Y184">
        <f>STDEV(X179:X183)</f>
        <v>2.5356834793934975E-2</v>
      </c>
    </row>
    <row r="185" spans="9:25" x14ac:dyDescent="0.2">
      <c r="I185" t="s">
        <v>27</v>
      </c>
      <c r="K185">
        <v>1115.5306660000001</v>
      </c>
      <c r="L185">
        <v>-13812.223172</v>
      </c>
      <c r="M185">
        <v>56907.096108999998</v>
      </c>
      <c r="N185">
        <v>-1.8004</v>
      </c>
      <c r="O185">
        <v>32.272708000000002</v>
      </c>
      <c r="P185">
        <v>130.035245</v>
      </c>
      <c r="Q185">
        <v>13.56038</v>
      </c>
      <c r="R185">
        <v>2001</v>
      </c>
      <c r="S185">
        <v>879</v>
      </c>
      <c r="T185">
        <f>S185/(S185+R185)</f>
        <v>0.30520833333333336</v>
      </c>
      <c r="U185">
        <f>-4.0574-2.4647*T185</f>
        <v>-4.8096469791666667</v>
      </c>
      <c r="V185">
        <f>L185-(SUM(R185:S185)*U185)</f>
        <v>39.560128000000987</v>
      </c>
      <c r="W185">
        <f>V185/(2*O185*Q185)</f>
        <v>4.5198125536679359E-2</v>
      </c>
      <c r="X185">
        <f>W185*16.02</f>
        <v>0.7240739710976033</v>
      </c>
    </row>
    <row r="186" spans="9:25" x14ac:dyDescent="0.2">
      <c r="K186">
        <v>1115.8689240000001</v>
      </c>
      <c r="L186">
        <v>-13814.440368</v>
      </c>
      <c r="M186">
        <v>56916.225194999999</v>
      </c>
      <c r="N186">
        <v>-2.0754739999999998</v>
      </c>
      <c r="O186">
        <v>32.276560000000003</v>
      </c>
      <c r="P186">
        <v>129.96293900000001</v>
      </c>
      <c r="Q186">
        <v>13.568498</v>
      </c>
      <c r="R186">
        <v>1999</v>
      </c>
      <c r="S186">
        <v>881</v>
      </c>
      <c r="T186">
        <f>S186/(S186+R186)</f>
        <v>0.3059027777777778</v>
      </c>
      <c r="U186">
        <f>-4.0574-2.4647*T186</f>
        <v>-4.8113585763888889</v>
      </c>
      <c r="V186">
        <f>L186-(SUM(R186:S186)*U186)</f>
        <v>42.272332000000461</v>
      </c>
      <c r="W186">
        <f>V186/(2*O186*Q186)</f>
        <v>4.8262208807401751E-2</v>
      </c>
      <c r="X186">
        <f>W186*16.02</f>
        <v>0.77316058509457597</v>
      </c>
    </row>
    <row r="187" spans="9:25" x14ac:dyDescent="0.2">
      <c r="K187">
        <v>1116.0103810000001</v>
      </c>
      <c r="L187">
        <v>-13810.309545</v>
      </c>
      <c r="M187">
        <v>56899.662407000003</v>
      </c>
      <c r="N187">
        <v>-1.9400459999999999</v>
      </c>
      <c r="O187">
        <v>32.279434000000002</v>
      </c>
      <c r="P187">
        <v>130.07303099999999</v>
      </c>
      <c r="Q187">
        <v>13.551869999999999</v>
      </c>
      <c r="R187">
        <v>2001</v>
      </c>
      <c r="S187">
        <v>879</v>
      </c>
      <c r="T187">
        <f>S187/(S187+R187)</f>
        <v>0.30520833333333336</v>
      </c>
      <c r="U187">
        <f>-4.0574-2.4647*T187</f>
        <v>-4.8096469791666667</v>
      </c>
      <c r="V187">
        <f>L187-(SUM(R187:S187)*U187)</f>
        <v>41.473755000000892</v>
      </c>
      <c r="W187">
        <f>V187/(2*O187*Q187)</f>
        <v>4.7404353079767141E-2</v>
      </c>
      <c r="X187">
        <f>W187*16.02</f>
        <v>0.75941773633786958</v>
      </c>
    </row>
    <row r="188" spans="9:25" x14ac:dyDescent="0.2">
      <c r="K188">
        <v>1115.7956770000001</v>
      </c>
      <c r="L188">
        <v>-13877.307128</v>
      </c>
      <c r="M188">
        <v>56749.318209999998</v>
      </c>
      <c r="N188">
        <v>-1.598994</v>
      </c>
      <c r="O188">
        <v>32.299163</v>
      </c>
      <c r="P188">
        <v>129.74310399999999</v>
      </c>
      <c r="Q188">
        <v>13.542134000000001</v>
      </c>
      <c r="R188">
        <v>1972</v>
      </c>
      <c r="S188">
        <v>908</v>
      </c>
      <c r="T188">
        <f>S188/(S188+R188)</f>
        <v>0.31527777777777777</v>
      </c>
      <c r="U188">
        <f>-4.0574-2.4647*T188</f>
        <v>-4.8344651388888895</v>
      </c>
      <c r="V188">
        <f>L188-(SUM(R188:S188)*U188)</f>
        <v>45.952472000000853</v>
      </c>
      <c r="W188">
        <f>V188/(2*O188*Q188)</f>
        <v>5.2529166338778618E-2</v>
      </c>
      <c r="X188">
        <f>W188*16.02</f>
        <v>0.84151724474723344</v>
      </c>
    </row>
    <row r="189" spans="9:25" x14ac:dyDescent="0.2">
      <c r="K189">
        <v>1115.529509</v>
      </c>
      <c r="L189">
        <v>-13838.67908</v>
      </c>
      <c r="M189">
        <v>56819.026874000003</v>
      </c>
      <c r="N189">
        <v>-1.507074</v>
      </c>
      <c r="O189">
        <v>32.247821999999999</v>
      </c>
      <c r="P189">
        <v>129.98794100000001</v>
      </c>
      <c r="Q189">
        <v>13.55477</v>
      </c>
      <c r="R189">
        <v>1989</v>
      </c>
      <c r="S189">
        <v>891</v>
      </c>
      <c r="T189">
        <f>S189/(S189+R189)</f>
        <v>0.30937500000000001</v>
      </c>
      <c r="U189">
        <f>-4.0574-2.4647*T189</f>
        <v>-4.8199165625000004</v>
      </c>
      <c r="V189">
        <f>L189-(SUM(R189:S189)*U189)</f>
        <v>42.680620000000999</v>
      </c>
      <c r="W189">
        <f>V189/(2*O189*Q189)</f>
        <v>4.8821170010716855E-2</v>
      </c>
      <c r="X189">
        <f>W189*16.02</f>
        <v>0.78211514357168399</v>
      </c>
    </row>
    <row r="190" spans="9:25" x14ac:dyDescent="0.2">
      <c r="X190" s="1">
        <f>AVERAGE(X185:X189)</f>
        <v>0.77605693616979332</v>
      </c>
      <c r="Y190">
        <f>STDEV(X185:X189)</f>
        <v>4.2747030172493081E-2</v>
      </c>
    </row>
    <row r="191" spans="9:25" x14ac:dyDescent="0.2">
      <c r="I191" t="s">
        <v>172</v>
      </c>
      <c r="J191">
        <v>100000</v>
      </c>
      <c r="K191">
        <v>1115.4757750000001</v>
      </c>
      <c r="L191">
        <v>-17495.722706</v>
      </c>
      <c r="M191">
        <v>73011.323461000007</v>
      </c>
      <c r="N191">
        <v>-1.520877</v>
      </c>
      <c r="O191">
        <v>25.962572000000002</v>
      </c>
      <c r="P191">
        <v>206.74113399999999</v>
      </c>
      <c r="Q191">
        <v>13.602482</v>
      </c>
      <c r="R191">
        <v>2621</v>
      </c>
      <c r="S191">
        <v>1059</v>
      </c>
      <c r="T191">
        <f>S191/(S191+R191)</f>
        <v>0.2877717391304348</v>
      </c>
      <c r="U191">
        <f>-4.0574-2.4647*T191</f>
        <v>-4.7666710054347829</v>
      </c>
      <c r="V191">
        <f>L191-(SUM(R191:S191)*U191)</f>
        <v>45.626594000001205</v>
      </c>
      <c r="W191">
        <f>V191/(2*O191*Q191)</f>
        <v>6.4598462369850396E-2</v>
      </c>
      <c r="X191">
        <f>W191*16.02</f>
        <v>1.0348673671650033</v>
      </c>
    </row>
    <row r="192" spans="9:25" x14ac:dyDescent="0.2">
      <c r="J192">
        <v>100000</v>
      </c>
      <c r="K192">
        <v>1115.671548</v>
      </c>
      <c r="L192">
        <v>-17473.658305000001</v>
      </c>
      <c r="M192">
        <v>73066.791614999995</v>
      </c>
      <c r="N192">
        <v>-1.2440850000000001</v>
      </c>
      <c r="O192">
        <v>25.980228</v>
      </c>
      <c r="P192">
        <v>206.38278099999999</v>
      </c>
      <c r="Q192">
        <v>13.627167999999999</v>
      </c>
      <c r="R192">
        <v>2631</v>
      </c>
      <c r="S192">
        <v>1049</v>
      </c>
      <c r="T192">
        <f>S192/(S192+R192)</f>
        <v>0.28505434782608696</v>
      </c>
      <c r="U192">
        <f>-4.0574-2.4647*T192</f>
        <v>-4.7599734510869567</v>
      </c>
      <c r="V192">
        <f>L192-(SUM(R192:S192)*U192)</f>
        <v>43.043994999999995</v>
      </c>
      <c r="W192">
        <f>V192/(2*O192*Q192)</f>
        <v>6.0790261063020268E-2</v>
      </c>
      <c r="X192">
        <f>W192*16.02</f>
        <v>0.9738599822295847</v>
      </c>
    </row>
    <row r="193" spans="9:25" x14ac:dyDescent="0.2">
      <c r="J193">
        <v>100000</v>
      </c>
      <c r="K193">
        <v>1115.7123349999999</v>
      </c>
      <c r="L193">
        <v>-17559.211214999999</v>
      </c>
      <c r="M193">
        <v>72883.731738999995</v>
      </c>
      <c r="N193">
        <v>-1.4510890000000001</v>
      </c>
      <c r="O193">
        <v>25.910990999999999</v>
      </c>
      <c r="P193">
        <v>206.64978199999999</v>
      </c>
      <c r="Q193">
        <v>13.611744</v>
      </c>
      <c r="R193">
        <v>2597</v>
      </c>
      <c r="S193">
        <v>1083</v>
      </c>
      <c r="T193">
        <f>S193/(S193+R193)</f>
        <v>0.29429347826086955</v>
      </c>
      <c r="U193">
        <f>-4.0574-2.4647*T193</f>
        <v>-4.7827451358695656</v>
      </c>
      <c r="V193">
        <f>L193-(SUM(R193:S193)*U193)</f>
        <v>41.290885000002163</v>
      </c>
      <c r="W193">
        <f>V193/(2*O193*Q193)</f>
        <v>5.8536452550583581E-2</v>
      </c>
      <c r="X193">
        <f>W193*16.02</f>
        <v>0.93775396986034898</v>
      </c>
    </row>
    <row r="194" spans="9:25" x14ac:dyDescent="0.2">
      <c r="J194">
        <v>100000</v>
      </c>
      <c r="K194">
        <v>1115.349205</v>
      </c>
      <c r="L194">
        <v>-17561.660389000001</v>
      </c>
      <c r="M194">
        <v>72862.896995000003</v>
      </c>
      <c r="N194">
        <v>-1.339523</v>
      </c>
      <c r="O194">
        <v>25.945212000000001</v>
      </c>
      <c r="P194">
        <v>206.18334999999999</v>
      </c>
      <c r="Q194">
        <v>13.620628999999999</v>
      </c>
      <c r="R194">
        <v>2595</v>
      </c>
      <c r="S194">
        <v>1085</v>
      </c>
      <c r="T194">
        <f>S194/(S194+R194)</f>
        <v>0.29483695652173914</v>
      </c>
      <c r="U194">
        <f>-4.0574-2.4647*T194</f>
        <v>-4.7840846467391307</v>
      </c>
      <c r="V194">
        <f>L194-(SUM(R194:S194)*U194)</f>
        <v>43.771111000001838</v>
      </c>
      <c r="W194">
        <f>V194/(2*O194*Q194)</f>
        <v>6.1930300446531271E-2</v>
      </c>
      <c r="X194">
        <f>W194*16.02</f>
        <v>0.99212341315343089</v>
      </c>
    </row>
    <row r="195" spans="9:25" x14ac:dyDescent="0.2">
      <c r="J195">
        <v>100000</v>
      </c>
      <c r="K195">
        <v>1115.7026289999999</v>
      </c>
      <c r="L195">
        <v>-17527.278189000001</v>
      </c>
      <c r="M195">
        <v>72940.526765999995</v>
      </c>
      <c r="N195">
        <v>-1.3072760000000001</v>
      </c>
      <c r="O195">
        <v>25.984774000000002</v>
      </c>
      <c r="P195">
        <v>206.34149500000001</v>
      </c>
      <c r="Q195">
        <v>13.603951</v>
      </c>
      <c r="R195">
        <v>2610</v>
      </c>
      <c r="S195">
        <v>1070</v>
      </c>
      <c r="T195">
        <f>S195/(S195+R195)</f>
        <v>0.29076086956521741</v>
      </c>
      <c r="U195">
        <f>-4.0574-2.4647*T195</f>
        <v>-4.7740383152173917</v>
      </c>
      <c r="V195">
        <f>L195-(SUM(R195:S195)*U195)</f>
        <v>41.182811000002403</v>
      </c>
      <c r="W195">
        <f>V195/(2*O195*Q195)</f>
        <v>5.82508126039099E-2</v>
      </c>
      <c r="X195">
        <f>W195*16.02</f>
        <v>0.93317801791463661</v>
      </c>
    </row>
    <row r="196" spans="9:25" x14ac:dyDescent="0.2">
      <c r="X196" s="1">
        <f>AVERAGE(X191:X195)</f>
        <v>0.97435655006460087</v>
      </c>
      <c r="Y196">
        <f>STDEV(X191:X195)</f>
        <v>4.1871492024480948E-2</v>
      </c>
    </row>
    <row r="197" spans="9:25" x14ac:dyDescent="0.2">
      <c r="I197" t="s">
        <v>17</v>
      </c>
      <c r="K197">
        <v>1040.9239930000001</v>
      </c>
      <c r="L197">
        <v>-18094.307195000001</v>
      </c>
      <c r="M197">
        <v>74655.124337000001</v>
      </c>
      <c r="N197">
        <v>-1.1180939999999999</v>
      </c>
      <c r="O197">
        <v>30.468171000000002</v>
      </c>
      <c r="P197">
        <v>90.454797999999997</v>
      </c>
      <c r="Q197">
        <v>27.088383</v>
      </c>
      <c r="R197">
        <v>2620</v>
      </c>
      <c r="S197">
        <v>1156</v>
      </c>
      <c r="T197">
        <f>S197/(S197+R197)</f>
        <v>0.30614406779661019</v>
      </c>
      <c r="U197">
        <f>-4.0574-2.4647*T197</f>
        <v>-4.8119532838983057</v>
      </c>
      <c r="V197">
        <f>L197-(SUM(R197:S197)*U197)</f>
        <v>75.628404999999475</v>
      </c>
      <c r="W197">
        <f>V197/(2*O197*Q197)</f>
        <v>4.5816876657585902E-2</v>
      </c>
      <c r="X197">
        <f>W197*16.02</f>
        <v>0.73398636405452611</v>
      </c>
    </row>
    <row r="198" spans="9:25" x14ac:dyDescent="0.2">
      <c r="K198">
        <v>1040.9420050000001</v>
      </c>
      <c r="L198">
        <v>-18149.828182000001</v>
      </c>
      <c r="M198">
        <v>74538.142512999999</v>
      </c>
      <c r="N198">
        <v>-1.2491099999999999</v>
      </c>
      <c r="O198">
        <v>30.477222000000001</v>
      </c>
      <c r="P198">
        <v>90.344609000000005</v>
      </c>
      <c r="Q198">
        <v>27.070892000000001</v>
      </c>
      <c r="R198">
        <v>2600</v>
      </c>
      <c r="S198">
        <v>1176</v>
      </c>
      <c r="T198">
        <f>S198/(S198+R198)</f>
        <v>0.3114406779661017</v>
      </c>
      <c r="U198">
        <f>-4.0574-2.4647*T198</f>
        <v>-4.8250078389830513</v>
      </c>
      <c r="V198">
        <f>L198-(SUM(R198:S198)*U198)</f>
        <v>69.401418000001286</v>
      </c>
      <c r="W198">
        <f>V198/(2*O198*Q198)</f>
        <v>4.2059141484482337E-2</v>
      </c>
      <c r="X198">
        <f>W198*16.02</f>
        <v>0.67378744658140699</v>
      </c>
    </row>
    <row r="199" spans="9:25" x14ac:dyDescent="0.2">
      <c r="K199">
        <v>1041.222141</v>
      </c>
      <c r="L199">
        <v>-18123.391484</v>
      </c>
      <c r="M199">
        <v>74588.357329000006</v>
      </c>
      <c r="N199">
        <v>-1.233565</v>
      </c>
      <c r="O199">
        <v>30.449313</v>
      </c>
      <c r="P199">
        <v>90.262846999999994</v>
      </c>
      <c r="Q199">
        <v>27.138534</v>
      </c>
      <c r="R199">
        <v>2607</v>
      </c>
      <c r="S199">
        <v>1169</v>
      </c>
      <c r="T199">
        <f>S199/(S199+R199)</f>
        <v>0.30958686440677968</v>
      </c>
      <c r="U199">
        <f>-4.0574-2.4647*T199</f>
        <v>-4.8204387447033898</v>
      </c>
      <c r="V199">
        <f>L199-(SUM(R199:S199)*U199)</f>
        <v>78.585215999999491</v>
      </c>
      <c r="W199">
        <f>V199/(2*O199*Q199)</f>
        <v>4.7549611542377773E-2</v>
      </c>
      <c r="X199">
        <f>W199*16.02</f>
        <v>0.76174477690889186</v>
      </c>
    </row>
    <row r="200" spans="9:25" x14ac:dyDescent="0.2">
      <c r="K200">
        <v>1040.9348419999999</v>
      </c>
      <c r="L200">
        <v>-18189.608529000001</v>
      </c>
      <c r="M200">
        <v>74421.272815999997</v>
      </c>
      <c r="N200">
        <v>-1.3416030000000001</v>
      </c>
      <c r="O200">
        <v>30.449824</v>
      </c>
      <c r="P200">
        <v>90.350044999999994</v>
      </c>
      <c r="Q200">
        <v>27.051129</v>
      </c>
      <c r="R200">
        <v>2582</v>
      </c>
      <c r="S200">
        <v>1194</v>
      </c>
      <c r="T200">
        <f>S200/(S200+R200)</f>
        <v>0.31620762711864409</v>
      </c>
      <c r="U200">
        <f>-4.0574-2.4647*T200</f>
        <v>-4.8367569385593221</v>
      </c>
      <c r="V200">
        <f>L200-(SUM(R200:S200)*U200)</f>
        <v>73.985670999998547</v>
      </c>
      <c r="W200">
        <f>V200/(2*O200*Q200)</f>
        <v>4.4910453347415093E-2</v>
      </c>
      <c r="X200">
        <f>W200*16.02</f>
        <v>0.71946546262558975</v>
      </c>
    </row>
    <row r="201" spans="9:25" x14ac:dyDescent="0.2">
      <c r="K201">
        <v>1040.8839949999999</v>
      </c>
      <c r="L201">
        <v>-18109.055840000001</v>
      </c>
      <c r="M201">
        <v>74614.343825999997</v>
      </c>
      <c r="N201">
        <v>-1.159184</v>
      </c>
      <c r="O201">
        <v>30.489463000000001</v>
      </c>
      <c r="P201">
        <v>90.431522000000001</v>
      </c>
      <c r="Q201">
        <v>27.061648000000002</v>
      </c>
      <c r="R201">
        <v>2613</v>
      </c>
      <c r="S201">
        <v>1163</v>
      </c>
      <c r="T201">
        <f>S201/(S201+R201)</f>
        <v>0.3079978813559322</v>
      </c>
      <c r="U201">
        <f>-4.0574-2.4647*T201</f>
        <v>-4.8165223781779662</v>
      </c>
      <c r="V201">
        <f>L201-(SUM(R201:S201)*U201)</f>
        <v>78.132659999999305</v>
      </c>
      <c r="W201">
        <f>V201/(2*O201*Q201)</f>
        <v>4.7347668493164241E-2</v>
      </c>
      <c r="X201">
        <f>W201*16.02</f>
        <v>0.75850964926049114</v>
      </c>
    </row>
    <row r="202" spans="9:25" x14ac:dyDescent="0.2">
      <c r="X202" s="1">
        <f>AVERAGE(X197:X201)</f>
        <v>0.7294987398861813</v>
      </c>
      <c r="Y202">
        <f>STDEV(X197:X201)</f>
        <v>3.5728117048583898E-2</v>
      </c>
    </row>
    <row r="203" spans="9:25" x14ac:dyDescent="0.2">
      <c r="I203" t="s">
        <v>173</v>
      </c>
      <c r="J203">
        <v>100000</v>
      </c>
      <c r="K203">
        <v>1115.4086589999999</v>
      </c>
      <c r="L203">
        <v>-31114.432902</v>
      </c>
      <c r="M203">
        <v>128096.43260299999</v>
      </c>
      <c r="N203">
        <v>-0.79732000000000003</v>
      </c>
      <c r="O203">
        <v>39.751916000000001</v>
      </c>
      <c r="P203">
        <v>237.61933300000001</v>
      </c>
      <c r="Q203">
        <v>13.561202</v>
      </c>
      <c r="R203">
        <v>4522</v>
      </c>
      <c r="S203">
        <v>1966</v>
      </c>
      <c r="T203">
        <f>S203/(S203+R203)</f>
        <v>0.30302096177558568</v>
      </c>
      <c r="U203">
        <f>-4.0574-2.4647*T203</f>
        <v>-4.8042557644882864</v>
      </c>
      <c r="V203">
        <f>L203-(SUM(R203:S203)*U203)</f>
        <v>55.578498000002583</v>
      </c>
      <c r="W203">
        <f>V203/(2*O203*Q203)</f>
        <v>5.1549037310212514E-2</v>
      </c>
      <c r="X203">
        <f>W203*16.02</f>
        <v>0.82581557770960445</v>
      </c>
    </row>
    <row r="204" spans="9:25" x14ac:dyDescent="0.2">
      <c r="J204">
        <v>100000</v>
      </c>
      <c r="K204">
        <v>1115.7870820000001</v>
      </c>
      <c r="L204">
        <v>-30996.250530000001</v>
      </c>
      <c r="M204">
        <v>128370.31234800001</v>
      </c>
      <c r="N204">
        <v>-0.70243</v>
      </c>
      <c r="O204">
        <v>39.741250999999998</v>
      </c>
      <c r="P204">
        <v>237.57355999999999</v>
      </c>
      <c r="Q204">
        <v>13.596456999999999</v>
      </c>
      <c r="R204">
        <v>4569</v>
      </c>
      <c r="S204">
        <v>1919</v>
      </c>
      <c r="T204">
        <f>S204/(S204+R204)</f>
        <v>0.29577681874229345</v>
      </c>
      <c r="U204">
        <f>-4.0574-2.4647*T204</f>
        <v>-4.7864011251541312</v>
      </c>
      <c r="V204">
        <f>L204-(SUM(R204:S204)*U204)</f>
        <v>57.91997000000265</v>
      </c>
      <c r="W204">
        <f>V204/(2*O204*Q204)</f>
        <v>5.3595835448495832E-2</v>
      </c>
      <c r="X204">
        <f>W204*16.02</f>
        <v>0.8586052838849032</v>
      </c>
    </row>
    <row r="205" spans="9:25" x14ac:dyDescent="0.2">
      <c r="J205">
        <v>100000</v>
      </c>
      <c r="K205">
        <v>1115.260452</v>
      </c>
      <c r="L205">
        <v>-30865.900935999998</v>
      </c>
      <c r="M205">
        <v>128624.720826</v>
      </c>
      <c r="N205">
        <v>-0.93742599999999998</v>
      </c>
      <c r="O205">
        <v>39.712246999999998</v>
      </c>
      <c r="P205">
        <v>237.753308</v>
      </c>
      <c r="Q205">
        <v>13.623048000000001</v>
      </c>
      <c r="R205">
        <v>4620</v>
      </c>
      <c r="S205">
        <v>1868</v>
      </c>
      <c r="T205">
        <f>S205/(S205+R205)</f>
        <v>0.28791615289765721</v>
      </c>
      <c r="U205">
        <f>-4.0574-2.4647*T205</f>
        <v>-4.7670269420468561</v>
      </c>
      <c r="V205">
        <f>L205-(SUM(R205:S205)*U205)</f>
        <v>62.5698640000046</v>
      </c>
      <c r="W205">
        <f>V205/(2*O205*Q205)</f>
        <v>5.7827772990986681E-2</v>
      </c>
      <c r="X205">
        <f>W205*16.02</f>
        <v>0.92640092331560664</v>
      </c>
    </row>
    <row r="206" spans="9:25" x14ac:dyDescent="0.2">
      <c r="J206">
        <v>100000</v>
      </c>
      <c r="K206">
        <v>1115.6029599999999</v>
      </c>
      <c r="L206">
        <v>-31097.936376000001</v>
      </c>
      <c r="M206">
        <v>128100.487266</v>
      </c>
      <c r="N206">
        <v>-0.83060500000000004</v>
      </c>
      <c r="O206">
        <v>39.722768000000002</v>
      </c>
      <c r="P206">
        <v>237.506989</v>
      </c>
      <c r="Q206">
        <v>13.577999999999999</v>
      </c>
      <c r="R206">
        <v>4527</v>
      </c>
      <c r="S206">
        <v>1961</v>
      </c>
      <c r="T206">
        <f>S206/(S206+R206)</f>
        <v>0.3022503082614057</v>
      </c>
      <c r="U206">
        <f>-4.0574-2.4647*T206</f>
        <v>-4.8023563347718872</v>
      </c>
      <c r="V206">
        <f>L206-(SUM(R206:S206)*U206)</f>
        <v>59.751524000002973</v>
      </c>
      <c r="W206">
        <f>V206/(2*O206*Q206)</f>
        <v>5.5391571032047969E-2</v>
      </c>
      <c r="X206">
        <f>W206*16.02</f>
        <v>0.88737296793340847</v>
      </c>
    </row>
    <row r="207" spans="9:25" x14ac:dyDescent="0.2">
      <c r="J207">
        <v>100000</v>
      </c>
      <c r="K207">
        <v>1115.8991900000001</v>
      </c>
      <c r="L207">
        <v>-30990.723069</v>
      </c>
      <c r="M207">
        <v>128350.97827000001</v>
      </c>
      <c r="N207">
        <v>-0.93732400000000005</v>
      </c>
      <c r="O207">
        <v>39.746831</v>
      </c>
      <c r="P207">
        <v>237.60399200000001</v>
      </c>
      <c r="Q207">
        <v>13.590762</v>
      </c>
      <c r="R207">
        <v>4569</v>
      </c>
      <c r="S207">
        <v>1919</v>
      </c>
      <c r="T207">
        <f>S207/(S207+R207)</f>
        <v>0.29577681874229345</v>
      </c>
      <c r="U207">
        <f>-4.0574-2.4647*T207</f>
        <v>-4.7864011251541312</v>
      </c>
      <c r="V207">
        <f>L207-(SUM(R207:S207)*U207)</f>
        <v>63.447431000004144</v>
      </c>
      <c r="W207">
        <f>V207/(2*O207*Q207)</f>
        <v>5.8726988506864614E-2</v>
      </c>
      <c r="X207">
        <f>W207*16.02</f>
        <v>0.94080635587997108</v>
      </c>
    </row>
    <row r="208" spans="9:25" x14ac:dyDescent="0.2">
      <c r="X208" s="1">
        <f>AVERAGE(X203:X207)</f>
        <v>0.88780022174469875</v>
      </c>
      <c r="Y208">
        <f>STDEV(X203:X207)</f>
        <v>4.7419108638677272E-2</v>
      </c>
    </row>
    <row r="209" spans="9:25" x14ac:dyDescent="0.2">
      <c r="I209" t="s">
        <v>174</v>
      </c>
      <c r="J209">
        <v>100000</v>
      </c>
      <c r="K209">
        <v>1115.594531</v>
      </c>
      <c r="L209">
        <v>-15843.775641</v>
      </c>
      <c r="M209">
        <v>64970.671833</v>
      </c>
      <c r="N209">
        <v>-1.426993</v>
      </c>
      <c r="O209">
        <v>24.5794</v>
      </c>
      <c r="P209">
        <v>195.02765299999999</v>
      </c>
      <c r="Q209">
        <v>13.553502</v>
      </c>
      <c r="R209">
        <v>2281</v>
      </c>
      <c r="S209">
        <v>1015</v>
      </c>
      <c r="T209">
        <f>S209/(S209+R209)</f>
        <v>0.30794902912621358</v>
      </c>
      <c r="U209">
        <f>-4.0574-2.4647*T209</f>
        <v>-4.8164019720873785</v>
      </c>
      <c r="V209">
        <f>L209-(SUM(R209:S209)*U209)</f>
        <v>31.085258999999496</v>
      </c>
      <c r="W209">
        <f>V209/(2*O209*Q209)</f>
        <v>4.6655375926394654E-2</v>
      </c>
      <c r="X209">
        <f>W209*16.02</f>
        <v>0.74741912234084229</v>
      </c>
    </row>
    <row r="210" spans="9:25" x14ac:dyDescent="0.2">
      <c r="J210">
        <v>100000</v>
      </c>
      <c r="K210">
        <v>1115.870001</v>
      </c>
      <c r="L210">
        <v>-15684.630380000001</v>
      </c>
      <c r="M210">
        <v>65347.143946999997</v>
      </c>
      <c r="N210">
        <v>-1.6819360000000001</v>
      </c>
      <c r="O210">
        <v>24.606632999999999</v>
      </c>
      <c r="P210">
        <v>195.48431099999999</v>
      </c>
      <c r="Q210">
        <v>13.585141999999999</v>
      </c>
      <c r="R210">
        <v>2345</v>
      </c>
      <c r="S210">
        <v>951</v>
      </c>
      <c r="T210">
        <f>S210/(S210+R210)</f>
        <v>0.28853155339805825</v>
      </c>
      <c r="U210">
        <f>-4.0574-2.4647*T210</f>
        <v>-4.7685437196601947</v>
      </c>
      <c r="V210">
        <f>L210-(SUM(R210:S210)*U210)</f>
        <v>32.489720000001398</v>
      </c>
      <c r="W210">
        <f>V210/(2*O210*Q210)</f>
        <v>4.8595896527977016E-2</v>
      </c>
      <c r="X210">
        <f>W210*16.02</f>
        <v>0.77850626237819176</v>
      </c>
    </row>
    <row r="211" spans="9:25" x14ac:dyDescent="0.2">
      <c r="J211">
        <v>100000</v>
      </c>
      <c r="K211">
        <v>1115.6470609999999</v>
      </c>
      <c r="L211">
        <v>-15758.101994000001</v>
      </c>
      <c r="M211">
        <v>65173.682090000002</v>
      </c>
      <c r="N211">
        <v>-1.654172</v>
      </c>
      <c r="O211">
        <v>24.558135</v>
      </c>
      <c r="P211">
        <v>195.50879399999999</v>
      </c>
      <c r="Q211">
        <v>13.574140999999999</v>
      </c>
      <c r="R211">
        <v>2315</v>
      </c>
      <c r="S211">
        <v>981</v>
      </c>
      <c r="T211">
        <f>S211/(S211+R211)</f>
        <v>0.29763349514563109</v>
      </c>
      <c r="U211">
        <f>-4.0574-2.4647*T211</f>
        <v>-4.7909772754854369</v>
      </c>
      <c r="V211">
        <f>L211-(SUM(R211:S211)*U211)</f>
        <v>32.959106000000247</v>
      </c>
      <c r="W211">
        <f>V211/(2*O211*Q211)</f>
        <v>4.9435358618285234E-2</v>
      </c>
      <c r="X211">
        <f>W211*16.02</f>
        <v>0.7919544450649294</v>
      </c>
    </row>
    <row r="212" spans="9:25" x14ac:dyDescent="0.2">
      <c r="J212">
        <v>100000</v>
      </c>
      <c r="K212">
        <v>1115.2168180000001</v>
      </c>
      <c r="L212">
        <v>-15775.118654</v>
      </c>
      <c r="M212">
        <v>65121.655577999998</v>
      </c>
      <c r="N212">
        <v>-1.7292529999999999</v>
      </c>
      <c r="O212">
        <v>24.596644000000001</v>
      </c>
      <c r="P212">
        <v>195.28616199999999</v>
      </c>
      <c r="Q212">
        <v>13.557497</v>
      </c>
      <c r="R212">
        <v>2312</v>
      </c>
      <c r="S212">
        <v>984</v>
      </c>
      <c r="T212">
        <f>S212/(S212+R212)</f>
        <v>0.29854368932038833</v>
      </c>
      <c r="U212">
        <f>-4.0574-2.4647*T212</f>
        <v>-4.7932206310679613</v>
      </c>
      <c r="V212">
        <f>L212-(SUM(R212:S212)*U212)</f>
        <v>23.336546000000453</v>
      </c>
      <c r="W212">
        <f>V212/(2*O212*Q212)</f>
        <v>3.4990585469452468E-2</v>
      </c>
      <c r="X212">
        <f>W212*16.02</f>
        <v>0.56054917922062852</v>
      </c>
    </row>
    <row r="213" spans="9:25" x14ac:dyDescent="0.2">
      <c r="J213">
        <v>100000</v>
      </c>
      <c r="K213">
        <v>1115.5835360000001</v>
      </c>
      <c r="L213">
        <v>-15619.713435</v>
      </c>
      <c r="M213">
        <v>65492.854721999996</v>
      </c>
      <c r="N213">
        <v>-1.682485</v>
      </c>
      <c r="O213">
        <v>24.618635000000001</v>
      </c>
      <c r="P213">
        <v>195.51155900000001</v>
      </c>
      <c r="Q213">
        <v>13.606904999999999</v>
      </c>
      <c r="R213">
        <v>2370</v>
      </c>
      <c r="S213">
        <v>926</v>
      </c>
      <c r="T213">
        <f>S213/(S213+R213)</f>
        <v>0.28094660194174759</v>
      </c>
      <c r="U213">
        <f>-4.0574-2.4647*T213</f>
        <v>-4.7498490898058261</v>
      </c>
      <c r="V213">
        <f>L213-(SUM(R213:S213)*U213)</f>
        <v>35.789165000003777</v>
      </c>
      <c r="W213">
        <f>V213/(2*O213*Q213)</f>
        <v>5.3419306812337371E-2</v>
      </c>
      <c r="X213">
        <f>W213*16.02</f>
        <v>0.85577729513364464</v>
      </c>
    </row>
    <row r="214" spans="9:25" x14ac:dyDescent="0.2">
      <c r="X214" s="1">
        <f>AVERAGE(X209:X213)</f>
        <v>0.74684126082764735</v>
      </c>
      <c r="Y214">
        <f>STDEV(X209:X213)</f>
        <v>0.11136651749846622</v>
      </c>
    </row>
    <row r="215" spans="9:25" x14ac:dyDescent="0.2">
      <c r="I215" t="s">
        <v>175</v>
      </c>
      <c r="J215">
        <v>100000</v>
      </c>
      <c r="K215">
        <v>1115.5950230000001</v>
      </c>
      <c r="L215">
        <v>-22715.480471999999</v>
      </c>
      <c r="M215">
        <v>93967.809475999995</v>
      </c>
      <c r="N215">
        <v>-1.0180610000000001</v>
      </c>
      <c r="O215">
        <v>34.079447000000002</v>
      </c>
      <c r="P215">
        <v>202.75157400000001</v>
      </c>
      <c r="Q215">
        <v>13.59951</v>
      </c>
      <c r="R215">
        <v>3341</v>
      </c>
      <c r="S215">
        <v>1411</v>
      </c>
      <c r="T215">
        <f>S215/(S215+R215)</f>
        <v>0.29692760942760943</v>
      </c>
      <c r="U215">
        <f>-4.0574-2.4647*T215</f>
        <v>-4.7892374789562293</v>
      </c>
      <c r="V215">
        <f>L215-(SUM(R215:S215)*U215)</f>
        <v>42.976028000000952</v>
      </c>
      <c r="W215">
        <f>V215/(2*O215*Q215)</f>
        <v>4.6363955318012622E-2</v>
      </c>
      <c r="X215">
        <f>W215*16.02</f>
        <v>0.7427505641945622</v>
      </c>
    </row>
    <row r="216" spans="9:25" x14ac:dyDescent="0.2">
      <c r="J216">
        <v>100000</v>
      </c>
      <c r="K216">
        <v>1115.5999340000001</v>
      </c>
      <c r="L216">
        <v>-22700.743470000001</v>
      </c>
      <c r="M216">
        <v>93980.167404000007</v>
      </c>
      <c r="N216">
        <v>-1.1435489999999999</v>
      </c>
      <c r="O216">
        <v>34.114176</v>
      </c>
      <c r="P216">
        <v>202.87130500000001</v>
      </c>
      <c r="Q216">
        <v>13.579440999999999</v>
      </c>
      <c r="R216">
        <v>3351</v>
      </c>
      <c r="S216">
        <v>1401</v>
      </c>
      <c r="T216">
        <f>S216/(S216+R216)</f>
        <v>0.29482323232323232</v>
      </c>
      <c r="U216">
        <f>-4.0574-2.4647*T216</f>
        <v>-4.7840508207070709</v>
      </c>
      <c r="V216">
        <f>L216-(SUM(R216:S216)*U216)</f>
        <v>33.066029999998136</v>
      </c>
      <c r="W216">
        <f>V216/(2*O216*Q216)</f>
        <v>3.5689074147025573E-2</v>
      </c>
      <c r="X216">
        <f>W216*16.02</f>
        <v>0.57173896783534972</v>
      </c>
    </row>
    <row r="217" spans="9:25" x14ac:dyDescent="0.2">
      <c r="J217">
        <v>100000</v>
      </c>
      <c r="K217">
        <v>1115.8078169999999</v>
      </c>
      <c r="L217">
        <v>-22670.927116999999</v>
      </c>
      <c r="M217">
        <v>94079.617396000001</v>
      </c>
      <c r="N217">
        <v>-1.0123009999999999</v>
      </c>
      <c r="O217">
        <v>34.109473999999999</v>
      </c>
      <c r="P217">
        <v>202.93095600000001</v>
      </c>
      <c r="Q217">
        <v>13.591699999999999</v>
      </c>
      <c r="R217">
        <v>3357</v>
      </c>
      <c r="S217">
        <v>1395</v>
      </c>
      <c r="T217">
        <f>S217/(S217+R217)</f>
        <v>0.29356060606060608</v>
      </c>
      <c r="U217">
        <f>-4.0574-2.4647*T217</f>
        <v>-4.780938825757576</v>
      </c>
      <c r="V217">
        <f>L217-(SUM(R217:S217)*U217)</f>
        <v>48.094183000001067</v>
      </c>
      <c r="W217">
        <f>V217/(2*O217*Q217)</f>
        <v>5.1869702078942814E-2</v>
      </c>
      <c r="X217">
        <f>W217*16.02</f>
        <v>0.8309526273046639</v>
      </c>
    </row>
    <row r="218" spans="9:25" x14ac:dyDescent="0.2">
      <c r="J218">
        <v>100000</v>
      </c>
      <c r="K218">
        <v>1115.360136</v>
      </c>
      <c r="L218">
        <v>-22736.395380000002</v>
      </c>
      <c r="M218">
        <v>93941.472714999996</v>
      </c>
      <c r="N218">
        <v>-1.0863799999999999</v>
      </c>
      <c r="O218">
        <v>34.117052000000001</v>
      </c>
      <c r="P218">
        <v>202.88838200000001</v>
      </c>
      <c r="Q218">
        <v>13.571561000000001</v>
      </c>
      <c r="R218">
        <v>3330</v>
      </c>
      <c r="S218">
        <v>1422</v>
      </c>
      <c r="T218">
        <f>S218/(S218+R218)</f>
        <v>0.29924242424242425</v>
      </c>
      <c r="U218">
        <f>-4.0574-2.4647*T218</f>
        <v>-4.7949428030303034</v>
      </c>
      <c r="V218">
        <f>L218-(SUM(R218:S218)*U218)</f>
        <v>49.172819999999774</v>
      </c>
      <c r="W218">
        <f>V218/(2*O218*Q218)</f>
        <v>5.3099914172007191E-2</v>
      </c>
      <c r="X218">
        <f>W218*16.02</f>
        <v>0.85066062503555517</v>
      </c>
    </row>
    <row r="219" spans="9:25" x14ac:dyDescent="0.2">
      <c r="J219">
        <v>100000</v>
      </c>
      <c r="K219">
        <v>1115.187471</v>
      </c>
      <c r="L219">
        <v>-22954.980973000002</v>
      </c>
      <c r="M219">
        <v>93414.93475</v>
      </c>
      <c r="N219">
        <v>-1.176944</v>
      </c>
      <c r="O219">
        <v>34.023650000000004</v>
      </c>
      <c r="P219">
        <v>202.42945499999999</v>
      </c>
      <c r="Q219">
        <v>13.563216000000001</v>
      </c>
      <c r="R219">
        <v>3249</v>
      </c>
      <c r="S219">
        <v>1503</v>
      </c>
      <c r="T219">
        <f>S219/(S219+R219)</f>
        <v>0.31628787878787878</v>
      </c>
      <c r="U219">
        <f>-4.0574-2.4647*T219</f>
        <v>-4.8369547348484856</v>
      </c>
      <c r="V219">
        <f>L219-(SUM(R219:S219)*U219)</f>
        <v>30.227927000003547</v>
      </c>
      <c r="W219">
        <f>V219/(2*O219*Q219)</f>
        <v>3.2751771002204208E-2</v>
      </c>
      <c r="X219">
        <f>W219*16.02</f>
        <v>0.52468337145531141</v>
      </c>
    </row>
    <row r="220" spans="9:25" x14ac:dyDescent="0.2">
      <c r="X220" s="1">
        <f>AVERAGE(X215:X219)</f>
        <v>0.70415723116508855</v>
      </c>
      <c r="Y220">
        <f>STDEV(X215:X219)</f>
        <v>0.14897585797241555</v>
      </c>
    </row>
    <row r="221" spans="9:25" x14ac:dyDescent="0.2">
      <c r="I221" t="s">
        <v>111</v>
      </c>
      <c r="K221">
        <v>1040.752295</v>
      </c>
      <c r="L221">
        <v>-18439.080646999999</v>
      </c>
      <c r="M221">
        <v>75225.352677999996</v>
      </c>
      <c r="N221">
        <v>-1.1493390000000001</v>
      </c>
      <c r="O221">
        <v>30.488841000000001</v>
      </c>
      <c r="P221">
        <v>181.958912</v>
      </c>
      <c r="Q221">
        <v>13.559744999999999</v>
      </c>
      <c r="R221">
        <v>2624</v>
      </c>
      <c r="S221">
        <v>1200</v>
      </c>
      <c r="T221">
        <f>S221/(S221+R221)</f>
        <v>0.31380753138075312</v>
      </c>
      <c r="U221">
        <f>-4.0574-2.4647*T221</f>
        <v>-4.8308414225941423</v>
      </c>
      <c r="V221">
        <f>L221-(SUM(R221:S221)*U221)</f>
        <v>34.056953000002977</v>
      </c>
      <c r="W221">
        <f>V221/(2*O221*Q221)</f>
        <v>4.1189199957509491E-2</v>
      </c>
      <c r="X221">
        <f>W221*16.02</f>
        <v>0.65985098331930203</v>
      </c>
    </row>
    <row r="222" spans="9:25" x14ac:dyDescent="0.2">
      <c r="K222">
        <v>1040.6555499999999</v>
      </c>
      <c r="L222">
        <v>-18417.948927000001</v>
      </c>
      <c r="M222">
        <v>75243.890173000007</v>
      </c>
      <c r="N222">
        <v>-1.215414</v>
      </c>
      <c r="O222">
        <v>30.492481000000002</v>
      </c>
      <c r="P222">
        <v>181.75269700000001</v>
      </c>
      <c r="Q222">
        <v>13.576855</v>
      </c>
      <c r="R222">
        <v>2625</v>
      </c>
      <c r="S222">
        <v>1197</v>
      </c>
      <c r="T222">
        <f>S222/(S222+R222)</f>
        <v>0.31318681318681318</v>
      </c>
      <c r="U222">
        <f>-4.0574-2.4647*T222</f>
        <v>-4.829311538461539</v>
      </c>
      <c r="V222">
        <f>L222-(SUM(R222:S222)*U222)</f>
        <v>39.679772999999841</v>
      </c>
      <c r="W222">
        <f>V222/(2*O222*Q222)</f>
        <v>4.7923358010215029E-2</v>
      </c>
      <c r="X222">
        <f>W222*16.02</f>
        <v>0.76773219532364478</v>
      </c>
    </row>
    <row r="223" spans="9:25" x14ac:dyDescent="0.2">
      <c r="K223">
        <v>1040.9570100000001</v>
      </c>
      <c r="L223">
        <v>-18418.823531999999</v>
      </c>
      <c r="M223">
        <v>75300.153174000006</v>
      </c>
      <c r="N223">
        <v>-1.3407439999999999</v>
      </c>
      <c r="O223">
        <v>30.487694000000001</v>
      </c>
      <c r="P223">
        <v>181.98013700000001</v>
      </c>
      <c r="Q223">
        <v>13.572169000000001</v>
      </c>
      <c r="R223">
        <v>2628</v>
      </c>
      <c r="S223">
        <v>1196</v>
      </c>
      <c r="T223">
        <f>S223/(S223+R223)</f>
        <v>0.31276150627615062</v>
      </c>
      <c r="U223">
        <f>-4.0574-2.4647*T223</f>
        <v>-4.8282632845188287</v>
      </c>
      <c r="V223">
        <f>L223-(SUM(R223:S223)*U223)</f>
        <v>44.455268000001524</v>
      </c>
      <c r="W223">
        <f>V223/(2*O223*Q223)</f>
        <v>5.3717946385602323E-2</v>
      </c>
      <c r="X223">
        <f>W223*16.02</f>
        <v>0.86056150109734919</v>
      </c>
    </row>
    <row r="224" spans="9:25" x14ac:dyDescent="0.2">
      <c r="K224">
        <v>1040.884816</v>
      </c>
      <c r="L224">
        <v>-18356.585096999999</v>
      </c>
      <c r="M224">
        <v>75462.172122999997</v>
      </c>
      <c r="N224">
        <v>-1.2442439999999999</v>
      </c>
      <c r="O224">
        <v>30.516562</v>
      </c>
      <c r="P224">
        <v>181.926998</v>
      </c>
      <c r="Q224">
        <v>13.592477000000001</v>
      </c>
      <c r="R224">
        <v>2654</v>
      </c>
      <c r="S224">
        <v>1170</v>
      </c>
      <c r="T224">
        <f>S224/(S224+R224)</f>
        <v>0.30596234309623432</v>
      </c>
      <c r="U224">
        <f>-4.0574-2.4647*T224</f>
        <v>-4.811505387029289</v>
      </c>
      <c r="V224">
        <f>L224-(SUM(R224:S224)*U224)</f>
        <v>42.611503000000084</v>
      </c>
      <c r="W224">
        <f>V224/(2*O224*Q224)</f>
        <v>5.1364450474489495E-2</v>
      </c>
      <c r="X224">
        <f>W224*16.02</f>
        <v>0.82285849660132171</v>
      </c>
    </row>
    <row r="225" spans="9:25" x14ac:dyDescent="0.2">
      <c r="K225">
        <v>1041.200139</v>
      </c>
      <c r="L225">
        <v>-18390.464509000001</v>
      </c>
      <c r="M225">
        <v>75381.953336999999</v>
      </c>
      <c r="N225">
        <v>-1.1921349999999999</v>
      </c>
      <c r="O225">
        <v>30.507607</v>
      </c>
      <c r="P225">
        <v>182.20069100000001</v>
      </c>
      <c r="Q225">
        <v>13.56161</v>
      </c>
      <c r="R225">
        <v>2643</v>
      </c>
      <c r="S225">
        <v>1181</v>
      </c>
      <c r="T225">
        <f>S225/(S225+R225)</f>
        <v>0.3088389121338912</v>
      </c>
      <c r="U225">
        <f>-4.0574-2.4647*T225</f>
        <v>-4.818595266736402</v>
      </c>
      <c r="V225">
        <f>L225-(SUM(R225:S225)*U225)</f>
        <v>35.843790999999328</v>
      </c>
      <c r="W225">
        <f>V225/(2*O225*Q225)</f>
        <v>4.3317615953401847E-2</v>
      </c>
      <c r="X225">
        <f>W225*16.02</f>
        <v>0.69394820757349762</v>
      </c>
    </row>
    <row r="226" spans="9:25" x14ac:dyDescent="0.2">
      <c r="X226" s="1">
        <f>AVERAGE(X221:X225)</f>
        <v>0.76099027678302311</v>
      </c>
      <c r="Y226">
        <f>STDEV(X221:X225)</f>
        <v>8.4426528009244578E-2</v>
      </c>
    </row>
    <row r="227" spans="9:25" x14ac:dyDescent="0.2">
      <c r="X227" s="1"/>
    </row>
    <row r="228" spans="9:25" x14ac:dyDescent="0.2">
      <c r="I228">
        <v>600</v>
      </c>
      <c r="J228" t="s">
        <v>176</v>
      </c>
      <c r="K228" t="s">
        <v>18</v>
      </c>
      <c r="L228" t="s">
        <v>5</v>
      </c>
      <c r="M228" t="s">
        <v>7</v>
      </c>
      <c r="N228" t="s">
        <v>19</v>
      </c>
      <c r="O228" t="s">
        <v>20</v>
      </c>
      <c r="P228" t="s">
        <v>21</v>
      </c>
      <c r="Q228" t="s">
        <v>22</v>
      </c>
      <c r="R228" t="s">
        <v>4</v>
      </c>
      <c r="S228" t="s">
        <v>10</v>
      </c>
      <c r="T228" t="s">
        <v>13</v>
      </c>
      <c r="U228" t="s">
        <v>26</v>
      </c>
      <c r="V228" t="s">
        <v>12</v>
      </c>
      <c r="W228" t="s">
        <v>23</v>
      </c>
      <c r="X228" t="s">
        <v>23</v>
      </c>
    </row>
    <row r="229" spans="9:25" x14ac:dyDescent="0.2">
      <c r="I229" t="s">
        <v>55</v>
      </c>
      <c r="K229">
        <v>520.61654199999998</v>
      </c>
      <c r="L229">
        <v>-19134.294545000001</v>
      </c>
      <c r="M229">
        <v>75250.079968000005</v>
      </c>
      <c r="N229">
        <v>-0.45777299999999999</v>
      </c>
      <c r="O229">
        <v>30.566894000000001</v>
      </c>
      <c r="P229">
        <v>182.29586499999999</v>
      </c>
      <c r="Q229">
        <v>13.504530000000001</v>
      </c>
      <c r="R229">
        <v>2690</v>
      </c>
      <c r="S229">
        <v>1214</v>
      </c>
      <c r="T229">
        <f>S229/(S229+R229)</f>
        <v>0.31096311475409838</v>
      </c>
      <c r="U229">
        <f>-4.142-2.4635*T229</f>
        <v>-4.9080576331967212</v>
      </c>
      <c r="V229">
        <f>L229-(SUM(R229:S229)*U229)</f>
        <v>26.762455000000045</v>
      </c>
      <c r="W229">
        <f>V229/(2*O229*Q229)</f>
        <v>3.2416428874202825E-2</v>
      </c>
      <c r="X229">
        <f>W229*16.02</f>
        <v>0.5193111905647293</v>
      </c>
    </row>
    <row r="230" spans="9:25" x14ac:dyDescent="0.2">
      <c r="K230">
        <v>520.52879299999995</v>
      </c>
      <c r="L230">
        <v>-19149.608124999999</v>
      </c>
      <c r="M230">
        <v>75215.800155999998</v>
      </c>
      <c r="N230">
        <v>-0.45122800000000002</v>
      </c>
      <c r="O230">
        <v>30.586559000000001</v>
      </c>
      <c r="P230">
        <v>182.06803300000001</v>
      </c>
      <c r="Q230">
        <v>13.506584</v>
      </c>
      <c r="R230">
        <v>2683</v>
      </c>
      <c r="S230">
        <v>1221</v>
      </c>
      <c r="T230">
        <f>S230/(S230+R230)</f>
        <v>0.31275614754098363</v>
      </c>
      <c r="U230">
        <f>-4.142-2.4635*T230</f>
        <v>-4.9124747694672131</v>
      </c>
      <c r="V230">
        <f>L230-(SUM(R230:S230)*U230)</f>
        <v>28.693375000002561</v>
      </c>
      <c r="W230">
        <f>V230/(2*O230*Q230)</f>
        <v>3.4727657790343799E-2</v>
      </c>
      <c r="X230">
        <f>W230*16.02</f>
        <v>0.5563370778013077</v>
      </c>
    </row>
    <row r="231" spans="9:25" x14ac:dyDescent="0.2">
      <c r="K231">
        <v>520.47215500000004</v>
      </c>
      <c r="L231">
        <v>-19146.119548999999</v>
      </c>
      <c r="M231">
        <v>75199.118105999994</v>
      </c>
      <c r="N231">
        <v>-0.50295400000000001</v>
      </c>
      <c r="O231">
        <v>30.527553000000001</v>
      </c>
      <c r="P231">
        <v>182.45774700000001</v>
      </c>
      <c r="Q231">
        <v>13.500788</v>
      </c>
      <c r="R231">
        <v>2684</v>
      </c>
      <c r="S231">
        <v>1220</v>
      </c>
      <c r="T231">
        <f>S231/(S231+R231)</f>
        <v>0.3125</v>
      </c>
      <c r="U231">
        <f>-4.142-2.4635*T231</f>
        <v>-4.9118437500000001</v>
      </c>
      <c r="V231">
        <f>L231-(SUM(R231:S231)*U231)</f>
        <v>29.718451000000641</v>
      </c>
      <c r="W231">
        <f>V231/(2*O231*Q231)</f>
        <v>3.6053303283899781E-2</v>
      </c>
      <c r="X231">
        <f>W231*16.02</f>
        <v>0.5775739186080745</v>
      </c>
    </row>
    <row r="232" spans="9:25" x14ac:dyDescent="0.2">
      <c r="K232">
        <v>520.49327700000003</v>
      </c>
      <c r="L232">
        <v>-19073.474441999999</v>
      </c>
      <c r="M232">
        <v>75393.476332999999</v>
      </c>
      <c r="N232">
        <v>-0.51474900000000001</v>
      </c>
      <c r="O232">
        <v>30.567577</v>
      </c>
      <c r="P232">
        <v>182.380279</v>
      </c>
      <c r="Q232">
        <v>13.523701000000001</v>
      </c>
      <c r="R232">
        <v>2713</v>
      </c>
      <c r="S232">
        <v>1191</v>
      </c>
      <c r="T232">
        <f>S232/(S232+R232)</f>
        <v>0.30507172131147542</v>
      </c>
      <c r="U232">
        <f>-4.142-2.4635*T232</f>
        <v>-4.8935441854508195</v>
      </c>
      <c r="V232">
        <f>L232-(SUM(R232:S232)*U232)</f>
        <v>30.922058000000106</v>
      </c>
      <c r="W232">
        <f>V232/(2*O232*Q232)</f>
        <v>3.7400879903752043E-2</v>
      </c>
      <c r="X232">
        <f>W232*16.02</f>
        <v>0.59916209605810777</v>
      </c>
    </row>
    <row r="233" spans="9:25" x14ac:dyDescent="0.2">
      <c r="K233">
        <v>520.502792</v>
      </c>
      <c r="L233">
        <v>-19105.850674000001</v>
      </c>
      <c r="M233">
        <v>75294.544758000004</v>
      </c>
      <c r="N233">
        <v>-0.51161800000000002</v>
      </c>
      <c r="O233">
        <v>30.566700000000001</v>
      </c>
      <c r="P233">
        <v>182.344335</v>
      </c>
      <c r="Q233">
        <v>13.509005999999999</v>
      </c>
      <c r="R233">
        <v>2702</v>
      </c>
      <c r="S233">
        <v>1202</v>
      </c>
      <c r="T233">
        <f>S233/(S233+R233)</f>
        <v>0.30788934426229508</v>
      </c>
      <c r="U233">
        <f>-4.142-2.4635*T233</f>
        <v>-4.9004853995901643</v>
      </c>
      <c r="V233">
        <f>L233-(SUM(R233:S233)*U233)</f>
        <v>25.644326000001456</v>
      </c>
      <c r="W233">
        <f>V233/(2*O233*Q233)</f>
        <v>3.105198333148719E-2</v>
      </c>
      <c r="X233">
        <f>W233*16.02</f>
        <v>0.49745277297042478</v>
      </c>
    </row>
    <row r="234" spans="9:25" x14ac:dyDescent="0.2">
      <c r="X234" s="1">
        <f>AVERAGE(X229:X233)</f>
        <v>0.54996741120052894</v>
      </c>
      <c r="Y234">
        <f>STDEV(X229:X233)</f>
        <v>4.1594470829047651E-2</v>
      </c>
    </row>
    <row r="235" spans="9:25" x14ac:dyDescent="0.2">
      <c r="I235" t="s">
        <v>133</v>
      </c>
      <c r="J235">
        <v>100000</v>
      </c>
      <c r="K235">
        <v>557.91286600000001</v>
      </c>
      <c r="L235">
        <v>-15498.715118</v>
      </c>
      <c r="M235">
        <v>61121.310616000002</v>
      </c>
      <c r="N235">
        <v>-0.82497200000000004</v>
      </c>
      <c r="O235">
        <v>23.883576000000001</v>
      </c>
      <c r="P235">
        <v>189.401149</v>
      </c>
      <c r="Q235">
        <v>13.511752</v>
      </c>
      <c r="R235">
        <v>2195</v>
      </c>
      <c r="S235">
        <v>973</v>
      </c>
      <c r="T235">
        <f>S235/(S235+R235)</f>
        <v>0.3071338383838384</v>
      </c>
      <c r="U235">
        <f>-4.142-2.4635*T235</f>
        <v>-4.8986242108585865</v>
      </c>
      <c r="V235">
        <f>L235-(SUM(R235:S235)*U235)</f>
        <v>20.126382000002195</v>
      </c>
      <c r="W235">
        <f>V235/(2*O235*Q235)</f>
        <v>3.1183488464140451E-2</v>
      </c>
      <c r="X235">
        <f>W235*16.02</f>
        <v>0.49955948519553001</v>
      </c>
    </row>
    <row r="236" spans="9:25" x14ac:dyDescent="0.2">
      <c r="J236">
        <v>100000</v>
      </c>
      <c r="K236">
        <v>558.06802100000004</v>
      </c>
      <c r="L236">
        <v>-15465.694821999999</v>
      </c>
      <c r="M236">
        <v>61210.369738000001</v>
      </c>
      <c r="N236">
        <v>-0.66540100000000002</v>
      </c>
      <c r="O236">
        <v>23.874207999999999</v>
      </c>
      <c r="P236">
        <v>189.780225</v>
      </c>
      <c r="Q236">
        <v>13.509705</v>
      </c>
      <c r="R236">
        <v>2207</v>
      </c>
      <c r="S236">
        <v>961</v>
      </c>
      <c r="T236">
        <f>S236/(S236+R236)</f>
        <v>0.30334595959595961</v>
      </c>
      <c r="U236">
        <f>-4.142-2.4635*T236</f>
        <v>-4.889292771464647</v>
      </c>
      <c r="V236">
        <f>L236-(SUM(R236:S236)*U236)</f>
        <v>23.584678000002896</v>
      </c>
      <c r="W236">
        <f>V236/(2*O236*Q236)</f>
        <v>3.6561593562136382E-2</v>
      </c>
      <c r="X236">
        <f>W236*16.02</f>
        <v>0.58571672886542481</v>
      </c>
    </row>
    <row r="237" spans="9:25" x14ac:dyDescent="0.2">
      <c r="J237">
        <v>100000</v>
      </c>
      <c r="K237">
        <v>557.91772400000002</v>
      </c>
      <c r="L237">
        <v>-15495.93259</v>
      </c>
      <c r="M237">
        <v>61136.840120000001</v>
      </c>
      <c r="N237">
        <v>-0.75430900000000001</v>
      </c>
      <c r="O237">
        <v>23.886419</v>
      </c>
      <c r="P237">
        <v>189.45989700000001</v>
      </c>
      <c r="Q237">
        <v>13.509385999999999</v>
      </c>
      <c r="R237">
        <v>2195</v>
      </c>
      <c r="S237">
        <v>973</v>
      </c>
      <c r="T237">
        <f t="shared" ref="T237:T239" si="20">S237/(S237+R237)</f>
        <v>0.3071338383838384</v>
      </c>
      <c r="U237">
        <f>-4.142-2.4635*T237</f>
        <v>-4.8986242108585865</v>
      </c>
      <c r="V237">
        <f>L237-(SUM(R237:S237)*U237)</f>
        <v>22.908910000001924</v>
      </c>
      <c r="W237">
        <f>V237/(2*O237*Q237)</f>
        <v>3.5496683103334335E-2</v>
      </c>
      <c r="X237">
        <f>W237*16.02</f>
        <v>0.56865686331541598</v>
      </c>
    </row>
    <row r="238" spans="9:25" x14ac:dyDescent="0.2">
      <c r="J238">
        <v>100000</v>
      </c>
      <c r="K238">
        <v>557.91406600000005</v>
      </c>
      <c r="L238">
        <v>-15285.656333000001</v>
      </c>
      <c r="M238">
        <v>61630.710656000003</v>
      </c>
      <c r="N238">
        <v>-0.80377799999999999</v>
      </c>
      <c r="O238">
        <v>23.955793</v>
      </c>
      <c r="P238">
        <v>190.144238</v>
      </c>
      <c r="Q238">
        <v>13.53021</v>
      </c>
      <c r="R238">
        <v>2278</v>
      </c>
      <c r="S238">
        <v>890</v>
      </c>
      <c r="T238">
        <f t="shared" si="20"/>
        <v>0.28093434343434343</v>
      </c>
      <c r="U238">
        <f>-4.142-2.4635*T238</f>
        <v>-4.8340817550505051</v>
      </c>
      <c r="V238">
        <f>L238-(SUM(R238:S238)*U238)</f>
        <v>28.714666999998371</v>
      </c>
      <c r="W238">
        <f>V238/(2*O238*Q238)</f>
        <v>4.4295407313480813E-2</v>
      </c>
      <c r="X238">
        <f>W238*16.02</f>
        <v>0.70961242516196255</v>
      </c>
    </row>
    <row r="239" spans="9:25" x14ac:dyDescent="0.2">
      <c r="J239">
        <v>100000</v>
      </c>
      <c r="K239">
        <v>557.91559400000006</v>
      </c>
      <c r="L239">
        <v>-15387.57855</v>
      </c>
      <c r="M239">
        <v>61398.439234999998</v>
      </c>
      <c r="N239">
        <v>-0.74175999999999997</v>
      </c>
      <c r="O239">
        <v>23.895624000000002</v>
      </c>
      <c r="P239">
        <v>189.80731499999999</v>
      </c>
      <c r="Q239">
        <v>13.537141999999999</v>
      </c>
      <c r="R239">
        <v>2237</v>
      </c>
      <c r="S239">
        <v>931</v>
      </c>
      <c r="T239">
        <f t="shared" si="20"/>
        <v>0.29387626262626265</v>
      </c>
      <c r="U239">
        <f>-4.142-2.4635*T239</f>
        <v>-4.8659641729797984</v>
      </c>
      <c r="V239">
        <f>L239-(SUM(R239:S239)*U239)</f>
        <v>27.79595000000154</v>
      </c>
      <c r="W239">
        <f>V239/(2*O239*Q239)</f>
        <v>4.2964144207212146E-2</v>
      </c>
      <c r="X239">
        <f>W239*16.02</f>
        <v>0.68828559019953861</v>
      </c>
    </row>
    <row r="240" spans="9:25" x14ac:dyDescent="0.2">
      <c r="X240" s="1">
        <f>AVERAGE(X235:X239)</f>
        <v>0.61036621854757445</v>
      </c>
      <c r="Y240">
        <f>STDEV(X235:X239)</f>
        <v>8.7387982322523455E-2</v>
      </c>
    </row>
    <row r="241" spans="9:32" x14ac:dyDescent="0.2">
      <c r="I241" t="s">
        <v>28</v>
      </c>
      <c r="K241">
        <v>557.99149499999999</v>
      </c>
      <c r="L241">
        <v>-12097.936887</v>
      </c>
      <c r="M241">
        <v>47700.921222999998</v>
      </c>
      <c r="N241">
        <v>-0.87090800000000002</v>
      </c>
      <c r="O241">
        <v>34.445160999999999</v>
      </c>
      <c r="P241">
        <v>137.00738899999999</v>
      </c>
      <c r="Q241">
        <v>10.107779000000001</v>
      </c>
      <c r="R241">
        <v>1706</v>
      </c>
      <c r="S241">
        <v>766</v>
      </c>
      <c r="T241">
        <f>S241/(S241+R241)</f>
        <v>0.30987055016181231</v>
      </c>
      <c r="U241">
        <f>-4.142-2.4635*T241</f>
        <v>-4.9053661003236249</v>
      </c>
      <c r="V241">
        <f>L241-(SUM(R241:S241)*U241)</f>
        <v>28.128113000000667</v>
      </c>
      <c r="W241">
        <f>V241/(2*O241*Q241)</f>
        <v>4.0394910071352548E-2</v>
      </c>
      <c r="X241">
        <f>W241*16.02</f>
        <v>0.64712645934306778</v>
      </c>
    </row>
    <row r="242" spans="9:32" x14ac:dyDescent="0.2">
      <c r="K242">
        <v>558.04332199999999</v>
      </c>
      <c r="L242">
        <v>-12097.15784</v>
      </c>
      <c r="M242">
        <v>47717.242194999999</v>
      </c>
      <c r="N242">
        <v>-0.96254499999999998</v>
      </c>
      <c r="O242">
        <v>34.518174999999999</v>
      </c>
      <c r="P242">
        <v>136.99037799999999</v>
      </c>
      <c r="Q242">
        <v>10.091098000000001</v>
      </c>
      <c r="R242">
        <v>1706</v>
      </c>
      <c r="S242">
        <v>766</v>
      </c>
      <c r="T242">
        <f>S242/(S242+R242)</f>
        <v>0.30987055016181231</v>
      </c>
      <c r="U242">
        <f>-4.142-2.4635*T242</f>
        <v>-4.9053661003236249</v>
      </c>
      <c r="V242">
        <f>L242-(SUM(R242:S242)*U242)</f>
        <v>28.907160000000658</v>
      </c>
      <c r="W242">
        <f>V242/(2*O242*Q242)</f>
        <v>4.1494370512993893E-2</v>
      </c>
      <c r="X242">
        <f>W242*16.02</f>
        <v>0.6647398156181622</v>
      </c>
    </row>
    <row r="243" spans="9:32" x14ac:dyDescent="0.2">
      <c r="K243">
        <v>557.89942099999996</v>
      </c>
      <c r="L243">
        <v>-12086.700988000001</v>
      </c>
      <c r="M243">
        <v>47726.470824000004</v>
      </c>
      <c r="N243">
        <v>-0.89289300000000005</v>
      </c>
      <c r="O243">
        <v>34.436793999999999</v>
      </c>
      <c r="P243">
        <v>136.95424299999999</v>
      </c>
      <c r="Q243">
        <v>10.119576</v>
      </c>
      <c r="R243">
        <v>1712</v>
      </c>
      <c r="S243">
        <v>760</v>
      </c>
      <c r="T243">
        <f>S243/(S243+R243)</f>
        <v>0.30744336569579289</v>
      </c>
      <c r="U243">
        <f>-4.142-2.4635*T243</f>
        <v>-4.8993867313915862</v>
      </c>
      <c r="V243">
        <f>L243-(SUM(R243:S243)*U243)</f>
        <v>24.583012000000963</v>
      </c>
      <c r="W243">
        <f>V243/(2*O243*Q243)</f>
        <v>3.5271186429049618E-2</v>
      </c>
      <c r="X243">
        <f>W243*16.02</f>
        <v>0.56504440659337485</v>
      </c>
    </row>
    <row r="244" spans="9:32" x14ac:dyDescent="0.2">
      <c r="K244">
        <v>557.80249300000003</v>
      </c>
      <c r="L244">
        <v>-12105.797864</v>
      </c>
      <c r="M244">
        <v>47703.328864000003</v>
      </c>
      <c r="N244">
        <v>-0.96896899999999997</v>
      </c>
      <c r="O244">
        <v>34.421824999999998</v>
      </c>
      <c r="P244">
        <v>137.18641299999999</v>
      </c>
      <c r="Q244">
        <v>10.101936</v>
      </c>
      <c r="R244">
        <v>1702</v>
      </c>
      <c r="S244">
        <v>770</v>
      </c>
      <c r="T244">
        <f>S244/(S244+R244)</f>
        <v>0.31148867313915857</v>
      </c>
      <c r="U244">
        <f>-4.142-2.4635*T244</f>
        <v>-4.9093523462783173</v>
      </c>
      <c r="V244">
        <f>L244-(SUM(R244:S244)*U244)</f>
        <v>30.121135999999751</v>
      </c>
      <c r="W244">
        <f>V244/(2*O244*Q244)</f>
        <v>4.3311462243736658E-2</v>
      </c>
      <c r="X244">
        <f>W244*16.02</f>
        <v>0.6938496251446612</v>
      </c>
    </row>
    <row r="245" spans="9:32" x14ac:dyDescent="0.2">
      <c r="K245">
        <v>557.94346499999995</v>
      </c>
      <c r="L245">
        <v>-12082.869586999999</v>
      </c>
      <c r="M245">
        <v>47748.641379000001</v>
      </c>
      <c r="N245">
        <v>-1.169163</v>
      </c>
      <c r="O245">
        <v>34.527861999999999</v>
      </c>
      <c r="P245">
        <v>136.97031999999999</v>
      </c>
      <c r="Q245">
        <v>10.096386000000001</v>
      </c>
      <c r="R245">
        <v>1711</v>
      </c>
      <c r="S245">
        <v>761</v>
      </c>
      <c r="T245">
        <f>S245/(S245+R245)</f>
        <v>0.30784789644012944</v>
      </c>
      <c r="U245">
        <f>-4.142-2.4635*T245</f>
        <v>-4.9003832928802593</v>
      </c>
      <c r="V245">
        <f>L245-(SUM(R245:S245)*U245)</f>
        <v>30.877913000002081</v>
      </c>
      <c r="W245">
        <f>V245/(2*O245*Q245)</f>
        <v>4.428761676695598E-2</v>
      </c>
      <c r="X245">
        <f>W245*16.02</f>
        <v>0.70948762060663473</v>
      </c>
    </row>
    <row r="246" spans="9:32" x14ac:dyDescent="0.2">
      <c r="X246" s="1">
        <f>AVERAGE(X241:X245)</f>
        <v>0.65604958546118008</v>
      </c>
      <c r="Y246">
        <f>STDEV(X241:X245)</f>
        <v>5.6394927655202015E-2</v>
      </c>
      <c r="AC246">
        <v>600</v>
      </c>
      <c r="AD246">
        <v>800</v>
      </c>
      <c r="AE246">
        <v>1000</v>
      </c>
      <c r="AF246">
        <v>1200</v>
      </c>
    </row>
    <row r="247" spans="9:32" x14ac:dyDescent="0.2">
      <c r="I247" t="s">
        <v>134</v>
      </c>
      <c r="J247">
        <v>100000</v>
      </c>
      <c r="K247">
        <v>557.78192300000001</v>
      </c>
      <c r="L247">
        <v>-15695.787349</v>
      </c>
      <c r="M247">
        <v>62643.462102999998</v>
      </c>
      <c r="N247">
        <v>-0.63563499999999995</v>
      </c>
      <c r="O247">
        <v>27.920256999999999</v>
      </c>
      <c r="P247">
        <v>166.15095500000001</v>
      </c>
      <c r="Q247">
        <v>13.503746</v>
      </c>
      <c r="R247">
        <v>2282</v>
      </c>
      <c r="S247">
        <v>950</v>
      </c>
      <c r="T247">
        <f>S247/(S247+R247)</f>
        <v>0.29393564356435642</v>
      </c>
      <c r="U247">
        <f>-4.142-2.4635*T247</f>
        <v>-4.8661104579207919</v>
      </c>
      <c r="V247">
        <f>L247-(SUM(R247:S247)*U247)</f>
        <v>31.481651000000056</v>
      </c>
      <c r="W247">
        <f>V247/(2*O247*Q247)</f>
        <v>4.1749745498573965E-2</v>
      </c>
      <c r="X247">
        <f>W247*16.02</f>
        <v>0.66883092288715484</v>
      </c>
      <c r="AB247" t="s">
        <v>17</v>
      </c>
      <c r="AC247" s="1">
        <v>1.6866899936140847</v>
      </c>
      <c r="AD247" s="1">
        <v>1.7208953434775425</v>
      </c>
      <c r="AE247" s="1">
        <v>1.749294771304005</v>
      </c>
      <c r="AF247" s="1">
        <v>1.796570468585879</v>
      </c>
    </row>
    <row r="248" spans="9:32" x14ac:dyDescent="0.2">
      <c r="J248">
        <v>100000</v>
      </c>
      <c r="K248">
        <v>557.81391399999995</v>
      </c>
      <c r="L248">
        <v>-15654.614162</v>
      </c>
      <c r="M248">
        <v>62721.464958999997</v>
      </c>
      <c r="N248">
        <v>-0.99312699999999998</v>
      </c>
      <c r="O248">
        <v>27.913563</v>
      </c>
      <c r="P248">
        <v>166.31795600000001</v>
      </c>
      <c r="Q248">
        <v>13.510225</v>
      </c>
      <c r="R248">
        <v>2297</v>
      </c>
      <c r="S248">
        <v>935</v>
      </c>
      <c r="T248">
        <f>S248/(S248+R248)</f>
        <v>0.28929455445544555</v>
      </c>
      <c r="U248">
        <f>-4.142-2.4635*T248</f>
        <v>-4.8546771349009905</v>
      </c>
      <c r="V248">
        <f>L248-(SUM(R248:S248)*U248)</f>
        <v>35.702338000000964</v>
      </c>
      <c r="W248">
        <f>V248/(2*O248*Q248)</f>
        <v>4.7335700079316499E-2</v>
      </c>
      <c r="X248">
        <f>W248*16.02</f>
        <v>0.75831791527065029</v>
      </c>
      <c r="AB248" t="s">
        <v>27</v>
      </c>
      <c r="AC248" s="1">
        <v>1.7163615759317543</v>
      </c>
      <c r="AD248" s="1">
        <v>1.78276116206738</v>
      </c>
      <c r="AE248" s="1">
        <v>1.8061851912323994</v>
      </c>
      <c r="AF248" s="1">
        <v>1.8443734529226461</v>
      </c>
    </row>
    <row r="249" spans="9:32" x14ac:dyDescent="0.2">
      <c r="J249">
        <v>100000</v>
      </c>
      <c r="K249">
        <v>557.85771999999997</v>
      </c>
      <c r="L249">
        <v>-15652.286024999999</v>
      </c>
      <c r="M249">
        <v>62746.590280999997</v>
      </c>
      <c r="N249">
        <v>-0.76193599999999995</v>
      </c>
      <c r="O249">
        <v>27.878361999999999</v>
      </c>
      <c r="P249">
        <v>166.23810599999999</v>
      </c>
      <c r="Q249">
        <v>13.539208</v>
      </c>
      <c r="R249">
        <v>2299</v>
      </c>
      <c r="S249">
        <v>933</v>
      </c>
      <c r="T249">
        <f>S249/(S249+R249)</f>
        <v>0.28867574257425743</v>
      </c>
      <c r="U249">
        <f>-4.142-2.4635*T249</f>
        <v>-4.8531526918316832</v>
      </c>
      <c r="V249">
        <f>L249-(SUM(R249:S249)*U249)</f>
        <v>33.103474999999889</v>
      </c>
      <c r="W249">
        <f>V249/(2*O249*Q249)</f>
        <v>4.3851360975042324E-2</v>
      </c>
      <c r="X249">
        <f>W249*16.02</f>
        <v>0.70249880282017796</v>
      </c>
      <c r="AB249" t="s">
        <v>28</v>
      </c>
      <c r="AC249" s="1">
        <v>1.7557256753332595</v>
      </c>
      <c r="AD249" s="1">
        <v>1.7710338342393981</v>
      </c>
      <c r="AE249" s="1">
        <v>1.7947230067554127</v>
      </c>
      <c r="AF249" s="1">
        <v>1.853831327876001</v>
      </c>
    </row>
    <row r="250" spans="9:32" x14ac:dyDescent="0.2">
      <c r="J250">
        <v>100000</v>
      </c>
      <c r="K250">
        <v>557.99124300000005</v>
      </c>
      <c r="L250">
        <v>-15774.225582999999</v>
      </c>
      <c r="M250">
        <v>62472.008172000002</v>
      </c>
      <c r="N250">
        <v>-0.850661</v>
      </c>
      <c r="O250">
        <v>27.849359</v>
      </c>
      <c r="P250">
        <v>166.298134</v>
      </c>
      <c r="Q250">
        <v>13.489125</v>
      </c>
      <c r="R250">
        <v>2250</v>
      </c>
      <c r="S250">
        <v>982</v>
      </c>
      <c r="T250">
        <f>S250/(S250+R250)</f>
        <v>0.30383663366336633</v>
      </c>
      <c r="U250">
        <f>-4.142-2.4635*T250</f>
        <v>-4.8905015470297029</v>
      </c>
      <c r="V250">
        <f>L250-(SUM(R250:S250)*U250)</f>
        <v>31.875416999999288</v>
      </c>
      <c r="W250">
        <f>V250/(2*O250*Q250)</f>
        <v>4.2425492889844381E-2</v>
      </c>
      <c r="X250">
        <f>W250*16.02</f>
        <v>0.67965639609530692</v>
      </c>
      <c r="AB250">
        <v>100</v>
      </c>
      <c r="AC250" s="1">
        <v>1.6349650568656682</v>
      </c>
      <c r="AD250" s="1">
        <v>1.7343135328665802</v>
      </c>
      <c r="AE250" s="1">
        <v>1.7529634527829039</v>
      </c>
      <c r="AF250" s="1">
        <v>1.808506078989484</v>
      </c>
    </row>
    <row r="251" spans="9:32" x14ac:dyDescent="0.2">
      <c r="J251">
        <v>100000</v>
      </c>
      <c r="K251">
        <v>557.81694300000004</v>
      </c>
      <c r="L251">
        <v>-15668.983473</v>
      </c>
      <c r="M251">
        <v>62709.615169999997</v>
      </c>
      <c r="N251">
        <v>-0.69671000000000005</v>
      </c>
      <c r="O251">
        <v>27.911235000000001</v>
      </c>
      <c r="P251">
        <v>166.565156</v>
      </c>
      <c r="Q251">
        <v>13.488753000000001</v>
      </c>
      <c r="R251">
        <v>2291</v>
      </c>
      <c r="S251">
        <v>941</v>
      </c>
      <c r="T251">
        <f>S251/(S251+R251)</f>
        <v>0.29115099009900991</v>
      </c>
      <c r="U251">
        <f>-4.142-2.4635*T251</f>
        <v>-4.8592504641089107</v>
      </c>
      <c r="V251">
        <f>L251-(SUM(R251:S251)*U251)</f>
        <v>36.114026999999624</v>
      </c>
      <c r="W251">
        <f>V251/(2*O251*Q251)</f>
        <v>4.7961755111201029E-2</v>
      </c>
      <c r="X251">
        <f>W251*16.02</f>
        <v>0.76834731688144042</v>
      </c>
      <c r="AB251">
        <v>110</v>
      </c>
      <c r="AC251" s="1">
        <v>1.4810177147704797</v>
      </c>
      <c r="AD251" s="1">
        <v>1.5151129892187154</v>
      </c>
      <c r="AE251" s="1">
        <v>1.5416771362066366</v>
      </c>
      <c r="AF251" s="1">
        <v>1.5867656309211764</v>
      </c>
    </row>
    <row r="252" spans="9:32" x14ac:dyDescent="0.2">
      <c r="X252" s="1">
        <f>AVERAGE(X247:X251)</f>
        <v>0.71553027079094611</v>
      </c>
      <c r="Y252">
        <f>STDEV(X247:X251)</f>
        <v>4.5436785800818565E-2</v>
      </c>
      <c r="AB252">
        <v>111</v>
      </c>
      <c r="AC252" s="1">
        <v>1.8048101730822874</v>
      </c>
      <c r="AD252" s="1">
        <v>1.8102461152713922</v>
      </c>
      <c r="AE252" s="1">
        <v>1.8291206738667984</v>
      </c>
      <c r="AF252" s="1">
        <v>1.8759862010967201</v>
      </c>
    </row>
    <row r="253" spans="9:32" x14ac:dyDescent="0.2">
      <c r="I253" t="s">
        <v>27</v>
      </c>
      <c r="K253">
        <v>557.85667699999999</v>
      </c>
      <c r="L253">
        <v>-14081.768635</v>
      </c>
      <c r="M253">
        <v>55624.435582999999</v>
      </c>
      <c r="N253">
        <v>-0.90150600000000003</v>
      </c>
      <c r="O253">
        <v>32.033552</v>
      </c>
      <c r="P253">
        <v>128.976754</v>
      </c>
      <c r="Q253">
        <v>13.463247000000001</v>
      </c>
      <c r="R253">
        <v>1992</v>
      </c>
      <c r="S253">
        <v>888</v>
      </c>
      <c r="T253">
        <f>S253/(S253+R253)</f>
        <v>0.30833333333333335</v>
      </c>
      <c r="U253">
        <f>-4.142-2.4635*T253</f>
        <v>-4.901579166666667</v>
      </c>
      <c r="V253">
        <f>L253-(SUM(R253:S253)*U253)</f>
        <v>34.779365000000325</v>
      </c>
      <c r="W253">
        <f>V253/(2*O253*Q253)</f>
        <v>4.0321505733493163E-2</v>
      </c>
      <c r="X253">
        <f>W253*16.02</f>
        <v>0.64595052185056046</v>
      </c>
    </row>
    <row r="254" spans="9:32" x14ac:dyDescent="0.2">
      <c r="K254">
        <v>557.81431099999998</v>
      </c>
      <c r="L254">
        <v>-14059.377424</v>
      </c>
      <c r="M254">
        <v>55684.450978000001</v>
      </c>
      <c r="N254">
        <v>-0.81631100000000001</v>
      </c>
      <c r="O254">
        <v>32.042309000000003</v>
      </c>
      <c r="P254">
        <v>129.032873</v>
      </c>
      <c r="Q254">
        <v>13.46823</v>
      </c>
      <c r="R254">
        <v>2000</v>
      </c>
      <c r="S254">
        <v>880</v>
      </c>
      <c r="T254">
        <f>S254/(S254+R254)</f>
        <v>0.30555555555555558</v>
      </c>
      <c r="U254">
        <f>-4.142-2.4635*T254</f>
        <v>-4.8947361111111114</v>
      </c>
      <c r="V254">
        <f>L254-(SUM(R254:S254)*U254)</f>
        <v>37.462575999999899</v>
      </c>
      <c r="W254">
        <f>V254/(2*O254*Q254)</f>
        <v>4.3404355591305635E-2</v>
      </c>
      <c r="X254">
        <f>W254*16.02</f>
        <v>0.69533777657271623</v>
      </c>
    </row>
    <row r="255" spans="9:32" x14ac:dyDescent="0.2">
      <c r="K255">
        <v>557.79730700000005</v>
      </c>
      <c r="L255">
        <v>-14070.439334999999</v>
      </c>
      <c r="M255">
        <v>55639.818395000002</v>
      </c>
      <c r="N255">
        <v>-0.758714</v>
      </c>
      <c r="O255">
        <v>32.039085</v>
      </c>
      <c r="P255">
        <v>128.99850699999999</v>
      </c>
      <c r="Q255">
        <v>13.462374000000001</v>
      </c>
      <c r="R255">
        <v>1996</v>
      </c>
      <c r="S255">
        <v>884</v>
      </c>
      <c r="T255">
        <f>S255/(S255+R255)</f>
        <v>0.30694444444444446</v>
      </c>
      <c r="U255">
        <f>-4.142-2.4635*T255</f>
        <v>-4.8981576388888897</v>
      </c>
      <c r="V255">
        <f>L255-(SUM(R255:S255)*U255)</f>
        <v>36.254665000004024</v>
      </c>
      <c r="W255">
        <f>V255/(2*O255*Q255)</f>
        <v>4.2027363340497864E-2</v>
      </c>
      <c r="X255">
        <f>W255*16.02</f>
        <v>0.67327836071477576</v>
      </c>
    </row>
    <row r="256" spans="9:32" x14ac:dyDescent="0.2">
      <c r="K256">
        <v>557.76948900000002</v>
      </c>
      <c r="L256">
        <v>-14066.853343999999</v>
      </c>
      <c r="M256">
        <v>55660.326578</v>
      </c>
      <c r="N256">
        <v>-0.86968299999999998</v>
      </c>
      <c r="O256">
        <v>32.050891999999997</v>
      </c>
      <c r="P256">
        <v>128.92497800000001</v>
      </c>
      <c r="Q256">
        <v>13.470052000000001</v>
      </c>
      <c r="R256">
        <v>2001</v>
      </c>
      <c r="S256">
        <v>879</v>
      </c>
      <c r="T256">
        <f>S256/(S256+R256)</f>
        <v>0.30520833333333336</v>
      </c>
      <c r="U256">
        <f>-4.142-2.4635*T256</f>
        <v>-4.8938807291666668</v>
      </c>
      <c r="V256">
        <f>L256-(SUM(R256:S256)*U256)</f>
        <v>27.523156000001109</v>
      </c>
      <c r="W256">
        <f>V256/(2*O256*Q256)</f>
        <v>3.1875634839277127E-2</v>
      </c>
      <c r="X256">
        <f>W256*16.02</f>
        <v>0.51064767012521961</v>
      </c>
    </row>
    <row r="257" spans="9:25" x14ac:dyDescent="0.2">
      <c r="K257">
        <v>557.84650599999998</v>
      </c>
      <c r="L257">
        <v>-14032.830989</v>
      </c>
      <c r="M257">
        <v>55723.523572999999</v>
      </c>
      <c r="N257">
        <v>-0.79839599999999999</v>
      </c>
      <c r="O257">
        <v>32.057642999999999</v>
      </c>
      <c r="P257">
        <v>128.94047599999999</v>
      </c>
      <c r="Q257">
        <v>13.480891</v>
      </c>
      <c r="R257">
        <v>2012</v>
      </c>
      <c r="S257">
        <v>868</v>
      </c>
      <c r="T257">
        <f>S257/(S257+R257)</f>
        <v>0.30138888888888887</v>
      </c>
      <c r="U257">
        <f>-4.142-2.4635*T257</f>
        <v>-4.8844715277777784</v>
      </c>
      <c r="V257">
        <f>L257-(SUM(R257:S257)*U257)</f>
        <v>34.447011000002021</v>
      </c>
      <c r="W257">
        <f>V257/(2*O257*Q257)</f>
        <v>3.9853949177560688E-2</v>
      </c>
      <c r="X257">
        <f>W257*16.02</f>
        <v>0.6384602658245222</v>
      </c>
    </row>
    <row r="258" spans="9:25" x14ac:dyDescent="0.2">
      <c r="X258" s="1">
        <f>AVERAGE(X253:X257)</f>
        <v>0.63273491901755885</v>
      </c>
      <c r="Y258">
        <f>STDEV(X253:X257)</f>
        <v>7.1895091166098976E-2</v>
      </c>
    </row>
    <row r="259" spans="9:25" x14ac:dyDescent="0.2">
      <c r="I259" t="s">
        <v>172</v>
      </c>
      <c r="J259">
        <v>100000</v>
      </c>
      <c r="K259">
        <v>557.85385799999995</v>
      </c>
      <c r="L259">
        <v>-17932.585953999998</v>
      </c>
      <c r="M259">
        <v>71186.226634000006</v>
      </c>
      <c r="N259">
        <v>-0.73792100000000005</v>
      </c>
      <c r="O259">
        <v>25.739919</v>
      </c>
      <c r="P259">
        <v>204.83458899999999</v>
      </c>
      <c r="Q259">
        <v>13.501626999999999</v>
      </c>
      <c r="R259">
        <v>2574</v>
      </c>
      <c r="S259">
        <v>1106</v>
      </c>
      <c r="T259">
        <f>S259/(S259+R259)</f>
        <v>0.30054347826086958</v>
      </c>
      <c r="U259">
        <f>-4.142-2.4635*T259</f>
        <v>-4.8823888586956521</v>
      </c>
      <c r="V259">
        <f>L259-(SUM(R259:S259)*U259)</f>
        <v>34.605046000000584</v>
      </c>
      <c r="W259">
        <f>V259/(2*O259*Q259)</f>
        <v>4.9787022414902911E-2</v>
      </c>
      <c r="X259">
        <f>W259*16.02</f>
        <v>0.79758809908674466</v>
      </c>
    </row>
    <row r="260" spans="9:25" x14ac:dyDescent="0.2">
      <c r="J260">
        <v>100000</v>
      </c>
      <c r="K260">
        <v>557.74145899999996</v>
      </c>
      <c r="L260">
        <v>-17856.807095</v>
      </c>
      <c r="M260">
        <v>71353.828152000002</v>
      </c>
      <c r="N260">
        <v>-0.65918200000000005</v>
      </c>
      <c r="O260">
        <v>25.749001</v>
      </c>
      <c r="P260">
        <v>204.93046799999999</v>
      </c>
      <c r="Q260">
        <v>13.522314</v>
      </c>
      <c r="R260">
        <v>2605</v>
      </c>
      <c r="S260">
        <v>1075</v>
      </c>
      <c r="T260">
        <f>S260/(S260+R260)</f>
        <v>0.2921195652173913</v>
      </c>
      <c r="U260">
        <f>-4.142-2.4635*T260</f>
        <v>-4.8616365489130438</v>
      </c>
      <c r="V260">
        <f>L260-(SUM(R260:S260)*U260)</f>
        <v>34.01540500000192</v>
      </c>
      <c r="W260">
        <f>V260/(2*O260*Q260)</f>
        <v>4.8846589906146154E-2</v>
      </c>
      <c r="X260">
        <f>W260*16.02</f>
        <v>0.78252237029646132</v>
      </c>
    </row>
    <row r="261" spans="9:25" x14ac:dyDescent="0.2">
      <c r="J261">
        <v>100000</v>
      </c>
      <c r="K261">
        <v>557.72929799999997</v>
      </c>
      <c r="L261">
        <v>-17826.889336</v>
      </c>
      <c r="M261">
        <v>71406.278814000005</v>
      </c>
      <c r="N261">
        <v>-0.54072699999999996</v>
      </c>
      <c r="O261">
        <v>25.771422000000001</v>
      </c>
      <c r="P261">
        <v>204.732113</v>
      </c>
      <c r="Q261">
        <v>13.533581999999999</v>
      </c>
      <c r="R261">
        <v>2616</v>
      </c>
      <c r="S261">
        <v>1064</v>
      </c>
      <c r="T261">
        <f>S261/(S261+R261)</f>
        <v>0.28913043478260869</v>
      </c>
      <c r="U261">
        <f>-4.142-2.4635*T261</f>
        <v>-4.854272826086957</v>
      </c>
      <c r="V261">
        <f>L261-(SUM(R261:S261)*U261)</f>
        <v>36.834664000001794</v>
      </c>
      <c r="W261">
        <f>V261/(2*O261*Q261)</f>
        <v>5.2805064306945523E-2</v>
      </c>
      <c r="X261">
        <f>W261*16.02</f>
        <v>0.84593713019726724</v>
      </c>
    </row>
    <row r="262" spans="9:25" x14ac:dyDescent="0.2">
      <c r="J262">
        <v>100000</v>
      </c>
      <c r="K262">
        <v>558.02884900000004</v>
      </c>
      <c r="L262">
        <v>-17945.870946999999</v>
      </c>
      <c r="M262">
        <v>71151.174197</v>
      </c>
      <c r="N262">
        <v>-0.74343899999999996</v>
      </c>
      <c r="O262">
        <v>25.757349999999999</v>
      </c>
      <c r="P262">
        <v>204.79242300000001</v>
      </c>
      <c r="Q262">
        <v>13.488621999999999</v>
      </c>
      <c r="R262">
        <v>2569</v>
      </c>
      <c r="S262">
        <v>1111</v>
      </c>
      <c r="T262">
        <f>S262/(S262+R262)</f>
        <v>0.30190217391304347</v>
      </c>
      <c r="U262">
        <f>-4.142-2.4635*T262</f>
        <v>-4.8857360054347829</v>
      </c>
      <c r="V262">
        <f>L262-(SUM(R262:S262)*U262)</f>
        <v>33.63755300000048</v>
      </c>
      <c r="W262">
        <f>V262/(2*O262*Q262)</f>
        <v>4.840894697824169E-2</v>
      </c>
      <c r="X262">
        <f>W262*16.02</f>
        <v>0.77551133059143185</v>
      </c>
    </row>
    <row r="263" spans="9:25" x14ac:dyDescent="0.2">
      <c r="J263">
        <v>100000</v>
      </c>
      <c r="K263">
        <v>557.81778099999997</v>
      </c>
      <c r="L263">
        <v>-17876.006700999998</v>
      </c>
      <c r="M263">
        <v>71308.446123999995</v>
      </c>
      <c r="N263">
        <v>-0.72499100000000005</v>
      </c>
      <c r="O263">
        <v>25.786753000000001</v>
      </c>
      <c r="P263">
        <v>204.67844500000001</v>
      </c>
      <c r="Q263">
        <v>13.510551</v>
      </c>
      <c r="R263">
        <v>2597</v>
      </c>
      <c r="S263">
        <v>1083</v>
      </c>
      <c r="T263">
        <f>S263/(S263+R263)</f>
        <v>0.29429347826086955</v>
      </c>
      <c r="U263">
        <f>-4.142-2.4635*T263</f>
        <v>-4.8669919836956526</v>
      </c>
      <c r="V263">
        <f>L263-(SUM(R263:S263)*U263)</f>
        <v>34.523799000002327</v>
      </c>
      <c r="W263">
        <f>V263/(2*O263*Q263)</f>
        <v>4.9547170961610078E-2</v>
      </c>
      <c r="X263">
        <f>W263*16.02</f>
        <v>0.79374567880499347</v>
      </c>
    </row>
    <row r="264" spans="9:25" x14ac:dyDescent="0.2">
      <c r="X264" s="1">
        <f>AVERAGE(X259:X263)</f>
        <v>0.79906092179537969</v>
      </c>
      <c r="Y264">
        <f>STDEV(X259:X263)</f>
        <v>2.7640128710221968E-2</v>
      </c>
    </row>
    <row r="265" spans="9:25" x14ac:dyDescent="0.2">
      <c r="I265" t="s">
        <v>17</v>
      </c>
      <c r="K265">
        <v>520.25607400000001</v>
      </c>
      <c r="L265">
        <v>-18486.041603999998</v>
      </c>
      <c r="M265">
        <v>72915.188250000007</v>
      </c>
      <c r="N265">
        <v>-0.45723399999999997</v>
      </c>
      <c r="O265">
        <v>30.228504999999998</v>
      </c>
      <c r="P265">
        <v>89.727366000000004</v>
      </c>
      <c r="Q265">
        <v>26.882952</v>
      </c>
      <c r="R265">
        <v>2598</v>
      </c>
      <c r="S265">
        <v>1178</v>
      </c>
      <c r="T265">
        <f>S265/(S265+R265)</f>
        <v>0.31197033898305082</v>
      </c>
      <c r="U265">
        <f>-4.142-2.4635*T265</f>
        <v>-4.910538930084746</v>
      </c>
      <c r="V265">
        <f>L265-(SUM(R265:S265)*U265)</f>
        <v>56.153396000001521</v>
      </c>
      <c r="W265">
        <f>V265/(2*O265*Q265)</f>
        <v>3.4550346330295939E-2</v>
      </c>
      <c r="X265">
        <f>W265*16.02</f>
        <v>0.55349654821134098</v>
      </c>
    </row>
    <row r="266" spans="9:25" x14ac:dyDescent="0.2">
      <c r="K266">
        <v>520.512202</v>
      </c>
      <c r="L266">
        <v>-18490.579397000001</v>
      </c>
      <c r="M266">
        <v>72925.567215000003</v>
      </c>
      <c r="N266">
        <v>-0.40650999999999998</v>
      </c>
      <c r="O266">
        <v>30.219515000000001</v>
      </c>
      <c r="P266">
        <v>89.737258999999995</v>
      </c>
      <c r="Q266">
        <v>26.891812000000002</v>
      </c>
      <c r="R266">
        <v>2595</v>
      </c>
      <c r="S266">
        <v>1181</v>
      </c>
      <c r="T266">
        <f>S266/(S266+R266)</f>
        <v>0.31276483050847459</v>
      </c>
      <c r="U266">
        <f>-4.142-2.4635*T266</f>
        <v>-4.9124961599576276</v>
      </c>
      <c r="V266">
        <f>L266-(SUM(R266:S266)*U266)</f>
        <v>59.006102999999712</v>
      </c>
      <c r="W266">
        <f>V266/(2*O266*Q266)</f>
        <v>3.6304409809905125E-2</v>
      </c>
      <c r="X266">
        <f>W266*16.02</f>
        <v>0.58159664515468013</v>
      </c>
    </row>
    <row r="267" spans="9:25" x14ac:dyDescent="0.2">
      <c r="K267">
        <v>520.528864</v>
      </c>
      <c r="L267">
        <v>-18486.663783</v>
      </c>
      <c r="M267">
        <v>72911.871423000004</v>
      </c>
      <c r="N267">
        <v>-0.52236300000000002</v>
      </c>
      <c r="O267">
        <v>30.230229999999999</v>
      </c>
      <c r="P267">
        <v>89.715491</v>
      </c>
      <c r="Q267">
        <v>26.883759999999999</v>
      </c>
      <c r="R267">
        <v>2593</v>
      </c>
      <c r="S267">
        <v>1183</v>
      </c>
      <c r="T267">
        <f>S267/(S267+R267)</f>
        <v>0.31329449152542371</v>
      </c>
      <c r="U267">
        <f>-4.142-2.4635*T267</f>
        <v>-4.9138009798728817</v>
      </c>
      <c r="V267">
        <f>L267-(SUM(R267:S267)*U267)</f>
        <v>67.848717000000761</v>
      </c>
      <c r="W267">
        <f>V267/(2*O267*Q267)</f>
        <v>4.1742666001946947E-2</v>
      </c>
      <c r="X267">
        <f>W267*16.02</f>
        <v>0.66871750935119012</v>
      </c>
    </row>
    <row r="268" spans="9:25" x14ac:dyDescent="0.2">
      <c r="K268">
        <v>520.513284</v>
      </c>
      <c r="L268">
        <v>-18434.134317</v>
      </c>
      <c r="M268">
        <v>73044.708192000006</v>
      </c>
      <c r="N268">
        <v>-0.46903800000000001</v>
      </c>
      <c r="O268">
        <v>30.231852</v>
      </c>
      <c r="P268">
        <v>89.712456000000003</v>
      </c>
      <c r="Q268">
        <v>26.932206000000001</v>
      </c>
      <c r="R268">
        <v>2616</v>
      </c>
      <c r="S268">
        <v>1160</v>
      </c>
      <c r="T268">
        <f>S268/(S268+R268)</f>
        <v>0.30720338983050849</v>
      </c>
      <c r="U268">
        <f>-4.142-2.4635*T268</f>
        <v>-4.8987955508474581</v>
      </c>
      <c r="V268">
        <f>L268-(SUM(R268:S268)*U268)</f>
        <v>63.71768300000258</v>
      </c>
      <c r="W268">
        <f>V268/(2*O268*Q268)</f>
        <v>3.9128508950938418E-2</v>
      </c>
      <c r="X268">
        <f>W268*16.02</f>
        <v>0.62683871339403341</v>
      </c>
    </row>
    <row r="269" spans="9:25" x14ac:dyDescent="0.2">
      <c r="K269">
        <v>520.50106400000004</v>
      </c>
      <c r="L269">
        <v>-18456.610801999999</v>
      </c>
      <c r="M269">
        <v>73000.396254000007</v>
      </c>
      <c r="N269">
        <v>-0.54480899999999999</v>
      </c>
      <c r="O269">
        <v>30.251275</v>
      </c>
      <c r="P269">
        <v>89.795675000000003</v>
      </c>
      <c r="Q269">
        <v>26.873652</v>
      </c>
      <c r="R269">
        <v>2605</v>
      </c>
      <c r="S269">
        <v>1171</v>
      </c>
      <c r="T269">
        <f>S269/(S269+R269)</f>
        <v>0.31011652542372881</v>
      </c>
      <c r="U269">
        <f>-4.142-2.4635*T269</f>
        <v>-4.9059720603813561</v>
      </c>
      <c r="V269">
        <f>L269-(SUM(R269:S269)*U269)</f>
        <v>68.339697999999771</v>
      </c>
      <c r="W269">
        <f>V269/(2*O269*Q269)</f>
        <v>4.2031286877521001E-2</v>
      </c>
      <c r="X269">
        <f>W269*16.02</f>
        <v>0.67334121577788641</v>
      </c>
    </row>
    <row r="270" spans="9:25" x14ac:dyDescent="0.2">
      <c r="X270" s="1">
        <f>AVERAGE(X265:X269)</f>
        <v>0.62079812637782628</v>
      </c>
      <c r="Y270">
        <f>STDEV(X265:X269)</f>
        <v>5.28199553993072E-2</v>
      </c>
    </row>
    <row r="271" spans="9:25" x14ac:dyDescent="0.2">
      <c r="I271" t="s">
        <v>173</v>
      </c>
      <c r="J271">
        <v>100000</v>
      </c>
      <c r="K271">
        <v>557.75997500000005</v>
      </c>
      <c r="L271">
        <v>-31615.535766000001</v>
      </c>
      <c r="M271">
        <v>125490.431426</v>
      </c>
      <c r="N271">
        <v>-0.34426000000000001</v>
      </c>
      <c r="O271">
        <v>39.427098999999998</v>
      </c>
      <c r="P271">
        <v>235.664536</v>
      </c>
      <c r="Q271">
        <v>13.505848</v>
      </c>
      <c r="R271">
        <v>4543</v>
      </c>
      <c r="S271">
        <v>1945</v>
      </c>
      <c r="T271">
        <f>S271/(S271+R271)</f>
        <v>0.29978421701602959</v>
      </c>
      <c r="U271">
        <f>-4.142-2.4635*T271</f>
        <v>-4.8805184186189887</v>
      </c>
      <c r="V271">
        <f>L271-(SUM(R271:S271)*U271)</f>
        <v>49.26773399999729</v>
      </c>
      <c r="W271">
        <f>V271/(2*O271*Q271)</f>
        <v>4.6261095313205131E-2</v>
      </c>
      <c r="X271">
        <f>W271*16.02</f>
        <v>0.74110274691754618</v>
      </c>
    </row>
    <row r="272" spans="9:25" x14ac:dyDescent="0.2">
      <c r="J272">
        <v>100000</v>
      </c>
      <c r="K272">
        <v>557.88944900000001</v>
      </c>
      <c r="L272">
        <v>-31705.659717999999</v>
      </c>
      <c r="M272">
        <v>125278.90738</v>
      </c>
      <c r="N272">
        <v>-0.41725600000000002</v>
      </c>
      <c r="O272">
        <v>39.408923999999999</v>
      </c>
      <c r="P272">
        <v>235.52836300000001</v>
      </c>
      <c r="Q272">
        <v>13.4971</v>
      </c>
      <c r="R272">
        <v>4506</v>
      </c>
      <c r="S272">
        <v>1982</v>
      </c>
      <c r="T272">
        <f>S272/(S272+R272)</f>
        <v>0.3054870530209618</v>
      </c>
      <c r="U272">
        <f>-4.142-2.4635*T272</f>
        <v>-4.8945673551171396</v>
      </c>
      <c r="V272">
        <f>L272-(SUM(R272:S272)*U272)</f>
        <v>50.293282000002364</v>
      </c>
      <c r="W272">
        <f>V272/(2*O272*Q272)</f>
        <v>4.7276458822301005E-2</v>
      </c>
      <c r="X272">
        <f>W272*16.02</f>
        <v>0.75736887033326206</v>
      </c>
    </row>
    <row r="273" spans="9:25" x14ac:dyDescent="0.2">
      <c r="J273">
        <v>100000</v>
      </c>
      <c r="K273">
        <v>557.89954699999998</v>
      </c>
      <c r="L273">
        <v>-31833.368339000001</v>
      </c>
      <c r="M273">
        <v>124982.09286400001</v>
      </c>
      <c r="N273">
        <v>-0.354605</v>
      </c>
      <c r="O273">
        <v>39.383389999999999</v>
      </c>
      <c r="P273">
        <v>235.19086100000001</v>
      </c>
      <c r="Q273">
        <v>13.493187000000001</v>
      </c>
      <c r="R273">
        <v>4457</v>
      </c>
      <c r="S273">
        <v>2031</v>
      </c>
      <c r="T273">
        <f>S273/(S273+R273)</f>
        <v>0.31303945745992601</v>
      </c>
      <c r="U273">
        <f>-4.142-2.4635*T273</f>
        <v>-4.9131727034525277</v>
      </c>
      <c r="V273">
        <f>L273-(SUM(R273:S273)*U273)</f>
        <v>43.296160999998392</v>
      </c>
      <c r="W273">
        <f>V273/(2*O273*Q273)</f>
        <v>4.0737254745708974E-2</v>
      </c>
      <c r="X273">
        <f>W273*16.02</f>
        <v>0.65261082102625778</v>
      </c>
    </row>
    <row r="274" spans="9:25" x14ac:dyDescent="0.2">
      <c r="J274">
        <v>100000</v>
      </c>
      <c r="K274">
        <v>557.75987999999995</v>
      </c>
      <c r="L274">
        <v>-31692.401873999999</v>
      </c>
      <c r="M274">
        <v>125299.629348</v>
      </c>
      <c r="N274">
        <v>-0.51167700000000005</v>
      </c>
      <c r="O274">
        <v>39.408363999999999</v>
      </c>
      <c r="P274">
        <v>235.689245</v>
      </c>
      <c r="Q274">
        <v>13.490309</v>
      </c>
      <c r="R274">
        <v>4512</v>
      </c>
      <c r="S274">
        <v>1976</v>
      </c>
      <c r="T274">
        <f>S274/(S274+R274)</f>
        <v>0.30456226880394577</v>
      </c>
      <c r="U274">
        <f>-4.142-2.4635*T274</f>
        <v>-4.892289149198521</v>
      </c>
      <c r="V274">
        <f>L274-(SUM(R274:S274)*U274)</f>
        <v>48.770126000006712</v>
      </c>
      <c r="W274">
        <f>V274/(2*O274*Q274)</f>
        <v>4.5868398671165385E-2</v>
      </c>
      <c r="X274">
        <f>W274*16.02</f>
        <v>0.73481174671206939</v>
      </c>
    </row>
    <row r="275" spans="9:25" x14ac:dyDescent="0.2">
      <c r="J275">
        <v>100000</v>
      </c>
      <c r="K275">
        <v>557.88012600000002</v>
      </c>
      <c r="L275">
        <v>-31473.994857000002</v>
      </c>
      <c r="M275">
        <v>125812.583895</v>
      </c>
      <c r="N275">
        <v>-0.427261</v>
      </c>
      <c r="O275">
        <v>39.472577000000001</v>
      </c>
      <c r="P275">
        <v>235.808921</v>
      </c>
      <c r="Q275">
        <v>13.516639</v>
      </c>
      <c r="R275">
        <v>4598</v>
      </c>
      <c r="S275">
        <v>1890</v>
      </c>
      <c r="T275">
        <f>S275/(S275+R275)</f>
        <v>0.29130702836004935</v>
      </c>
      <c r="U275">
        <f>-4.142-2.4635*T275</f>
        <v>-4.859634864364982</v>
      </c>
      <c r="V275">
        <f>L275-(SUM(R275:S275)*U275)</f>
        <v>55.316143000003649</v>
      </c>
      <c r="W275">
        <f>V275/(2*O275*Q275)</f>
        <v>5.1839129429770647E-2</v>
      </c>
      <c r="X275">
        <f>W275*16.02</f>
        <v>0.83046285346492577</v>
      </c>
    </row>
    <row r="276" spans="9:25" x14ac:dyDescent="0.2">
      <c r="X276" s="1">
        <f>AVERAGE(X271:X275)</f>
        <v>0.74327140769081224</v>
      </c>
      <c r="Y276">
        <f>STDEV(X271:X275)</f>
        <v>6.3436380722975916E-2</v>
      </c>
    </row>
    <row r="277" spans="9:25" x14ac:dyDescent="0.2">
      <c r="I277" t="s">
        <v>174</v>
      </c>
      <c r="J277">
        <v>100000</v>
      </c>
      <c r="K277">
        <v>557.95209599999998</v>
      </c>
      <c r="L277">
        <v>-16114.597861</v>
      </c>
      <c r="M277">
        <v>63627.30341</v>
      </c>
      <c r="N277">
        <v>-0.65566100000000005</v>
      </c>
      <c r="O277">
        <v>24.390720000000002</v>
      </c>
      <c r="P277">
        <v>193.66606400000001</v>
      </c>
      <c r="Q277">
        <v>13.469950000000001</v>
      </c>
      <c r="R277">
        <v>2287</v>
      </c>
      <c r="S277">
        <v>1009</v>
      </c>
      <c r="T277">
        <f>S277/(S277+R277)</f>
        <v>0.30612864077669905</v>
      </c>
      <c r="U277">
        <f>-4.142-2.4635*T277</f>
        <v>-4.8961479065533986</v>
      </c>
      <c r="V277">
        <f>L277-(SUM(R277:S277)*U277)</f>
        <v>23.105639000001247</v>
      </c>
      <c r="W277">
        <f>V277/(2*O277*Q277)</f>
        <v>3.5163928130987919E-2</v>
      </c>
      <c r="X277">
        <f>W277*16.02</f>
        <v>0.56332612865842646</v>
      </c>
    </row>
    <row r="278" spans="9:25" x14ac:dyDescent="0.2">
      <c r="J278">
        <v>100000</v>
      </c>
      <c r="K278">
        <v>557.74490500000002</v>
      </c>
      <c r="L278">
        <v>-16105.530799</v>
      </c>
      <c r="M278">
        <v>63603.998175000001</v>
      </c>
      <c r="N278">
        <v>-0.83462099999999995</v>
      </c>
      <c r="O278">
        <v>24.383882</v>
      </c>
      <c r="P278">
        <v>193.37297100000001</v>
      </c>
      <c r="Q278">
        <v>13.489205</v>
      </c>
      <c r="R278">
        <v>2290</v>
      </c>
      <c r="S278">
        <v>1006</v>
      </c>
      <c r="T278">
        <f>S278/(S278+R278)</f>
        <v>0.30521844660194175</v>
      </c>
      <c r="U278">
        <f>-4.142-2.4635*T278</f>
        <v>-4.8939056432038841</v>
      </c>
      <c r="V278">
        <f>L278-(SUM(R278:S278)*U278)</f>
        <v>24.782201000001805</v>
      </c>
      <c r="W278">
        <f>V278/(2*O278*Q278)</f>
        <v>3.7672173411163107E-2</v>
      </c>
      <c r="X278">
        <f>W278*16.02</f>
        <v>0.60350821804683297</v>
      </c>
    </row>
    <row r="279" spans="9:25" x14ac:dyDescent="0.2">
      <c r="J279">
        <v>100000</v>
      </c>
      <c r="K279">
        <v>557.64219600000001</v>
      </c>
      <c r="L279">
        <v>-15970.423000999999</v>
      </c>
      <c r="M279">
        <v>63946.218159999997</v>
      </c>
      <c r="N279">
        <v>-0.71080900000000002</v>
      </c>
      <c r="O279">
        <v>24.416799999999999</v>
      </c>
      <c r="P279">
        <v>193.87364199999999</v>
      </c>
      <c r="Q279">
        <v>13.508527000000001</v>
      </c>
      <c r="R279">
        <v>2344</v>
      </c>
      <c r="S279">
        <v>952</v>
      </c>
      <c r="T279">
        <f>S279/(S279+R279)</f>
        <v>0.28883495145631066</v>
      </c>
      <c r="U279">
        <f>-4.142-2.4635*T279</f>
        <v>-4.8535449029126214</v>
      </c>
      <c r="V279">
        <f>L279-(SUM(R279:S279)*U279)</f>
        <v>26.860999000000447</v>
      </c>
      <c r="W279">
        <f>V279/(2*O279*Q279)</f>
        <v>4.0718842501190011E-2</v>
      </c>
      <c r="X279">
        <f>W279*16.02</f>
        <v>0.65231585686906401</v>
      </c>
    </row>
    <row r="280" spans="9:25" x14ac:dyDescent="0.2">
      <c r="J280">
        <v>100000</v>
      </c>
      <c r="K280">
        <v>557.73606199999995</v>
      </c>
      <c r="L280">
        <v>-16016.271891</v>
      </c>
      <c r="M280">
        <v>63840.205452000002</v>
      </c>
      <c r="N280">
        <v>-0.85587800000000003</v>
      </c>
      <c r="O280">
        <v>24.400321999999999</v>
      </c>
      <c r="P280">
        <v>193.79074600000001</v>
      </c>
      <c r="Q280">
        <v>13.501011</v>
      </c>
      <c r="R280">
        <v>2326</v>
      </c>
      <c r="S280">
        <v>970</v>
      </c>
      <c r="T280">
        <f>S280/(S280+R280)</f>
        <v>0.29429611650485438</v>
      </c>
      <c r="U280">
        <f>-4.142-2.4635*T280</f>
        <v>-4.8669984830097093</v>
      </c>
      <c r="V280">
        <f>L280-(SUM(R280:S280)*U280)</f>
        <v>25.355109000001903</v>
      </c>
      <c r="W280">
        <f>V280/(2*O280*Q280)</f>
        <v>3.8483417959039264E-2</v>
      </c>
      <c r="X280">
        <f>W280*16.02</f>
        <v>0.61650435570380901</v>
      </c>
    </row>
    <row r="281" spans="9:25" x14ac:dyDescent="0.2">
      <c r="J281">
        <v>100000</v>
      </c>
      <c r="K281">
        <v>557.89660600000002</v>
      </c>
      <c r="L281">
        <v>-16090.390015999999</v>
      </c>
      <c r="M281">
        <v>63683.357526</v>
      </c>
      <c r="N281">
        <v>-0.75598600000000005</v>
      </c>
      <c r="O281">
        <v>24.387072</v>
      </c>
      <c r="P281">
        <v>193.78738799999999</v>
      </c>
      <c r="Q281">
        <v>13.475391999999999</v>
      </c>
      <c r="R281">
        <v>2295</v>
      </c>
      <c r="S281">
        <v>1001</v>
      </c>
      <c r="T281">
        <f>S281/(S281+R281)</f>
        <v>0.30370145631067963</v>
      </c>
      <c r="U281">
        <f>-4.142-2.4635*T281</f>
        <v>-4.8901685376213599</v>
      </c>
      <c r="V281">
        <f>L281-(SUM(R281:S281)*U281)</f>
        <v>27.605484000003344</v>
      </c>
      <c r="W281">
        <f>V281/(2*O281*Q281)</f>
        <v>4.200145178344003E-2</v>
      </c>
      <c r="X281">
        <f>W281*16.02</f>
        <v>0.67286325757070931</v>
      </c>
    </row>
    <row r="282" spans="9:25" x14ac:dyDescent="0.2">
      <c r="X282" s="1">
        <f>AVERAGE(X277:X281)</f>
        <v>0.62170356336976829</v>
      </c>
      <c r="Y282">
        <f>STDEV(X277:X281)</f>
        <v>4.2779826026038352E-2</v>
      </c>
    </row>
    <row r="283" spans="9:25" x14ac:dyDescent="0.2">
      <c r="I283" t="s">
        <v>175</v>
      </c>
      <c r="J283">
        <v>100000</v>
      </c>
      <c r="K283">
        <v>557.68737999999996</v>
      </c>
      <c r="L283">
        <v>-23115.712240000001</v>
      </c>
      <c r="M283">
        <v>91976.649149000004</v>
      </c>
      <c r="N283">
        <v>-0.53122400000000003</v>
      </c>
      <c r="O283">
        <v>33.845332999999997</v>
      </c>
      <c r="P283">
        <v>201.249708</v>
      </c>
      <c r="Q283">
        <v>13.503425999999999</v>
      </c>
      <c r="R283">
        <v>3344</v>
      </c>
      <c r="S283">
        <v>1408</v>
      </c>
      <c r="T283">
        <f>S283/(S283+R283)</f>
        <v>0.29629629629629628</v>
      </c>
      <c r="U283">
        <f>-4.142-2.4635*T283</f>
        <v>-4.8719259259259262</v>
      </c>
      <c r="V283">
        <f>L283-(SUM(R283:S283)*U283)</f>
        <v>35.679759999999078</v>
      </c>
      <c r="W283">
        <f>V283/(2*O283*Q283)</f>
        <v>3.9034549233125729E-2</v>
      </c>
      <c r="X283">
        <f>W283*16.02</f>
        <v>0.62533347871467415</v>
      </c>
    </row>
    <row r="284" spans="9:25" x14ac:dyDescent="0.2">
      <c r="J284">
        <v>100000</v>
      </c>
      <c r="K284">
        <v>557.85391500000003</v>
      </c>
      <c r="L284">
        <v>-22961.777061000001</v>
      </c>
      <c r="M284">
        <v>92333.621905000007</v>
      </c>
      <c r="N284">
        <v>-0.48569000000000001</v>
      </c>
      <c r="O284">
        <v>33.886623999999998</v>
      </c>
      <c r="P284">
        <v>201.719584</v>
      </c>
      <c r="Q284">
        <v>13.507776</v>
      </c>
      <c r="R284">
        <v>3404</v>
      </c>
      <c r="S284">
        <v>1348</v>
      </c>
      <c r="T284">
        <f>S284/(S284+R284)</f>
        <v>0.28367003367003368</v>
      </c>
      <c r="U284">
        <f>-4.142-2.4635*T284</f>
        <v>-4.8408211279461284</v>
      </c>
      <c r="V284">
        <f>L284-(SUM(R284:S284)*U284)</f>
        <v>41.804939000001468</v>
      </c>
      <c r="W284">
        <f>V284/(2*O284*Q284)</f>
        <v>4.5665208454487294E-2</v>
      </c>
      <c r="X284">
        <f>W284*16.02</f>
        <v>0.73155663944088645</v>
      </c>
    </row>
    <row r="285" spans="9:25" x14ac:dyDescent="0.2">
      <c r="J285">
        <v>100000</v>
      </c>
      <c r="K285">
        <v>557.89800500000001</v>
      </c>
      <c r="L285">
        <v>-23082.952507000002</v>
      </c>
      <c r="M285">
        <v>92063.182921</v>
      </c>
      <c r="N285">
        <v>-0.62098500000000001</v>
      </c>
      <c r="O285">
        <v>33.845165000000001</v>
      </c>
      <c r="P285">
        <v>201.29376600000001</v>
      </c>
      <c r="Q285">
        <v>13.51324</v>
      </c>
      <c r="R285">
        <v>3355</v>
      </c>
      <c r="S285">
        <v>1397</v>
      </c>
      <c r="T285">
        <f>S285/(S285+R285)</f>
        <v>0.29398148148148145</v>
      </c>
      <c r="U285">
        <f>-4.142-2.4635*T285</f>
        <v>-4.8662233796296297</v>
      </c>
      <c r="V285">
        <f>L285-(SUM(R285:S285)*U285)</f>
        <v>41.340992999997979</v>
      </c>
      <c r="W285">
        <f>V285/(2*O285*Q285)</f>
        <v>4.5195457048869313E-2</v>
      </c>
      <c r="X285">
        <f>W285*16.02</f>
        <v>0.72403122192288638</v>
      </c>
    </row>
    <row r="286" spans="9:25" x14ac:dyDescent="0.2">
      <c r="J286">
        <v>100000</v>
      </c>
      <c r="K286">
        <v>557.69048199999997</v>
      </c>
      <c r="L286">
        <v>-23043.231962999998</v>
      </c>
      <c r="M286">
        <v>92112.636748999998</v>
      </c>
      <c r="N286">
        <v>-0.559666</v>
      </c>
      <c r="O286">
        <v>33.882841999999997</v>
      </c>
      <c r="P286">
        <v>201.299982</v>
      </c>
      <c r="Q286">
        <v>13.505045000000001</v>
      </c>
      <c r="R286">
        <v>3373</v>
      </c>
      <c r="S286">
        <v>1379</v>
      </c>
      <c r="T286">
        <f>S286/(S286+R286)</f>
        <v>0.29019360269360267</v>
      </c>
      <c r="U286">
        <f>-4.142-2.4635*T286</f>
        <v>-4.8568919402356903</v>
      </c>
      <c r="V286">
        <f>L286-(SUM(R286:S286)*U286)</f>
        <v>36.718537000000651</v>
      </c>
      <c r="W286">
        <f>V286/(2*O286*Q286)</f>
        <v>4.0121716704831133E-2</v>
      </c>
      <c r="X286">
        <f>W286*16.02</f>
        <v>0.64274990161139478</v>
      </c>
    </row>
    <row r="287" spans="9:25" x14ac:dyDescent="0.2">
      <c r="J287">
        <v>100000</v>
      </c>
      <c r="K287">
        <v>557.91996500000005</v>
      </c>
      <c r="L287">
        <v>-23201.777464999999</v>
      </c>
      <c r="M287">
        <v>91794.743000000002</v>
      </c>
      <c r="N287">
        <v>-0.38924700000000001</v>
      </c>
      <c r="O287">
        <v>33.827579</v>
      </c>
      <c r="P287">
        <v>201.38006799999999</v>
      </c>
      <c r="Q287">
        <v>13.475061999999999</v>
      </c>
      <c r="R287">
        <v>3312</v>
      </c>
      <c r="S287">
        <v>1440</v>
      </c>
      <c r="T287">
        <f>S287/(S287+R287)</f>
        <v>0.30303030303030304</v>
      </c>
      <c r="U287">
        <f>-4.142-2.4635*T287</f>
        <v>-4.8885151515151515</v>
      </c>
      <c r="V287">
        <f>L287-(SUM(R287:S287)*U287)</f>
        <v>28.44653499999913</v>
      </c>
      <c r="W287">
        <f>V287/(2*O287*Q287)</f>
        <v>3.1203096120703686E-2</v>
      </c>
      <c r="X287">
        <f>W287*16.02</f>
        <v>0.49987359985367302</v>
      </c>
    </row>
    <row r="288" spans="9:25" x14ac:dyDescent="0.2">
      <c r="X288" s="1">
        <f>AVERAGE(X283:X287)</f>
        <v>0.64470896830870295</v>
      </c>
      <c r="Y288">
        <f>STDEV(X283:X287)</f>
        <v>9.3796414369571673E-2</v>
      </c>
    </row>
    <row r="289" spans="9:25" x14ac:dyDescent="0.2">
      <c r="I289" t="s">
        <v>111</v>
      </c>
      <c r="K289">
        <v>520.47434299999998</v>
      </c>
      <c r="L289">
        <v>-18766.814433</v>
      </c>
      <c r="M289">
        <v>73652.795450999998</v>
      </c>
      <c r="N289">
        <v>-0.464057</v>
      </c>
      <c r="O289">
        <v>30.251556000000001</v>
      </c>
      <c r="P289">
        <v>180.60032799999999</v>
      </c>
      <c r="Q289">
        <v>13.481045</v>
      </c>
      <c r="R289">
        <v>2624</v>
      </c>
      <c r="S289">
        <v>1200</v>
      </c>
      <c r="T289">
        <f>S289/(S289+R289)</f>
        <v>0.31380753138075312</v>
      </c>
      <c r="U289">
        <f>-4.142-2.4635*T289</f>
        <v>-4.9150648535564851</v>
      </c>
      <c r="V289">
        <f>L289-(SUM(R289:S289)*U289)</f>
        <v>28.393566999999166</v>
      </c>
      <c r="W289">
        <f>V289/(2*O289*Q289)</f>
        <v>3.4811175070304866E-2</v>
      </c>
      <c r="X289">
        <f>W289*16.02</f>
        <v>0.55767502462628393</v>
      </c>
    </row>
    <row r="290" spans="9:25" x14ac:dyDescent="0.2">
      <c r="K290">
        <v>520.42742199999998</v>
      </c>
      <c r="L290">
        <v>-18743.549866000001</v>
      </c>
      <c r="M290">
        <v>73666.602534999998</v>
      </c>
      <c r="N290">
        <v>-0.54366000000000003</v>
      </c>
      <c r="O290">
        <v>30.293112000000001</v>
      </c>
      <c r="P290">
        <v>180.32366999999999</v>
      </c>
      <c r="Q290">
        <v>13.485733</v>
      </c>
      <c r="R290">
        <v>2625</v>
      </c>
      <c r="S290">
        <v>1197</v>
      </c>
      <c r="T290">
        <f>S290/(S290+R290)</f>
        <v>0.31318681318681318</v>
      </c>
      <c r="U290">
        <f>-4.142-2.4635*T290</f>
        <v>-4.9135357142857146</v>
      </c>
      <c r="V290">
        <f>L290-(SUM(R290:S290)*U290)</f>
        <v>35.983634000000166</v>
      </c>
      <c r="W290">
        <f>V290/(2*O290*Q290)</f>
        <v>4.4040939770721529E-2</v>
      </c>
      <c r="X290">
        <f>W290*16.02</f>
        <v>0.70553585512695893</v>
      </c>
    </row>
    <row r="291" spans="9:25" x14ac:dyDescent="0.2">
      <c r="K291">
        <v>520.54344400000002</v>
      </c>
      <c r="L291">
        <v>-18745.679240000001</v>
      </c>
      <c r="M291">
        <v>73711.672886</v>
      </c>
      <c r="N291">
        <v>-0.63032900000000003</v>
      </c>
      <c r="O291">
        <v>30.302078999999999</v>
      </c>
      <c r="P291">
        <v>180.45390800000001</v>
      </c>
      <c r="Q291">
        <v>13.480257</v>
      </c>
      <c r="R291">
        <v>2628</v>
      </c>
      <c r="S291">
        <v>1196</v>
      </c>
      <c r="T291">
        <f>S291/(S291+R291)</f>
        <v>0.31276150627615062</v>
      </c>
      <c r="U291">
        <f>-4.142-2.4635*T291</f>
        <v>-4.9124879707112976</v>
      </c>
      <c r="V291">
        <f>L291-(SUM(R291:S291)*U291)</f>
        <v>39.674760000001697</v>
      </c>
      <c r="W291">
        <f>V291/(2*O291*Q291)</f>
        <v>4.8563917702453614E-2</v>
      </c>
      <c r="X291">
        <f>W291*16.02</f>
        <v>0.77799396159330692</v>
      </c>
    </row>
    <row r="292" spans="9:25" x14ac:dyDescent="0.2">
      <c r="K292">
        <v>520.56267400000002</v>
      </c>
      <c r="L292">
        <v>-18681.720566</v>
      </c>
      <c r="M292">
        <v>73866.998424999998</v>
      </c>
      <c r="N292">
        <v>-0.44917499999999999</v>
      </c>
      <c r="O292">
        <v>30.283111999999999</v>
      </c>
      <c r="P292">
        <v>180.563728</v>
      </c>
      <c r="Q292">
        <v>13.508905</v>
      </c>
      <c r="R292">
        <v>2654</v>
      </c>
      <c r="S292">
        <v>1170</v>
      </c>
      <c r="T292">
        <f>S292/(S292+R292)</f>
        <v>0.30596234309623432</v>
      </c>
      <c r="U292">
        <f>-4.142-2.4635*T292</f>
        <v>-4.8957382322175738</v>
      </c>
      <c r="V292">
        <f>L292-(SUM(R292:S292)*U292)</f>
        <v>39.582434000003559</v>
      </c>
      <c r="W292">
        <f>V292/(2*O292*Q292)</f>
        <v>4.8378438909905626E-2</v>
      </c>
      <c r="X292">
        <f>W292*16.02</f>
        <v>0.77502259133668816</v>
      </c>
    </row>
    <row r="293" spans="9:25" x14ac:dyDescent="0.2">
      <c r="K293">
        <v>520.50734499999999</v>
      </c>
      <c r="L293">
        <v>-18718.211413000001</v>
      </c>
      <c r="M293">
        <v>73778.037779999999</v>
      </c>
      <c r="N293">
        <v>-0.54591199999999995</v>
      </c>
      <c r="O293">
        <v>30.297591000000001</v>
      </c>
      <c r="P293">
        <v>180.72763499999999</v>
      </c>
      <c r="Q293">
        <v>13.473952000000001</v>
      </c>
      <c r="R293">
        <v>2643</v>
      </c>
      <c r="S293">
        <v>1181</v>
      </c>
      <c r="T293">
        <f>S293/(S293+R293)</f>
        <v>0.3088389121338912</v>
      </c>
      <c r="U293">
        <f>-4.142-2.4635*T293</f>
        <v>-4.9028246600418415</v>
      </c>
      <c r="V293">
        <f>L293-(SUM(R293:S293)*U293)</f>
        <v>30.190087000002677</v>
      </c>
      <c r="W293">
        <f>V293/(2*O293*Q293)</f>
        <v>3.6976966041457802E-2</v>
      </c>
      <c r="X293">
        <f>W293*16.02</f>
        <v>0.59237099598415399</v>
      </c>
    </row>
    <row r="294" spans="9:25" x14ac:dyDescent="0.2">
      <c r="X294" s="1">
        <f>AVERAGE(X289:X293)</f>
        <v>0.68171968573347841</v>
      </c>
      <c r="Y294">
        <f>STDEV(X289:X293)</f>
        <v>0.10236166838718681</v>
      </c>
    </row>
    <row r="295" spans="9:25" x14ac:dyDescent="0.2">
      <c r="X295" s="1"/>
    </row>
    <row r="296" spans="9:25" x14ac:dyDescent="0.2">
      <c r="I296">
        <v>300</v>
      </c>
      <c r="J296" t="s">
        <v>176</v>
      </c>
      <c r="K296" t="s">
        <v>18</v>
      </c>
      <c r="L296" t="s">
        <v>5</v>
      </c>
      <c r="M296" t="s">
        <v>7</v>
      </c>
      <c r="N296" t="s">
        <v>19</v>
      </c>
      <c r="O296" t="s">
        <v>20</v>
      </c>
      <c r="P296" t="s">
        <v>21</v>
      </c>
      <c r="Q296" t="s">
        <v>22</v>
      </c>
      <c r="R296" t="s">
        <v>4</v>
      </c>
      <c r="S296" t="s">
        <v>10</v>
      </c>
      <c r="T296" t="s">
        <v>13</v>
      </c>
      <c r="U296" t="s">
        <v>26</v>
      </c>
      <c r="V296" t="s">
        <v>12</v>
      </c>
      <c r="W296" t="s">
        <v>23</v>
      </c>
      <c r="X296" t="s">
        <v>23</v>
      </c>
    </row>
    <row r="297" spans="9:25" x14ac:dyDescent="0.2">
      <c r="I297" t="s">
        <v>55</v>
      </c>
      <c r="J297">
        <v>100000</v>
      </c>
      <c r="K297">
        <v>260.30625199999997</v>
      </c>
      <c r="L297">
        <v>-19227.329185999999</v>
      </c>
      <c r="M297">
        <v>74708.096382000003</v>
      </c>
      <c r="N297">
        <v>-0.151505</v>
      </c>
      <c r="O297">
        <v>30.487963000000001</v>
      </c>
      <c r="P297">
        <v>182.01798500000001</v>
      </c>
      <c r="Q297">
        <v>13.462486</v>
      </c>
      <c r="R297">
        <v>2717</v>
      </c>
      <c r="S297">
        <v>1187</v>
      </c>
      <c r="T297">
        <f>S297/(S297+R297)</f>
        <v>0.30404713114754101</v>
      </c>
      <c r="U297">
        <f>-4.1653-2.5269*T297</f>
        <v>-4.9335966956967212</v>
      </c>
      <c r="V297">
        <f>L297-(SUM(R297:S297)*U297)</f>
        <v>33.432314000001497</v>
      </c>
      <c r="W297">
        <f>V297/(2*O297*Q297)</f>
        <v>4.0727032582524372E-2</v>
      </c>
      <c r="X297">
        <f>W297*16.02</f>
        <v>0.65244706197204039</v>
      </c>
    </row>
    <row r="298" spans="9:25" x14ac:dyDescent="0.2">
      <c r="J298">
        <v>100000</v>
      </c>
      <c r="K298">
        <v>260.26573300000001</v>
      </c>
      <c r="L298">
        <v>-19101.046607</v>
      </c>
      <c r="M298">
        <v>75020.962878999999</v>
      </c>
      <c r="N298">
        <v>-0.25731999999999999</v>
      </c>
      <c r="O298">
        <v>30.571106</v>
      </c>
      <c r="P298">
        <v>182.091365</v>
      </c>
      <c r="Q298">
        <v>13.476667000000001</v>
      </c>
      <c r="R298">
        <v>2769</v>
      </c>
      <c r="S298">
        <v>1135</v>
      </c>
      <c r="T298">
        <f>S298/(S298+R298)</f>
        <v>0.29072745901639346</v>
      </c>
      <c r="U298">
        <f>-4.1653-2.5269*T298</f>
        <v>-4.8999392161885247</v>
      </c>
      <c r="V298">
        <f>L298-(SUM(R298:S298)*U298)</f>
        <v>28.316093000001274</v>
      </c>
      <c r="W298">
        <f>V298/(2*O298*Q298)</f>
        <v>3.4364472841154091E-2</v>
      </c>
      <c r="X298">
        <f>W298*16.02</f>
        <v>0.55051885491528851</v>
      </c>
    </row>
    <row r="299" spans="9:25" x14ac:dyDescent="0.2">
      <c r="J299">
        <v>100000</v>
      </c>
      <c r="K299">
        <v>260.28613100000001</v>
      </c>
      <c r="L299">
        <v>-19091.294325999999</v>
      </c>
      <c r="M299">
        <v>75056.940331999998</v>
      </c>
      <c r="N299">
        <v>-0.19278100000000001</v>
      </c>
      <c r="O299">
        <v>30.512813000000001</v>
      </c>
      <c r="P299">
        <v>182.39891900000001</v>
      </c>
      <c r="Q299">
        <v>13.486112</v>
      </c>
      <c r="R299">
        <v>2772</v>
      </c>
      <c r="S299">
        <v>1132</v>
      </c>
      <c r="T299">
        <f>S299/(S299+R299)</f>
        <v>0.28995901639344263</v>
      </c>
      <c r="U299">
        <f>-4.1653-2.5269*T299</f>
        <v>-4.8979974385245901</v>
      </c>
      <c r="V299">
        <f>L299-(SUM(R299:S299)*U299)</f>
        <v>30.48767399999997</v>
      </c>
      <c r="W299">
        <f>V299/(2*O299*Q299)</f>
        <v>3.704463215950847E-2</v>
      </c>
      <c r="X299">
        <f>W299*16.02</f>
        <v>0.59345500719532562</v>
      </c>
    </row>
    <row r="300" spans="9:25" x14ac:dyDescent="0.2">
      <c r="J300">
        <v>100000</v>
      </c>
      <c r="K300">
        <v>260.24672399999997</v>
      </c>
      <c r="L300">
        <v>-19220.898467999999</v>
      </c>
      <c r="M300">
        <v>74715.312558000005</v>
      </c>
      <c r="N300">
        <v>-0.180982</v>
      </c>
      <c r="O300">
        <v>30.524885000000001</v>
      </c>
      <c r="P300">
        <v>181.58214100000001</v>
      </c>
      <c r="Q300">
        <v>13.479777</v>
      </c>
      <c r="R300">
        <v>2722</v>
      </c>
      <c r="S300">
        <v>1182</v>
      </c>
      <c r="T300">
        <f>S300/(S300+R300)</f>
        <v>0.30276639344262296</v>
      </c>
      <c r="U300">
        <f>-4.1653-2.5269*T300</f>
        <v>-4.9303603995901639</v>
      </c>
      <c r="V300">
        <f>L300-(SUM(R300:S300)*U300)</f>
        <v>27.228532000000996</v>
      </c>
      <c r="W300">
        <f>V300/(2*O300*Q300)</f>
        <v>3.3087007333025151E-2</v>
      </c>
      <c r="X300">
        <f>W300*16.02</f>
        <v>0.53005385747506295</v>
      </c>
    </row>
    <row r="301" spans="9:25" x14ac:dyDescent="0.2">
      <c r="J301">
        <v>100000</v>
      </c>
      <c r="K301">
        <v>260.30116400000003</v>
      </c>
      <c r="L301">
        <v>-19130.749015000001</v>
      </c>
      <c r="M301">
        <v>74942.679986000003</v>
      </c>
      <c r="N301">
        <v>-0.205316</v>
      </c>
      <c r="O301">
        <v>30.534614000000001</v>
      </c>
      <c r="P301">
        <v>181.92564400000001</v>
      </c>
      <c r="Q301">
        <v>13.490973</v>
      </c>
      <c r="R301">
        <v>2758</v>
      </c>
      <c r="S301">
        <v>1146</v>
      </c>
      <c r="T301">
        <f>S301/(S301+R301)</f>
        <v>0.29354508196721313</v>
      </c>
      <c r="U301">
        <f>-4.1653-2.5269*T301</f>
        <v>-4.9070590676229511</v>
      </c>
      <c r="V301">
        <f>L301-(SUM(R301:S301)*U301)</f>
        <v>26.409585000001243</v>
      </c>
      <c r="W301">
        <f>V301/(2*O301*Q301)</f>
        <v>3.2055006825777214E-2</v>
      </c>
      <c r="X301">
        <f>W301*16.02</f>
        <v>0.51352120934895096</v>
      </c>
    </row>
    <row r="302" spans="9:25" x14ac:dyDescent="0.2">
      <c r="X302" s="1">
        <f>AVERAGE(X297:X301)</f>
        <v>0.56799919818133371</v>
      </c>
      <c r="Y302">
        <f>STDEV(X297:X301)</f>
        <v>5.5885379261049889E-2</v>
      </c>
    </row>
    <row r="303" spans="9:25" x14ac:dyDescent="0.2">
      <c r="I303" t="s">
        <v>133</v>
      </c>
      <c r="J303">
        <v>100000</v>
      </c>
      <c r="K303">
        <v>278.93199900000002</v>
      </c>
      <c r="L303">
        <v>-15547.724323</v>
      </c>
      <c r="M303">
        <v>60783.337604</v>
      </c>
      <c r="N303">
        <v>-0.36748900000000001</v>
      </c>
      <c r="O303">
        <v>23.872440999999998</v>
      </c>
      <c r="P303">
        <v>189.00755100000001</v>
      </c>
      <c r="Q303">
        <v>13.47128</v>
      </c>
      <c r="R303">
        <v>2228</v>
      </c>
      <c r="S303">
        <v>940</v>
      </c>
      <c r="T303">
        <f>S303/(S303+R303)</f>
        <v>0.29671717171717171</v>
      </c>
      <c r="U303">
        <f>-4.1653-2.5269*T303</f>
        <v>-4.9150746212121215</v>
      </c>
      <c r="V303">
        <f>L303-(SUM(R303:S303)*U303)</f>
        <v>23.232077000000572</v>
      </c>
      <c r="W303">
        <f>V303/(2*O303*Q303)</f>
        <v>3.6120383366596426E-2</v>
      </c>
      <c r="X303">
        <f>W303*16.02</f>
        <v>0.57864854153287471</v>
      </c>
    </row>
    <row r="304" spans="9:25" x14ac:dyDescent="0.2">
      <c r="J304">
        <v>100000</v>
      </c>
      <c r="K304">
        <v>278.91840000000002</v>
      </c>
      <c r="L304">
        <v>-15562.698635999999</v>
      </c>
      <c r="M304">
        <v>60724.004385</v>
      </c>
      <c r="N304">
        <v>-0.32514300000000002</v>
      </c>
      <c r="O304">
        <v>23.838328000000001</v>
      </c>
      <c r="P304">
        <v>188.76282</v>
      </c>
      <c r="Q304">
        <v>13.494866999999999</v>
      </c>
      <c r="R304">
        <v>2221</v>
      </c>
      <c r="S304">
        <v>947</v>
      </c>
      <c r="T304">
        <f>S304/(S304+R304)</f>
        <v>0.29892676767676768</v>
      </c>
      <c r="U304">
        <f>-4.1653-2.5269*T304</f>
        <v>-4.9206580492424248</v>
      </c>
      <c r="V304">
        <f>L304-(SUM(R304:S304)*U304)</f>
        <v>25.946064000003389</v>
      </c>
      <c r="W304">
        <f>V304/(2*O304*Q304)</f>
        <v>4.0327109044164429E-2</v>
      </c>
      <c r="X304">
        <f>W304*16.02</f>
        <v>0.64604028688751414</v>
      </c>
    </row>
    <row r="305" spans="9:25" x14ac:dyDescent="0.2">
      <c r="J305">
        <v>100000</v>
      </c>
      <c r="K305">
        <v>278.90277200000003</v>
      </c>
      <c r="L305">
        <v>-15585.128473999999</v>
      </c>
      <c r="M305">
        <v>60680.471639000003</v>
      </c>
      <c r="N305">
        <v>-0.31712099999999999</v>
      </c>
      <c r="O305">
        <v>23.806242999999998</v>
      </c>
      <c r="P305">
        <v>189.27334999999999</v>
      </c>
      <c r="Q305">
        <v>13.466942</v>
      </c>
      <c r="R305">
        <v>2213</v>
      </c>
      <c r="S305">
        <v>955</v>
      </c>
      <c r="T305">
        <f>S305/(S305+R305)</f>
        <v>0.30145202020202022</v>
      </c>
      <c r="U305">
        <f>-4.1653-2.5269*T305</f>
        <v>-4.9270391098484847</v>
      </c>
      <c r="V305">
        <f>L305-(SUM(R305:S305)*U305)</f>
        <v>23.731426000000283</v>
      </c>
      <c r="W305">
        <f>V305/(2*O305*Q305)</f>
        <v>3.7011270002808537E-2</v>
      </c>
      <c r="X305">
        <f>W305*16.02</f>
        <v>0.59292054544499273</v>
      </c>
    </row>
    <row r="306" spans="9:25" x14ac:dyDescent="0.2">
      <c r="J306">
        <v>100000</v>
      </c>
      <c r="K306">
        <v>278.934324</v>
      </c>
      <c r="L306">
        <v>-15550.639058999999</v>
      </c>
      <c r="M306">
        <v>60772.643459999999</v>
      </c>
      <c r="N306">
        <v>-0.37867200000000001</v>
      </c>
      <c r="O306">
        <v>23.846143999999999</v>
      </c>
      <c r="P306">
        <v>189.23244099999999</v>
      </c>
      <c r="Q306">
        <v>13.467743</v>
      </c>
      <c r="R306">
        <v>2225</v>
      </c>
      <c r="S306">
        <v>943</v>
      </c>
      <c r="T306">
        <f>S306/(S306+R306)</f>
        <v>0.29766414141414144</v>
      </c>
      <c r="U306">
        <f>-4.1653-2.5269*T306</f>
        <v>-4.9174675189393939</v>
      </c>
      <c r="V306">
        <f>L306-(SUM(R306:S306)*U306)</f>
        <v>27.898041000000376</v>
      </c>
      <c r="W306">
        <f>V306/(2*O306*Q306)</f>
        <v>4.3434090309347514E-2</v>
      </c>
      <c r="X306">
        <f>W306*16.02</f>
        <v>0.69581412675574716</v>
      </c>
    </row>
    <row r="307" spans="9:25" x14ac:dyDescent="0.2">
      <c r="J307">
        <v>100000</v>
      </c>
      <c r="K307">
        <v>278.95601799999997</v>
      </c>
      <c r="L307">
        <v>-15544.954974</v>
      </c>
      <c r="M307">
        <v>60786.224028999997</v>
      </c>
      <c r="N307">
        <v>-0.25745800000000002</v>
      </c>
      <c r="O307">
        <v>23.865752000000001</v>
      </c>
      <c r="P307">
        <v>189.43678199999999</v>
      </c>
      <c r="Q307">
        <v>13.445169999999999</v>
      </c>
      <c r="R307">
        <v>2227</v>
      </c>
      <c r="S307">
        <v>941</v>
      </c>
      <c r="T307">
        <f>S307/(S307+R307)</f>
        <v>0.29703282828282829</v>
      </c>
      <c r="U307">
        <f>-4.1653-2.5269*T307</f>
        <v>-4.915872253787879</v>
      </c>
      <c r="V307">
        <f>L307-(SUM(R307:S307)*U307)</f>
        <v>28.528325999999652</v>
      </c>
      <c r="W307">
        <f>V307/(2*O307*Q307)</f>
        <v>4.4453388579284769E-2</v>
      </c>
      <c r="X307">
        <f>W307*16.02</f>
        <v>0.71214328504014202</v>
      </c>
    </row>
    <row r="308" spans="9:25" x14ac:dyDescent="0.2">
      <c r="X308" s="1">
        <f>AVERAGE(X303:X307)</f>
        <v>0.64511335713225404</v>
      </c>
      <c r="Y308">
        <f>STDEV(X303:X307)</f>
        <v>5.9594672117152782E-2</v>
      </c>
    </row>
    <row r="309" spans="9:25" x14ac:dyDescent="0.2">
      <c r="I309" t="s">
        <v>28</v>
      </c>
      <c r="J309">
        <v>100000</v>
      </c>
      <c r="K309">
        <v>278.87412899999998</v>
      </c>
      <c r="L309">
        <v>-12261.907926</v>
      </c>
      <c r="M309">
        <v>47147.194218999997</v>
      </c>
      <c r="N309">
        <v>-0.44820399999999999</v>
      </c>
      <c r="O309">
        <v>34.275599999999997</v>
      </c>
      <c r="P309">
        <v>136.39601500000001</v>
      </c>
      <c r="Q309">
        <v>10.084853000000001</v>
      </c>
      <c r="R309">
        <v>1683</v>
      </c>
      <c r="S309">
        <v>789</v>
      </c>
      <c r="T309">
        <f>S309/(S309+R309)</f>
        <v>0.31917475728155342</v>
      </c>
      <c r="U309">
        <f>-4.1653-2.5269*T309</f>
        <v>-4.9718226941747572</v>
      </c>
      <c r="V309">
        <f>L309-(SUM(R309:S309)*U309)</f>
        <v>28.43777399999999</v>
      </c>
      <c r="W309">
        <f>V309/(2*O309*Q309)</f>
        <v>4.1134949143532974E-2</v>
      </c>
      <c r="X309">
        <f>W309*16.02</f>
        <v>0.65898188527939827</v>
      </c>
    </row>
    <row r="310" spans="9:25" x14ac:dyDescent="0.2">
      <c r="J310">
        <v>100000</v>
      </c>
      <c r="K310">
        <v>278.95516099999998</v>
      </c>
      <c r="L310">
        <v>-12057.728739</v>
      </c>
      <c r="M310">
        <v>47600.428619999999</v>
      </c>
      <c r="N310">
        <v>-0.53808400000000001</v>
      </c>
      <c r="O310">
        <v>34.411842</v>
      </c>
      <c r="P310">
        <v>136.76695799999999</v>
      </c>
      <c r="Q310">
        <v>10.113982</v>
      </c>
      <c r="R310">
        <v>1761</v>
      </c>
      <c r="S310">
        <v>711</v>
      </c>
      <c r="T310">
        <f>S310/(S310+R310)</f>
        <v>0.28762135922330095</v>
      </c>
      <c r="U310">
        <f>-4.1653-2.5269*T310</f>
        <v>-4.8920904126213589</v>
      </c>
      <c r="V310">
        <f>L310-(SUM(R310:S310)*U310)</f>
        <v>35.518760999999358</v>
      </c>
      <c r="W310">
        <f>V310/(2*O310*Q310)</f>
        <v>5.1026727389442958E-2</v>
      </c>
      <c r="X310">
        <f>W310*16.02</f>
        <v>0.81744817277887616</v>
      </c>
    </row>
    <row r="311" spans="9:25" x14ac:dyDescent="0.2">
      <c r="J311">
        <v>100000</v>
      </c>
      <c r="K311">
        <v>278.95482500000003</v>
      </c>
      <c r="L311">
        <v>-12215.050517</v>
      </c>
      <c r="M311">
        <v>47257.086657</v>
      </c>
      <c r="N311">
        <v>-0.45174199999999998</v>
      </c>
      <c r="O311">
        <v>34.309733000000001</v>
      </c>
      <c r="P311">
        <v>136.65525199999999</v>
      </c>
      <c r="Q311">
        <v>10.079145</v>
      </c>
      <c r="R311">
        <v>1700</v>
      </c>
      <c r="S311">
        <v>772</v>
      </c>
      <c r="T311">
        <f>S311/(S311+R311)</f>
        <v>0.31229773462783172</v>
      </c>
      <c r="U311">
        <f>-4.1653-2.5269*T311</f>
        <v>-4.9544451456310679</v>
      </c>
      <c r="V311">
        <f>L311-(SUM(R311:S311)*U311)</f>
        <v>32.337883000000147</v>
      </c>
      <c r="W311">
        <f>V311/(2*O311*Q311)</f>
        <v>4.6756345410468844E-2</v>
      </c>
      <c r="X311">
        <f>W311*16.02</f>
        <v>0.74903665347571091</v>
      </c>
    </row>
    <row r="312" spans="9:25" x14ac:dyDescent="0.2">
      <c r="J312">
        <v>100000</v>
      </c>
      <c r="K312">
        <v>278.89406400000001</v>
      </c>
      <c r="L312">
        <v>-12035.657362</v>
      </c>
      <c r="M312">
        <v>47708.449445999999</v>
      </c>
      <c r="N312">
        <v>-0.45332899999999998</v>
      </c>
      <c r="O312">
        <v>34.539434</v>
      </c>
      <c r="P312">
        <v>137.51406700000001</v>
      </c>
      <c r="Q312">
        <v>10.044620999999999</v>
      </c>
      <c r="R312">
        <v>1772</v>
      </c>
      <c r="S312">
        <v>700</v>
      </c>
      <c r="T312">
        <f>S312/(S312+R312)</f>
        <v>0.28317152103559873</v>
      </c>
      <c r="U312">
        <f>-4.1653-2.5269*T312</f>
        <v>-4.8808461165048547</v>
      </c>
      <c r="V312">
        <f>L312-(SUM(R312:S312)*U312)</f>
        <v>29.794238000000405</v>
      </c>
      <c r="W312">
        <f>V312/(2*O312*Q312)</f>
        <v>4.2939157180027616E-2</v>
      </c>
      <c r="X312">
        <f>W312*16.02</f>
        <v>0.68788529802404241</v>
      </c>
    </row>
    <row r="313" spans="9:25" x14ac:dyDescent="0.2">
      <c r="J313">
        <v>100000</v>
      </c>
      <c r="K313">
        <v>278.83325000000002</v>
      </c>
      <c r="L313">
        <v>-12133.92001</v>
      </c>
      <c r="M313">
        <v>47437.209303000003</v>
      </c>
      <c r="N313">
        <v>-0.51857600000000004</v>
      </c>
      <c r="O313">
        <v>34.285383000000003</v>
      </c>
      <c r="P313">
        <v>136.80328800000001</v>
      </c>
      <c r="Q313">
        <v>10.113795</v>
      </c>
      <c r="R313">
        <v>1734</v>
      </c>
      <c r="S313">
        <v>738</v>
      </c>
      <c r="T313">
        <f>S313/(S313+R313)</f>
        <v>0.29854368932038833</v>
      </c>
      <c r="U313">
        <f>-4.1653-2.5269*T313</f>
        <v>-4.9196900485436892</v>
      </c>
      <c r="V313">
        <f>L313-(SUM(R313:S313)*U313)</f>
        <v>27.553789999999935</v>
      </c>
      <c r="W313">
        <f>V313/(2*O313*Q313)</f>
        <v>3.9730881123150472E-2</v>
      </c>
      <c r="X313">
        <f>W313*16.02</f>
        <v>0.63648871559287057</v>
      </c>
    </row>
    <row r="314" spans="9:25" x14ac:dyDescent="0.2">
      <c r="X314" s="1">
        <f>AVERAGE(X309:X313)</f>
        <v>0.70996814503017969</v>
      </c>
      <c r="Y314">
        <f>STDEV(X309:X313)</f>
        <v>7.3424760950789314E-2</v>
      </c>
    </row>
    <row r="315" spans="9:25" x14ac:dyDescent="0.2">
      <c r="I315" t="s">
        <v>134</v>
      </c>
      <c r="J315">
        <v>100000</v>
      </c>
      <c r="K315">
        <v>278.896862</v>
      </c>
      <c r="L315">
        <v>-15913.405511999999</v>
      </c>
      <c r="M315">
        <v>61856.057319</v>
      </c>
      <c r="N315">
        <v>-0.311475</v>
      </c>
      <c r="O315">
        <v>27.756485999999999</v>
      </c>
      <c r="P315">
        <v>165.60770099999999</v>
      </c>
      <c r="Q315">
        <v>13.456670000000001</v>
      </c>
      <c r="R315">
        <v>2248</v>
      </c>
      <c r="S315">
        <v>984</v>
      </c>
      <c r="T315">
        <f>S315/(S315+R315)</f>
        <v>0.30445544554455445</v>
      </c>
      <c r="U315">
        <f>-4.1653-2.5269*T315</f>
        <v>-4.9346284653465347</v>
      </c>
      <c r="V315">
        <f>L315-(SUM(R315:S315)*U315)</f>
        <v>35.313688000000184</v>
      </c>
      <c r="W315">
        <f>V315/(2*O315*Q315)</f>
        <v>4.7272763859312499E-2</v>
      </c>
      <c r="X315">
        <f>W315*16.02</f>
        <v>0.75730967702618623</v>
      </c>
    </row>
    <row r="316" spans="9:25" x14ac:dyDescent="0.2">
      <c r="J316">
        <v>100000</v>
      </c>
      <c r="K316">
        <v>278.93437899999998</v>
      </c>
      <c r="L316">
        <v>-15743.177390000001</v>
      </c>
      <c r="M316">
        <v>62264.280185000003</v>
      </c>
      <c r="N316">
        <v>-0.37556699999999998</v>
      </c>
      <c r="O316">
        <v>27.828987000000001</v>
      </c>
      <c r="P316">
        <v>165.78362999999999</v>
      </c>
      <c r="Q316">
        <v>13.495854</v>
      </c>
      <c r="R316">
        <v>2315</v>
      </c>
      <c r="S316">
        <v>917</v>
      </c>
      <c r="T316">
        <f>S316/(S316+R316)</f>
        <v>0.28372524752475248</v>
      </c>
      <c r="U316">
        <f>-4.1653-2.5269*T316</f>
        <v>-4.8822453279702973</v>
      </c>
      <c r="V316">
        <f>L316-(SUM(R316:S316)*U316)</f>
        <v>36.239509999999427</v>
      </c>
      <c r="W316">
        <f>V316/(2*O316*Q316)</f>
        <v>4.8245248973325765E-2</v>
      </c>
      <c r="X316">
        <f>W316*16.02</f>
        <v>0.77288888855267868</v>
      </c>
    </row>
    <row r="317" spans="9:25" x14ac:dyDescent="0.2">
      <c r="J317">
        <v>100000</v>
      </c>
      <c r="K317">
        <v>278.91684099999998</v>
      </c>
      <c r="L317">
        <v>-15883.048317999999</v>
      </c>
      <c r="M317">
        <v>61931.108072000003</v>
      </c>
      <c r="N317">
        <v>-0.34048499999999998</v>
      </c>
      <c r="O317">
        <v>27.769369999999999</v>
      </c>
      <c r="P317">
        <v>165.90535</v>
      </c>
      <c r="Q317">
        <v>13.442589</v>
      </c>
      <c r="R317">
        <v>2260</v>
      </c>
      <c r="S317">
        <v>972</v>
      </c>
      <c r="T317">
        <f>S317/(S317+R317)</f>
        <v>0.30074257425742573</v>
      </c>
      <c r="U317">
        <f>-4.1653-2.5269*T317</f>
        <v>-4.9252464108910896</v>
      </c>
      <c r="V317">
        <f>L317-(SUM(R317:S317)*U317)</f>
        <v>35.34808200000225</v>
      </c>
      <c r="W317">
        <f>V317/(2*O317*Q317)</f>
        <v>4.7346394295291097E-2</v>
      </c>
      <c r="X317">
        <f>W317*16.02</f>
        <v>0.75848923661056333</v>
      </c>
    </row>
    <row r="318" spans="9:25" x14ac:dyDescent="0.2">
      <c r="J318">
        <v>100000</v>
      </c>
      <c r="K318">
        <v>278.85787499999998</v>
      </c>
      <c r="L318">
        <v>-15884.949483</v>
      </c>
      <c r="M318">
        <v>61948.652540000003</v>
      </c>
      <c r="N318">
        <v>-0.38895999999999997</v>
      </c>
      <c r="O318">
        <v>27.766791000000001</v>
      </c>
      <c r="P318">
        <v>165.836184</v>
      </c>
      <c r="Q318">
        <v>13.453250000000001</v>
      </c>
      <c r="R318">
        <v>2261</v>
      </c>
      <c r="S318">
        <v>971</v>
      </c>
      <c r="T318">
        <f>S318/(S318+R318)</f>
        <v>0.3004331683168317</v>
      </c>
      <c r="U318">
        <f>-4.1653-2.5269*T318</f>
        <v>-4.9244645730198027</v>
      </c>
      <c r="V318">
        <f>L318-(SUM(R318:S318)*U318)</f>
        <v>30.92001700000219</v>
      </c>
      <c r="W318">
        <f>V318/(2*O318*Q318)</f>
        <v>4.1386321228017699E-2</v>
      </c>
      <c r="X318">
        <f>W318*16.02</f>
        <v>0.66300886607284348</v>
      </c>
    </row>
    <row r="319" spans="9:25" x14ac:dyDescent="0.2">
      <c r="J319">
        <v>100000</v>
      </c>
      <c r="K319">
        <v>278.84058700000003</v>
      </c>
      <c r="L319">
        <v>-15923.842273</v>
      </c>
      <c r="M319">
        <v>61834.176047000001</v>
      </c>
      <c r="N319">
        <v>-0.38590200000000002</v>
      </c>
      <c r="O319">
        <v>27.757373000000001</v>
      </c>
      <c r="P319">
        <v>165.454835</v>
      </c>
      <c r="Q319">
        <v>13.463908</v>
      </c>
      <c r="R319">
        <v>2245</v>
      </c>
      <c r="S319">
        <v>987</v>
      </c>
      <c r="T319">
        <f>S319/(S319+R319)</f>
        <v>0.30538366336633666</v>
      </c>
      <c r="U319">
        <f>-4.1653-2.5269*T319</f>
        <v>-4.9369739789603964</v>
      </c>
      <c r="V319">
        <f>L319-(SUM(R319:S319)*U319)</f>
        <v>32.457627000001594</v>
      </c>
      <c r="W319">
        <f>V319/(2*O319*Q319)</f>
        <v>4.3424744571601497E-2</v>
      </c>
      <c r="X319">
        <f>W319*16.02</f>
        <v>0.69566440803705598</v>
      </c>
    </row>
    <row r="320" spans="9:25" x14ac:dyDescent="0.2">
      <c r="X320" s="1">
        <f>AVERAGE(X315:X319)</f>
        <v>0.7294722152598655</v>
      </c>
      <c r="Y320">
        <f>STDEV(X315:X319)</f>
        <v>4.7597961983271334E-2</v>
      </c>
    </row>
    <row r="321" spans="9:25" x14ac:dyDescent="0.2">
      <c r="I321" t="s">
        <v>27</v>
      </c>
      <c r="J321">
        <v>100000</v>
      </c>
      <c r="K321">
        <v>278.94559299999997</v>
      </c>
      <c r="L321">
        <v>-14131.090749999999</v>
      </c>
      <c r="M321">
        <v>55314.634765000003</v>
      </c>
      <c r="N321">
        <v>-0.34372399999999997</v>
      </c>
      <c r="O321">
        <v>31.967019000000001</v>
      </c>
      <c r="P321">
        <v>128.54808600000001</v>
      </c>
      <c r="Q321">
        <v>13.460853</v>
      </c>
      <c r="R321">
        <v>2022</v>
      </c>
      <c r="S321">
        <v>858</v>
      </c>
      <c r="T321">
        <f>S321/(S321+R321)</f>
        <v>0.29791666666666666</v>
      </c>
      <c r="U321">
        <f>-4.1653-2.5269*T321</f>
        <v>-4.9181056249999999</v>
      </c>
      <c r="V321">
        <f>L321-(SUM(R321:S321)*U321)</f>
        <v>33.053450000001249</v>
      </c>
      <c r="W321">
        <f>V321/(2*O321*Q321)</f>
        <v>3.8407149852608825E-2</v>
      </c>
      <c r="X321">
        <f>W321*16.02</f>
        <v>0.6152825406387934</v>
      </c>
    </row>
    <row r="322" spans="9:25" x14ac:dyDescent="0.2">
      <c r="J322">
        <v>100000</v>
      </c>
      <c r="K322">
        <v>278.86690399999998</v>
      </c>
      <c r="L322">
        <v>-14079.017121000001</v>
      </c>
      <c r="M322">
        <v>55393.958509999997</v>
      </c>
      <c r="N322">
        <v>-0.26627800000000001</v>
      </c>
      <c r="O322">
        <v>32.004837999999999</v>
      </c>
      <c r="P322">
        <v>128.60208499999999</v>
      </c>
      <c r="Q322">
        <v>13.458579</v>
      </c>
      <c r="R322">
        <v>2041</v>
      </c>
      <c r="S322">
        <v>839</v>
      </c>
      <c r="T322">
        <f>S322/(S322+R322)</f>
        <v>0.29131944444444446</v>
      </c>
      <c r="U322">
        <f>-4.1653-2.5269*T322</f>
        <v>-4.9014351041666666</v>
      </c>
      <c r="V322">
        <f>L322-(SUM(R322:S322)*U322)</f>
        <v>37.115978999998333</v>
      </c>
      <c r="W322">
        <f>V322/(2*O322*Q322)</f>
        <v>4.3084006556546872E-2</v>
      </c>
      <c r="X322">
        <f>W322*16.02</f>
        <v>0.69020578503588093</v>
      </c>
    </row>
    <row r="323" spans="9:25" x14ac:dyDescent="0.2">
      <c r="J323">
        <v>100000</v>
      </c>
      <c r="K323">
        <v>278.95967300000001</v>
      </c>
      <c r="L323">
        <v>-14147.161079</v>
      </c>
      <c r="M323">
        <v>55252.632855999997</v>
      </c>
      <c r="N323">
        <v>-0.279026</v>
      </c>
      <c r="O323">
        <v>31.979175000000001</v>
      </c>
      <c r="P323">
        <v>128.60180800000001</v>
      </c>
      <c r="Q323">
        <v>13.435040000000001</v>
      </c>
      <c r="R323">
        <v>2014</v>
      </c>
      <c r="S323">
        <v>866</v>
      </c>
      <c r="T323">
        <f>S323/(S323+R323)</f>
        <v>0.30069444444444443</v>
      </c>
      <c r="U323">
        <f>-4.1653-2.5269*T323</f>
        <v>-4.9251247916666667</v>
      </c>
      <c r="V323">
        <f>L323-(SUM(R323:S323)*U323)</f>
        <v>37.198320999999851</v>
      </c>
      <c r="W323">
        <f>V323/(2*O323*Q323)</f>
        <v>4.3289953842468719E-2</v>
      </c>
      <c r="X323">
        <f>W323*16.02</f>
        <v>0.69350506055634886</v>
      </c>
    </row>
    <row r="324" spans="9:25" x14ac:dyDescent="0.2">
      <c r="J324">
        <v>100000</v>
      </c>
      <c r="K324">
        <v>278.93793199999999</v>
      </c>
      <c r="L324">
        <v>-14075.593237999999</v>
      </c>
      <c r="M324">
        <v>55421.683538999998</v>
      </c>
      <c r="N324">
        <v>-0.37952000000000002</v>
      </c>
      <c r="O324">
        <v>32.032179999999997</v>
      </c>
      <c r="P324">
        <v>128.97941800000001</v>
      </c>
      <c r="Q324">
        <v>13.414455999999999</v>
      </c>
      <c r="R324">
        <v>2044</v>
      </c>
      <c r="S324">
        <v>836</v>
      </c>
      <c r="T324">
        <f>S324/(S324+R324)</f>
        <v>0.2902777777777778</v>
      </c>
      <c r="U324">
        <f>-4.1653-2.5269*T324</f>
        <v>-4.8988029166666669</v>
      </c>
      <c r="V324">
        <f>L324-(SUM(R324:S324)*U324)</f>
        <v>32.959162000001015</v>
      </c>
      <c r="W324">
        <f>V324/(2*O324*Q324)</f>
        <v>3.8351875231915598E-2</v>
      </c>
      <c r="X324">
        <f>W324*16.02</f>
        <v>0.61439704121528782</v>
      </c>
    </row>
    <row r="325" spans="9:25" x14ac:dyDescent="0.2">
      <c r="J325">
        <v>100000</v>
      </c>
      <c r="K325">
        <v>278.79138599999999</v>
      </c>
      <c r="L325">
        <v>-14136.583576999999</v>
      </c>
      <c r="M325">
        <v>55296.071913</v>
      </c>
      <c r="N325">
        <v>-0.33661799999999997</v>
      </c>
      <c r="O325">
        <v>32.012698</v>
      </c>
      <c r="P325">
        <v>128.520196</v>
      </c>
      <c r="Q325">
        <v>13.440052</v>
      </c>
      <c r="R325">
        <v>2018</v>
      </c>
      <c r="S325">
        <v>862</v>
      </c>
      <c r="T325">
        <f>S325/(S325+R325)</f>
        <v>0.29930555555555555</v>
      </c>
      <c r="U325">
        <f>-4.1653-2.5269*T325</f>
        <v>-4.9216152083333338</v>
      </c>
      <c r="V325">
        <f>L325-(SUM(R325:S325)*U325)</f>
        <v>37.668223000002399</v>
      </c>
      <c r="W325">
        <f>V325/(2*O325*Q325)</f>
        <v>4.3774572202123663E-2</v>
      </c>
      <c r="X325">
        <f>W325*16.02</f>
        <v>0.70126864667802102</v>
      </c>
    </row>
    <row r="326" spans="9:25" x14ac:dyDescent="0.2">
      <c r="X326" s="1">
        <f>AVERAGE(X321:X325)</f>
        <v>0.66293181482486641</v>
      </c>
      <c r="Y326">
        <f>STDEV(X321:X325)</f>
        <v>4.4086231019328972E-2</v>
      </c>
    </row>
    <row r="327" spans="9:25" x14ac:dyDescent="0.2">
      <c r="I327" t="s">
        <v>172</v>
      </c>
      <c r="J327">
        <v>100000</v>
      </c>
      <c r="K327">
        <v>278.84994399999999</v>
      </c>
      <c r="L327">
        <v>-18183.632345000002</v>
      </c>
      <c r="M327">
        <v>70269.148207999999</v>
      </c>
      <c r="N327">
        <v>-0.39696300000000001</v>
      </c>
      <c r="O327">
        <v>25.613247000000001</v>
      </c>
      <c r="P327">
        <v>203.769813</v>
      </c>
      <c r="Q327">
        <v>13.463578999999999</v>
      </c>
      <c r="R327">
        <v>2539</v>
      </c>
      <c r="S327">
        <v>1141</v>
      </c>
      <c r="T327">
        <f>S327/(S327+R327)</f>
        <v>0.31005434782608693</v>
      </c>
      <c r="U327">
        <f>-4.1653-2.5269*T327</f>
        <v>-4.9487763315217395</v>
      </c>
      <c r="V327">
        <f>L327-(SUM(R327:S327)*U327)</f>
        <v>27.864555000000109</v>
      </c>
      <c r="W327">
        <f>V327/(2*O327*Q327)</f>
        <v>4.0401450308323747E-2</v>
      </c>
      <c r="X327">
        <f>W327*16.02</f>
        <v>0.64723123393934645</v>
      </c>
    </row>
    <row r="328" spans="9:25" x14ac:dyDescent="0.2">
      <c r="J328">
        <v>100000</v>
      </c>
      <c r="K328">
        <v>278.96682800000002</v>
      </c>
      <c r="L328">
        <v>-18091.045657999999</v>
      </c>
      <c r="M328">
        <v>70527.158859000003</v>
      </c>
      <c r="N328">
        <v>-0.28084399999999998</v>
      </c>
      <c r="O328">
        <v>25.620277000000002</v>
      </c>
      <c r="P328">
        <v>203.861456</v>
      </c>
      <c r="Q328">
        <v>13.503232000000001</v>
      </c>
      <c r="R328">
        <v>2571</v>
      </c>
      <c r="S328">
        <v>1109</v>
      </c>
      <c r="T328">
        <f>S328/(S328+R328)</f>
        <v>0.30135869565217394</v>
      </c>
      <c r="U328">
        <f>-4.1653-2.5269*T328</f>
        <v>-4.9268032880434784</v>
      </c>
      <c r="V328">
        <f>L328-(SUM(R328:S328)*U328)</f>
        <v>39.590442000000621</v>
      </c>
      <c r="W328">
        <f>V328/(2*O328*Q328)</f>
        <v>5.7218807766037751E-2</v>
      </c>
      <c r="X328">
        <f>W328*16.02</f>
        <v>0.91664530041192471</v>
      </c>
    </row>
    <row r="329" spans="9:25" x14ac:dyDescent="0.2">
      <c r="J329">
        <v>100000</v>
      </c>
      <c r="K329">
        <v>278.89433500000001</v>
      </c>
      <c r="L329">
        <v>-18084.312682</v>
      </c>
      <c r="M329">
        <v>70554.693410000007</v>
      </c>
      <c r="N329">
        <v>-0.33580399999999999</v>
      </c>
      <c r="O329">
        <v>25.673760999999999</v>
      </c>
      <c r="P329">
        <v>204.328148</v>
      </c>
      <c r="Q329">
        <v>13.449573000000001</v>
      </c>
      <c r="R329">
        <v>2576</v>
      </c>
      <c r="S329">
        <v>1104</v>
      </c>
      <c r="T329">
        <f>S329/(S329+R329)</f>
        <v>0.3</v>
      </c>
      <c r="U329">
        <f>-4.1653-2.5269*T329</f>
        <v>-4.9233700000000002</v>
      </c>
      <c r="V329">
        <f>L329-(SUM(R329:S329)*U329)</f>
        <v>33.68891799999983</v>
      </c>
      <c r="W329">
        <f>V329/(2*O329*Q329)</f>
        <v>4.8781941007465787E-2</v>
      </c>
      <c r="X329">
        <f>W329*16.02</f>
        <v>0.78148669493960188</v>
      </c>
    </row>
    <row r="330" spans="9:25" x14ac:dyDescent="0.2">
      <c r="J330">
        <v>100000</v>
      </c>
      <c r="K330">
        <v>278.93331599999999</v>
      </c>
      <c r="L330">
        <v>-18064.692508</v>
      </c>
      <c r="M330">
        <v>70556.967921999996</v>
      </c>
      <c r="N330">
        <v>-0.35906399999999999</v>
      </c>
      <c r="O330">
        <v>25.688734</v>
      </c>
      <c r="P330">
        <v>204.190166</v>
      </c>
      <c r="Q330">
        <v>13.45125</v>
      </c>
      <c r="R330">
        <v>2584</v>
      </c>
      <c r="S330">
        <v>1096</v>
      </c>
      <c r="T330">
        <f>S330/(S330+R330)</f>
        <v>0.29782608695652174</v>
      </c>
      <c r="U330">
        <f>-4.1653-2.5269*T330</f>
        <v>-4.9178767391304348</v>
      </c>
      <c r="V330">
        <f>L330-(SUM(R330:S330)*U330)</f>
        <v>33.093892000000778</v>
      </c>
      <c r="W330">
        <f>V330/(2*O330*Q330)</f>
        <v>4.788643468084814E-2</v>
      </c>
      <c r="X330">
        <f>W330*16.02</f>
        <v>0.76714068358718723</v>
      </c>
    </row>
    <row r="331" spans="9:25" x14ac:dyDescent="0.2">
      <c r="J331">
        <v>100000</v>
      </c>
      <c r="K331">
        <v>278.93093399999998</v>
      </c>
      <c r="L331">
        <v>-18129.172600999998</v>
      </c>
      <c r="M331">
        <v>70439.524344999998</v>
      </c>
      <c r="N331">
        <v>-0.35489599999999999</v>
      </c>
      <c r="O331">
        <v>25.68543</v>
      </c>
      <c r="P331">
        <v>203.91974999999999</v>
      </c>
      <c r="Q331">
        <v>13.448402</v>
      </c>
      <c r="R331">
        <v>2559</v>
      </c>
      <c r="S331">
        <v>1121</v>
      </c>
      <c r="T331">
        <f>S331/(S331+R331)</f>
        <v>0.30461956521739131</v>
      </c>
      <c r="U331">
        <f>-4.1653-2.5269*T331</f>
        <v>-4.9350431793478267</v>
      </c>
      <c r="V331">
        <f>L331-(SUM(R331:S331)*U331)</f>
        <v>31.786299000003055</v>
      </c>
      <c r="W331">
        <f>V331/(2*O331*Q331)</f>
        <v>4.6010022475619819E-2</v>
      </c>
      <c r="X331">
        <f>W331*16.02</f>
        <v>0.73708056005942946</v>
      </c>
    </row>
    <row r="332" spans="9:25" x14ac:dyDescent="0.2">
      <c r="X332" s="1">
        <f>AVERAGE(X327:X331)</f>
        <v>0.76991689458749801</v>
      </c>
      <c r="Y332">
        <f>STDEV(X327:X331)</f>
        <v>9.7212124883415699E-2</v>
      </c>
    </row>
    <row r="333" spans="9:25" x14ac:dyDescent="0.2">
      <c r="I333" t="s">
        <v>17</v>
      </c>
      <c r="J333">
        <v>100000</v>
      </c>
      <c r="K333">
        <v>260.20028400000001</v>
      </c>
      <c r="L333">
        <v>-18555.441964000001</v>
      </c>
      <c r="M333">
        <v>72474.357053999993</v>
      </c>
      <c r="N333">
        <v>-0.216311</v>
      </c>
      <c r="O333">
        <v>30.196164</v>
      </c>
      <c r="P333">
        <v>89.387455000000003</v>
      </c>
      <c r="Q333">
        <v>26.850739999999998</v>
      </c>
      <c r="R333">
        <v>2631</v>
      </c>
      <c r="S333">
        <v>1145</v>
      </c>
      <c r="T333">
        <f>S333/(S333+R333)</f>
        <v>0.30323093220338981</v>
      </c>
      <c r="U333">
        <f>-4.1653-2.5269*T333</f>
        <v>-4.9315342425847462</v>
      </c>
      <c r="V333">
        <f>L333-(SUM(R333:S333)*U333)</f>
        <v>66.03133600000001</v>
      </c>
      <c r="W333">
        <f>V333/(2*O333*Q333)</f>
        <v>4.0720401740084532E-2</v>
      </c>
      <c r="X333">
        <f>W333*16.02</f>
        <v>0.65234083587615421</v>
      </c>
    </row>
    <row r="334" spans="9:25" x14ac:dyDescent="0.2">
      <c r="J334">
        <v>100000</v>
      </c>
      <c r="K334">
        <v>260.27663100000001</v>
      </c>
      <c r="L334">
        <v>-18596.851814000001</v>
      </c>
      <c r="M334">
        <v>72345.936696999997</v>
      </c>
      <c r="N334">
        <v>-0.207676</v>
      </c>
      <c r="O334">
        <v>30.138755</v>
      </c>
      <c r="P334">
        <v>89.441154999999995</v>
      </c>
      <c r="Q334">
        <v>26.838104999999999</v>
      </c>
      <c r="R334">
        <v>2616</v>
      </c>
      <c r="S334">
        <v>1160</v>
      </c>
      <c r="T334">
        <f>S334/(S334+R334)</f>
        <v>0.30720338983050849</v>
      </c>
      <c r="U334">
        <f>-4.1653-2.5269*T334</f>
        <v>-4.9415722457627123</v>
      </c>
      <c r="V334">
        <f>L334-(SUM(R334:S334)*U334)</f>
        <v>62.524986000000354</v>
      </c>
      <c r="W334">
        <f>V334/(2*O334*Q334)</f>
        <v>3.8649728874893548E-2</v>
      </c>
      <c r="X334">
        <f>W334*16.02</f>
        <v>0.61916865657579467</v>
      </c>
    </row>
    <row r="335" spans="9:25" x14ac:dyDescent="0.2">
      <c r="J335">
        <v>100000</v>
      </c>
      <c r="K335">
        <v>260.23067900000001</v>
      </c>
      <c r="L335">
        <v>-18669.639611999999</v>
      </c>
      <c r="M335">
        <v>72198.172758999994</v>
      </c>
      <c r="N335">
        <v>-0.212421</v>
      </c>
      <c r="O335">
        <v>30.159600999999999</v>
      </c>
      <c r="P335">
        <v>89.283906999999999</v>
      </c>
      <c r="Q335">
        <v>26.811907000000001</v>
      </c>
      <c r="R335">
        <v>2587</v>
      </c>
      <c r="S335">
        <v>1189</v>
      </c>
      <c r="T335">
        <f>S335/(S335+R335)</f>
        <v>0.31488347457627119</v>
      </c>
      <c r="U335">
        <f>-4.1653-2.5269*T335</f>
        <v>-4.9609790519067802</v>
      </c>
      <c r="V335">
        <f>L335-(SUM(R335:S335)*U335)</f>
        <v>63.017288000002736</v>
      </c>
      <c r="W335">
        <f>V335/(2*O335*Q335)</f>
        <v>3.8965155824056935E-2</v>
      </c>
      <c r="X335">
        <f>W335*16.02</f>
        <v>0.62422179630139207</v>
      </c>
    </row>
    <row r="336" spans="9:25" x14ac:dyDescent="0.2">
      <c r="J336">
        <v>100000</v>
      </c>
      <c r="K336">
        <v>260.35785299999998</v>
      </c>
      <c r="L336">
        <v>-18429.714082999999</v>
      </c>
      <c r="M336">
        <v>72744.088298999995</v>
      </c>
      <c r="N336">
        <v>-0.193469</v>
      </c>
      <c r="O336">
        <v>30.251685999999999</v>
      </c>
      <c r="P336">
        <v>89.406002000000001</v>
      </c>
      <c r="Q336">
        <v>26.895634999999999</v>
      </c>
      <c r="R336">
        <v>2680</v>
      </c>
      <c r="S336">
        <v>1096</v>
      </c>
      <c r="T336">
        <f>S336/(S336+R336)</f>
        <v>0.2902542372881356</v>
      </c>
      <c r="U336">
        <f>-4.1653-2.5269*T336</f>
        <v>-4.89874343220339</v>
      </c>
      <c r="V336">
        <f>L336-(SUM(R336:S336)*U336)</f>
        <v>67.941117000002123</v>
      </c>
      <c r="W336">
        <f>V336/(2*O336*Q336)</f>
        <v>4.1751424803854825E-2</v>
      </c>
      <c r="X336">
        <f>W336*16.02</f>
        <v>0.66885782535775429</v>
      </c>
    </row>
    <row r="337" spans="9:25" x14ac:dyDescent="0.2">
      <c r="J337">
        <v>100000</v>
      </c>
      <c r="K337">
        <v>260.21747800000003</v>
      </c>
      <c r="L337">
        <v>-18506.401408999998</v>
      </c>
      <c r="M337">
        <v>72549.906581999996</v>
      </c>
      <c r="N337">
        <v>-0.19103600000000001</v>
      </c>
      <c r="O337">
        <v>30.234921</v>
      </c>
      <c r="P337">
        <v>89.332294000000005</v>
      </c>
      <c r="Q337">
        <v>26.860851</v>
      </c>
      <c r="R337">
        <v>2654</v>
      </c>
      <c r="S337">
        <v>1122</v>
      </c>
      <c r="T337">
        <f>S337/(S337+R337)</f>
        <v>0.29713983050847459</v>
      </c>
      <c r="U337">
        <f>-4.1653-2.5269*T337</f>
        <v>-4.9161426377118644</v>
      </c>
      <c r="V337">
        <f>L337-(SUM(R337:S337)*U337)</f>
        <v>56.953191000000515</v>
      </c>
      <c r="W337">
        <f>V337/(2*O337*Q337)</f>
        <v>3.5063838740581138E-2</v>
      </c>
      <c r="X337">
        <f>W337*16.02</f>
        <v>0.56172269662410979</v>
      </c>
    </row>
    <row r="338" spans="9:25" x14ac:dyDescent="0.2">
      <c r="X338" s="1">
        <f>AVERAGE(X333:X337)</f>
        <v>0.62526236214704112</v>
      </c>
      <c r="Y338">
        <f>STDEV(X333:X337)</f>
        <v>4.0955198912009549E-2</v>
      </c>
    </row>
    <row r="339" spans="9:25" x14ac:dyDescent="0.2">
      <c r="I339" t="s">
        <v>173</v>
      </c>
      <c r="J339">
        <v>100000</v>
      </c>
      <c r="K339">
        <v>278.92063899999999</v>
      </c>
      <c r="L339">
        <v>-31853.305972999999</v>
      </c>
      <c r="M339">
        <v>124382.104054</v>
      </c>
      <c r="N339">
        <v>-0.13313800000000001</v>
      </c>
      <c r="O339">
        <v>39.311101000000001</v>
      </c>
      <c r="P339">
        <v>234.78647799999999</v>
      </c>
      <c r="Q339">
        <v>13.476272</v>
      </c>
      <c r="R339">
        <v>4554</v>
      </c>
      <c r="S339">
        <v>1934</v>
      </c>
      <c r="T339">
        <f>S339/(S339+R339)</f>
        <v>0.29808877928483352</v>
      </c>
      <c r="U339">
        <f>-4.1653-2.5269*T339</f>
        <v>-4.918540536374846</v>
      </c>
      <c r="V339">
        <f>L339-(SUM(R339:S339)*U339)</f>
        <v>58.185027000003174</v>
      </c>
      <c r="W339">
        <f>V339/(2*O339*Q339)</f>
        <v>5.4915667782845748E-2</v>
      </c>
      <c r="X339">
        <f>W339*16.02</f>
        <v>0.87974899788118888</v>
      </c>
    </row>
    <row r="340" spans="9:25" x14ac:dyDescent="0.2">
      <c r="J340">
        <v>100000</v>
      </c>
      <c r="K340">
        <v>278.87219099999999</v>
      </c>
      <c r="L340">
        <v>-31915.019824999999</v>
      </c>
      <c r="M340">
        <v>124286.19628</v>
      </c>
      <c r="N340">
        <v>-0.15046300000000001</v>
      </c>
      <c r="O340">
        <v>39.283607000000003</v>
      </c>
      <c r="P340">
        <v>234.55628300000001</v>
      </c>
      <c r="Q340">
        <v>13.488530000000001</v>
      </c>
      <c r="R340">
        <v>4532</v>
      </c>
      <c r="S340">
        <v>1956</v>
      </c>
      <c r="T340">
        <f>S340/(S340+R340)</f>
        <v>0.30147965474722566</v>
      </c>
      <c r="U340">
        <f>-4.1653-2.5269*T340</f>
        <v>-4.9271089395807648</v>
      </c>
      <c r="V340">
        <f>L340-(SUM(R340:S340)*U340)</f>
        <v>52.062975000004371</v>
      </c>
      <c r="W340">
        <f>V340/(2*O340*Q340)</f>
        <v>4.912731236425278E-2</v>
      </c>
      <c r="X340">
        <f>W340*16.02</f>
        <v>0.78701954407532948</v>
      </c>
    </row>
    <row r="341" spans="9:25" x14ac:dyDescent="0.2">
      <c r="J341">
        <v>100000</v>
      </c>
      <c r="K341">
        <v>278.94007800000003</v>
      </c>
      <c r="L341">
        <v>-31767.739796000002</v>
      </c>
      <c r="M341">
        <v>124531.00849399999</v>
      </c>
      <c r="N341">
        <v>-0.21812000000000001</v>
      </c>
      <c r="O341">
        <v>39.350746999999998</v>
      </c>
      <c r="P341">
        <v>234.91900799999999</v>
      </c>
      <c r="Q341">
        <v>13.471207</v>
      </c>
      <c r="R341">
        <v>4589</v>
      </c>
      <c r="S341">
        <v>1899</v>
      </c>
      <c r="T341">
        <f>S341/(S341+R341)</f>
        <v>0.29269420468557339</v>
      </c>
      <c r="U341">
        <f>-4.1653-2.5269*T341</f>
        <v>-4.9049089858199757</v>
      </c>
      <c r="V341">
        <f>L341-(SUM(R341:S341)*U341)</f>
        <v>55.309703999999329</v>
      </c>
      <c r="W341">
        <f>V341/(2*O341*Q341)</f>
        <v>5.2168920228867245E-2</v>
      </c>
      <c r="X341">
        <f>W341*16.02</f>
        <v>0.83574610206645328</v>
      </c>
    </row>
    <row r="342" spans="9:25" x14ac:dyDescent="0.2">
      <c r="J342">
        <v>100000</v>
      </c>
      <c r="K342">
        <v>278.859621</v>
      </c>
      <c r="L342">
        <v>-31939.551070000001</v>
      </c>
      <c r="M342">
        <v>124188.595074</v>
      </c>
      <c r="N342">
        <v>-0.22400100000000001</v>
      </c>
      <c r="O342">
        <v>39.285845999999999</v>
      </c>
      <c r="P342">
        <v>234.933077</v>
      </c>
      <c r="Q342">
        <v>13.455553</v>
      </c>
      <c r="R342">
        <v>4521</v>
      </c>
      <c r="S342">
        <v>1967</v>
      </c>
      <c r="T342">
        <f>S342/(S342+R342)</f>
        <v>0.30317509247842173</v>
      </c>
      <c r="U342">
        <f>-4.1653-2.5269*T342</f>
        <v>-4.9313931411837242</v>
      </c>
      <c r="V342">
        <f>L342-(SUM(R342:S342)*U342)</f>
        <v>55.327629999999772</v>
      </c>
      <c r="W342">
        <f>V342/(2*O342*Q342)</f>
        <v>5.2332852873615367E-2</v>
      </c>
      <c r="X342">
        <f>W342*16.02</f>
        <v>0.83837230303531818</v>
      </c>
    </row>
    <row r="343" spans="9:25" x14ac:dyDescent="0.2">
      <c r="J343">
        <v>100000</v>
      </c>
      <c r="K343">
        <v>278.86984899999999</v>
      </c>
      <c r="L343">
        <v>-31788.309297</v>
      </c>
      <c r="M343">
        <v>124559.77207399999</v>
      </c>
      <c r="N343">
        <v>-0.217284</v>
      </c>
      <c r="O343">
        <v>39.346918000000002</v>
      </c>
      <c r="P343">
        <v>235.25270699999999</v>
      </c>
      <c r="Q343">
        <v>13.456514</v>
      </c>
      <c r="R343">
        <v>4583</v>
      </c>
      <c r="S343">
        <v>1905</v>
      </c>
      <c r="T343">
        <f>S343/(S343+R343)</f>
        <v>0.29361898890258942</v>
      </c>
      <c r="U343">
        <f>-4.1653-2.5269*T343</f>
        <v>-4.9072458230579539</v>
      </c>
      <c r="V343">
        <f>L343-(SUM(R343:S343)*U343)</f>
        <v>49.901603000005707</v>
      </c>
      <c r="W343">
        <f>V343/(2*O343*Q343)</f>
        <v>4.7123898655368014E-2</v>
      </c>
      <c r="X343">
        <f>W343*16.02</f>
        <v>0.75492485645899554</v>
      </c>
    </row>
    <row r="344" spans="9:25" x14ac:dyDescent="0.2">
      <c r="X344" s="1">
        <f>AVERAGE(X339:X343)</f>
        <v>0.81916236070345705</v>
      </c>
      <c r="Y344">
        <f>STDEV(X339:X343)</f>
        <v>4.8668266300642311E-2</v>
      </c>
    </row>
    <row r="345" spans="9:25" x14ac:dyDescent="0.2">
      <c r="I345" t="s">
        <v>174</v>
      </c>
      <c r="J345">
        <v>100000</v>
      </c>
      <c r="K345">
        <v>278.92024099999998</v>
      </c>
      <c r="L345">
        <v>-16150.228924999999</v>
      </c>
      <c r="M345">
        <v>63285.004723999999</v>
      </c>
      <c r="N345">
        <v>-0.25798900000000002</v>
      </c>
      <c r="O345">
        <v>24.320298999999999</v>
      </c>
      <c r="P345">
        <v>192.86918600000001</v>
      </c>
      <c r="Q345">
        <v>13.491783</v>
      </c>
      <c r="R345">
        <v>2323</v>
      </c>
      <c r="S345">
        <v>973</v>
      </c>
      <c r="T345">
        <f>S345/(S345+R345)</f>
        <v>0.29520631067961167</v>
      </c>
      <c r="U345">
        <f>-4.1653-2.5269*T345</f>
        <v>-4.9112568264563112</v>
      </c>
      <c r="V345">
        <f>L345-(SUM(R345:S345)*U345)</f>
        <v>37.273575000002893</v>
      </c>
      <c r="W345">
        <f>V345/(2*O345*Q345)</f>
        <v>5.6797967638283001E-2</v>
      </c>
      <c r="X345">
        <f>W345*16.02</f>
        <v>0.90990344156529368</v>
      </c>
    </row>
    <row r="346" spans="9:25" x14ac:dyDescent="0.2">
      <c r="J346">
        <v>100000</v>
      </c>
      <c r="K346">
        <v>278.88925399999999</v>
      </c>
      <c r="L346">
        <v>-16143.897643</v>
      </c>
      <c r="M346">
        <v>63276.888199000001</v>
      </c>
      <c r="N346">
        <v>-0.337397</v>
      </c>
      <c r="O346">
        <v>24.312740999999999</v>
      </c>
      <c r="P346">
        <v>193.11561499999999</v>
      </c>
      <c r="Q346">
        <v>13.477031</v>
      </c>
      <c r="R346">
        <v>2328</v>
      </c>
      <c r="S346">
        <v>968</v>
      </c>
      <c r="T346">
        <f>S346/(S346+R346)</f>
        <v>0.2936893203883495</v>
      </c>
      <c r="U346">
        <f>-4.1653-2.5269*T346</f>
        <v>-4.9074235436893208</v>
      </c>
      <c r="V346">
        <f>L346-(SUM(R346:S346)*U346)</f>
        <v>30.970357000000149</v>
      </c>
      <c r="W346">
        <f>V346/(2*O346*Q346)</f>
        <v>4.7259384912318229E-2</v>
      </c>
      <c r="X346">
        <f>W346*16.02</f>
        <v>0.75709534629533803</v>
      </c>
    </row>
    <row r="347" spans="9:25" x14ac:dyDescent="0.2">
      <c r="J347">
        <v>100000</v>
      </c>
      <c r="K347">
        <v>278.92506300000002</v>
      </c>
      <c r="L347">
        <v>-16073.142451</v>
      </c>
      <c r="M347">
        <v>63412.817466</v>
      </c>
      <c r="N347">
        <v>-0.404248</v>
      </c>
      <c r="O347">
        <v>24.325675</v>
      </c>
      <c r="P347">
        <v>193.387562</v>
      </c>
      <c r="Q347">
        <v>13.479813</v>
      </c>
      <c r="R347">
        <v>2358</v>
      </c>
      <c r="S347">
        <v>938</v>
      </c>
      <c r="T347">
        <f>S347/(S347+R347)</f>
        <v>0.28458737864077671</v>
      </c>
      <c r="U347">
        <f>-4.1653-2.5269*T347</f>
        <v>-4.8844238470873789</v>
      </c>
      <c r="V347">
        <f>L347-(SUM(R347:S347)*U347)</f>
        <v>25.918549000001804</v>
      </c>
      <c r="W347">
        <f>V347/(2*O347*Q347)</f>
        <v>3.9521363685662468E-2</v>
      </c>
      <c r="X347">
        <f>W347*16.02</f>
        <v>0.63313224624431275</v>
      </c>
    </row>
    <row r="348" spans="9:25" x14ac:dyDescent="0.2">
      <c r="J348">
        <v>100000</v>
      </c>
      <c r="K348">
        <v>278.97740900000002</v>
      </c>
      <c r="L348">
        <v>-16280.396605</v>
      </c>
      <c r="M348">
        <v>62981.790271999998</v>
      </c>
      <c r="N348">
        <v>-0.33762799999999998</v>
      </c>
      <c r="O348">
        <v>24.28603</v>
      </c>
      <c r="P348">
        <v>192.78724399999999</v>
      </c>
      <c r="Q348">
        <v>13.451803</v>
      </c>
      <c r="R348">
        <v>2276</v>
      </c>
      <c r="S348">
        <v>1020</v>
      </c>
      <c r="T348">
        <f>S348/(S348+R348)</f>
        <v>0.3094660194174757</v>
      </c>
      <c r="U348">
        <f>-4.1653-2.5269*T348</f>
        <v>-4.9472896844660195</v>
      </c>
      <c r="V348">
        <f>L348-(SUM(R348:S348)*U348)</f>
        <v>25.870194999999512</v>
      </c>
      <c r="W348">
        <f>V348/(2*O348*Q348)</f>
        <v>3.9594301059352771E-2</v>
      </c>
      <c r="X348">
        <f>W348*16.02</f>
        <v>0.63430070297083141</v>
      </c>
    </row>
    <row r="349" spans="9:25" x14ac:dyDescent="0.2">
      <c r="J349">
        <v>100000</v>
      </c>
      <c r="K349">
        <v>278.97919200000001</v>
      </c>
      <c r="L349">
        <v>-16135.078447</v>
      </c>
      <c r="M349">
        <v>63355.777161999998</v>
      </c>
      <c r="N349">
        <v>-0.32527600000000001</v>
      </c>
      <c r="O349">
        <v>24.323141</v>
      </c>
      <c r="P349">
        <v>192.99536900000001</v>
      </c>
      <c r="Q349">
        <v>13.496461999999999</v>
      </c>
      <c r="R349">
        <v>2334</v>
      </c>
      <c r="S349">
        <v>962</v>
      </c>
      <c r="T349">
        <f>S349/(S349+R349)</f>
        <v>0.29186893203883496</v>
      </c>
      <c r="U349">
        <f>-4.1653-2.5269*T349</f>
        <v>-4.9028236043689324</v>
      </c>
      <c r="V349">
        <f>L349-(SUM(R349:S349)*U349)</f>
        <v>24.628153000001475</v>
      </c>
      <c r="W349">
        <f>V349/(2*O349*Q349)</f>
        <v>3.7511311937344763E-2</v>
      </c>
      <c r="X349">
        <f>W349*16.02</f>
        <v>0.60093121723626308</v>
      </c>
    </row>
    <row r="350" spans="9:25" x14ac:dyDescent="0.2">
      <c r="X350" s="1">
        <f>AVERAGE(X345:X349)</f>
        <v>0.70707259086240781</v>
      </c>
      <c r="Y350">
        <f>STDEV(X345:X349)</f>
        <v>0.12813229831189168</v>
      </c>
    </row>
    <row r="351" spans="9:25" x14ac:dyDescent="0.2">
      <c r="I351" t="s">
        <v>175</v>
      </c>
      <c r="J351">
        <v>100000</v>
      </c>
      <c r="K351">
        <v>278.98972500000002</v>
      </c>
      <c r="L351">
        <v>-23234.174421</v>
      </c>
      <c r="M351">
        <v>91358.888464999996</v>
      </c>
      <c r="N351">
        <v>-0.22409499999999999</v>
      </c>
      <c r="O351">
        <v>33.736902999999998</v>
      </c>
      <c r="P351">
        <v>200.82951199999999</v>
      </c>
      <c r="Q351">
        <v>13.483987000000001</v>
      </c>
      <c r="R351">
        <v>3376</v>
      </c>
      <c r="S351">
        <v>1376</v>
      </c>
      <c r="T351">
        <f>S351/(S351+R351)</f>
        <v>0.28956228956228958</v>
      </c>
      <c r="U351">
        <f>-4.1653-2.5269*T351</f>
        <v>-4.8969949494949496</v>
      </c>
      <c r="V351">
        <f>L351-(SUM(R351:S351)*U351)</f>
        <v>36.345579000000726</v>
      </c>
      <c r="W351">
        <f>V351/(2*O351*Q351)</f>
        <v>3.9948277539891969E-2</v>
      </c>
      <c r="X351">
        <f>W351*16.02</f>
        <v>0.63997140618906934</v>
      </c>
    </row>
    <row r="352" spans="9:25" x14ac:dyDescent="0.2">
      <c r="J352">
        <v>100000</v>
      </c>
      <c r="K352">
        <v>278.83191099999999</v>
      </c>
      <c r="L352">
        <v>-23377.679144000002</v>
      </c>
      <c r="M352">
        <v>90966.904397000006</v>
      </c>
      <c r="N352">
        <v>-0.254415</v>
      </c>
      <c r="O352">
        <v>33.709283999999997</v>
      </c>
      <c r="P352">
        <v>200.45963499999999</v>
      </c>
      <c r="Q352">
        <v>13.461924</v>
      </c>
      <c r="R352">
        <v>3318</v>
      </c>
      <c r="S352">
        <v>1434</v>
      </c>
      <c r="T352">
        <f>S352/(S352+R352)</f>
        <v>0.30176767676767674</v>
      </c>
      <c r="U352">
        <f>-4.1653-2.5269*T352</f>
        <v>-4.9278367424242422</v>
      </c>
      <c r="V352">
        <f>L352-(SUM(R352:S352)*U352)</f>
        <v>39.401055999998789</v>
      </c>
      <c r="W352">
        <f>V352/(2*O352*Q352)</f>
        <v>4.3413140479887251E-2</v>
      </c>
      <c r="X352">
        <f>W352*16.02</f>
        <v>0.69547851048779374</v>
      </c>
    </row>
    <row r="353" spans="10:25" x14ac:dyDescent="0.2">
      <c r="J353">
        <v>100000</v>
      </c>
      <c r="K353">
        <v>278.93199800000002</v>
      </c>
      <c r="L353">
        <v>-23317.602651000001</v>
      </c>
      <c r="M353">
        <v>91141.372900000002</v>
      </c>
      <c r="N353">
        <v>-0.23297200000000001</v>
      </c>
      <c r="O353">
        <v>33.692338999999997</v>
      </c>
      <c r="P353">
        <v>200.62268</v>
      </c>
      <c r="Q353">
        <v>13.483560000000001</v>
      </c>
      <c r="R353">
        <v>3341</v>
      </c>
      <c r="S353">
        <v>1411</v>
      </c>
      <c r="T353">
        <f>S353/(S353+R353)</f>
        <v>0.29692760942760943</v>
      </c>
      <c r="U353">
        <f>-4.1653-2.5269*T353</f>
        <v>-4.9156063762626268</v>
      </c>
      <c r="V353">
        <f>L353-(SUM(R353:S353)*U353)</f>
        <v>41.358849000000191</v>
      </c>
      <c r="W353">
        <f>V353/(2*O353*Q353)</f>
        <v>4.5520048337076902E-2</v>
      </c>
      <c r="X353">
        <f>W353*16.02</f>
        <v>0.72923117435997198</v>
      </c>
    </row>
    <row r="354" spans="10:25" x14ac:dyDescent="0.2">
      <c r="J354">
        <v>100000</v>
      </c>
      <c r="K354">
        <v>278.87622699999997</v>
      </c>
      <c r="L354">
        <v>-23343.752587999999</v>
      </c>
      <c r="M354">
        <v>91056.688859999995</v>
      </c>
      <c r="N354">
        <v>-0.24693200000000001</v>
      </c>
      <c r="O354">
        <v>33.736344000000003</v>
      </c>
      <c r="P354">
        <v>200.495103</v>
      </c>
      <c r="Q354">
        <v>13.462021</v>
      </c>
      <c r="R354">
        <v>3329</v>
      </c>
      <c r="S354">
        <v>1423</v>
      </c>
      <c r="T354">
        <f>S354/(S354+R354)</f>
        <v>0.29945286195286197</v>
      </c>
      <c r="U354">
        <f>-4.1653-2.5269*T354</f>
        <v>-4.9219874368686867</v>
      </c>
      <c r="V354">
        <f>L354-(SUM(R354:S354)*U354)</f>
        <v>45.53171199999997</v>
      </c>
      <c r="W354">
        <f>V354/(2*O354*Q354)</f>
        <v>5.0127460609832745E-2</v>
      </c>
      <c r="X354">
        <f>W354*16.02</f>
        <v>0.8030419189695206</v>
      </c>
    </row>
    <row r="355" spans="10:25" x14ac:dyDescent="0.2">
      <c r="J355">
        <v>100000</v>
      </c>
      <c r="K355">
        <v>278.952358</v>
      </c>
      <c r="L355">
        <v>-23304.692556000002</v>
      </c>
      <c r="M355">
        <v>91167.278300000005</v>
      </c>
      <c r="N355">
        <v>-0.21338599999999999</v>
      </c>
      <c r="O355">
        <v>33.724696999999999</v>
      </c>
      <c r="P355">
        <v>200.661055</v>
      </c>
      <c r="Q355">
        <v>13.471875000000001</v>
      </c>
      <c r="R355">
        <v>3347</v>
      </c>
      <c r="S355">
        <v>1405</v>
      </c>
      <c r="T355">
        <f>S355/(S355+R355)</f>
        <v>0.29566498316498319</v>
      </c>
      <c r="U355">
        <f>-4.1653-2.5269*T355</f>
        <v>-4.9124158459595959</v>
      </c>
      <c r="V355">
        <f>L355-(SUM(R355:S355)*U355)</f>
        <v>39.107543999998597</v>
      </c>
      <c r="W355">
        <f>V355/(2*O355*Q355)</f>
        <v>4.3038234343965281E-2</v>
      </c>
      <c r="X355">
        <f>W355*16.02</f>
        <v>0.68947251419032374</v>
      </c>
    </row>
    <row r="356" spans="10:25" x14ac:dyDescent="0.2">
      <c r="X356" s="1">
        <f>AVERAGE(X351:X355)</f>
        <v>0.71143910483933581</v>
      </c>
      <c r="Y356">
        <f>STDEV(X351:X355)</f>
        <v>6.0316948118993415E-2</v>
      </c>
    </row>
    <row r="357" spans="10:25" x14ac:dyDescent="0.2">
      <c r="X357" s="1"/>
    </row>
    <row r="358" spans="10:25" x14ac:dyDescent="0.2">
      <c r="J358" t="s">
        <v>67</v>
      </c>
      <c r="K358" t="s">
        <v>73</v>
      </c>
      <c r="W358" t="s">
        <v>25</v>
      </c>
      <c r="X358" t="s">
        <v>24</v>
      </c>
    </row>
    <row r="359" spans="10:25" x14ac:dyDescent="0.2">
      <c r="J359">
        <v>800</v>
      </c>
      <c r="K359" t="s">
        <v>18</v>
      </c>
      <c r="L359" t="s">
        <v>5</v>
      </c>
      <c r="M359" t="s">
        <v>7</v>
      </c>
      <c r="N359" t="s">
        <v>19</v>
      </c>
      <c r="O359" t="s">
        <v>20</v>
      </c>
      <c r="P359" t="s">
        <v>21</v>
      </c>
      <c r="Q359" t="s">
        <v>22</v>
      </c>
      <c r="R359" t="s">
        <v>4</v>
      </c>
      <c r="S359" t="s">
        <v>10</v>
      </c>
      <c r="T359" t="s">
        <v>13</v>
      </c>
      <c r="U359" t="s">
        <v>26</v>
      </c>
      <c r="V359" t="s">
        <v>12</v>
      </c>
      <c r="W359" t="s">
        <v>23</v>
      </c>
      <c r="X359" t="s">
        <v>23</v>
      </c>
    </row>
    <row r="360" spans="10:25" x14ac:dyDescent="0.2">
      <c r="J360" t="s">
        <v>17</v>
      </c>
      <c r="K360">
        <v>694.02948500000002</v>
      </c>
      <c r="L360">
        <v>-9335.2427659999994</v>
      </c>
      <c r="M360">
        <v>73914.765006999995</v>
      </c>
      <c r="N360">
        <v>-0.71998600000000001</v>
      </c>
      <c r="O360">
        <v>30.324074</v>
      </c>
      <c r="P360">
        <v>90.827460000000002</v>
      </c>
      <c r="Q360">
        <v>26.836653999999999</v>
      </c>
      <c r="R360">
        <v>1353</v>
      </c>
      <c r="S360">
        <v>599</v>
      </c>
      <c r="T360">
        <f>S360/(S360+R360)</f>
        <v>0.30686475409836067</v>
      </c>
      <c r="U360">
        <f>-4.1056-2.4928*T360</f>
        <v>-4.8705524590163929</v>
      </c>
      <c r="V360">
        <f>L360-(SUM(R360:S360)*U360)</f>
        <v>172.0756339999989</v>
      </c>
      <c r="W360">
        <f>V360/(2*O360*Q360)</f>
        <v>0.10572397126123523</v>
      </c>
      <c r="X360">
        <f>W360*16.02</f>
        <v>1.6936980196049882</v>
      </c>
    </row>
    <row r="361" spans="10:25" x14ac:dyDescent="0.2">
      <c r="K361">
        <v>693.96844199999998</v>
      </c>
      <c r="L361">
        <v>-9363.8100909999994</v>
      </c>
      <c r="M361">
        <v>73931.205386999995</v>
      </c>
      <c r="N361">
        <v>-0.78262399999999999</v>
      </c>
      <c r="O361">
        <v>30.260292</v>
      </c>
      <c r="P361">
        <v>90.830769000000004</v>
      </c>
      <c r="Q361">
        <v>26.898223999999999</v>
      </c>
      <c r="R361">
        <v>1341</v>
      </c>
      <c r="S361">
        <v>611</v>
      </c>
      <c r="T361">
        <f>S361/(S361+R361)</f>
        <v>0.31301229508196721</v>
      </c>
      <c r="U361">
        <f>-4.1056-2.4928*T361</f>
        <v>-4.8858770491803281</v>
      </c>
      <c r="V361">
        <f>L361-(SUM(R361:S361)*U361)</f>
        <v>173.4219090000006</v>
      </c>
      <c r="W361">
        <f>V361/(2*O361*Q361)</f>
        <v>0.10653130484127718</v>
      </c>
      <c r="X361">
        <f>W361*16.02</f>
        <v>1.7066315035572603</v>
      </c>
    </row>
    <row r="362" spans="10:25" x14ac:dyDescent="0.2">
      <c r="K362">
        <v>693.84848099999999</v>
      </c>
      <c r="L362">
        <v>-9372.528644</v>
      </c>
      <c r="M362">
        <v>73937.246228999997</v>
      </c>
      <c r="N362">
        <v>-0.852217</v>
      </c>
      <c r="O362">
        <v>30.251014000000001</v>
      </c>
      <c r="P362">
        <v>90.986791999999994</v>
      </c>
      <c r="Q362">
        <v>26.862524000000001</v>
      </c>
      <c r="R362">
        <v>1338</v>
      </c>
      <c r="S362">
        <v>614</v>
      </c>
      <c r="T362">
        <f>S362/(S362+R362)</f>
        <v>0.31454918032786883</v>
      </c>
      <c r="U362">
        <f>-4.1056-2.4928*T362</f>
        <v>-4.889708196721311</v>
      </c>
      <c r="V362">
        <f>L362-(SUM(R362:S362)*U362)</f>
        <v>172.18175599999813</v>
      </c>
      <c r="W362">
        <f>V362/(2*O362*Q362)</f>
        <v>0.10594254069728631</v>
      </c>
      <c r="X362">
        <f>W362*16.02</f>
        <v>1.6971995019705266</v>
      </c>
    </row>
    <row r="363" spans="10:25" x14ac:dyDescent="0.2">
      <c r="K363">
        <v>693.94022700000005</v>
      </c>
      <c r="L363">
        <v>-9357.3901270000006</v>
      </c>
      <c r="M363">
        <v>74164.527499000003</v>
      </c>
      <c r="N363">
        <v>-0.77360099999999998</v>
      </c>
      <c r="O363">
        <v>30.284807000000001</v>
      </c>
      <c r="P363">
        <v>91.197952999999998</v>
      </c>
      <c r="Q363">
        <v>26.852726000000001</v>
      </c>
      <c r="R363">
        <v>1343</v>
      </c>
      <c r="S363">
        <v>609</v>
      </c>
      <c r="T363">
        <f>S363/(S363+R363)</f>
        <v>0.31198770491803279</v>
      </c>
      <c r="U363">
        <f>-4.1056-2.4928*T363</f>
        <v>-4.8833229508196716</v>
      </c>
      <c r="V363">
        <f>L363-(SUM(R363:S363)*U363)</f>
        <v>174.8562729999976</v>
      </c>
      <c r="W363">
        <f>V363/(2*O363*Q363)</f>
        <v>0.10750731882352584</v>
      </c>
      <c r="X363">
        <f>W363*16.02</f>
        <v>1.7222672475528837</v>
      </c>
    </row>
    <row r="364" spans="10:25" x14ac:dyDescent="0.2">
      <c r="K364">
        <v>694.00093800000002</v>
      </c>
      <c r="L364">
        <v>-9310.4892029999992</v>
      </c>
      <c r="M364">
        <v>74319.898237000001</v>
      </c>
      <c r="N364">
        <v>-0.68189699999999998</v>
      </c>
      <c r="O364">
        <v>30.328484</v>
      </c>
      <c r="P364">
        <v>91.047538000000003</v>
      </c>
      <c r="Q364">
        <v>26.914612999999999</v>
      </c>
      <c r="R364">
        <v>1359</v>
      </c>
      <c r="S364">
        <v>593</v>
      </c>
      <c r="T364">
        <f>S364/(S364+R364)</f>
        <v>0.30379098360655737</v>
      </c>
      <c r="U364">
        <f>-4.1056-2.4928*T364</f>
        <v>-4.8628901639344262</v>
      </c>
      <c r="V364">
        <f>L364-(SUM(R364:S364)*U364)</f>
        <v>181.872397000001</v>
      </c>
      <c r="W364">
        <f>V364/(2*O364*Q364)</f>
        <v>0.11140327370175107</v>
      </c>
      <c r="X364">
        <f>W364*16.02</f>
        <v>1.7846804447020521</v>
      </c>
    </row>
    <row r="365" spans="10:25" x14ac:dyDescent="0.2">
      <c r="X365" s="1">
        <f>AVERAGE(X360:X364)</f>
        <v>1.7208953434775425</v>
      </c>
    </row>
    <row r="366" spans="10:25" x14ac:dyDescent="0.2">
      <c r="J366" t="s">
        <v>27</v>
      </c>
      <c r="K366">
        <v>744.04835300000002</v>
      </c>
      <c r="L366">
        <v>-7027.5559670000002</v>
      </c>
      <c r="M366">
        <v>55887.424902999999</v>
      </c>
      <c r="N366">
        <v>-1.317893</v>
      </c>
      <c r="O366">
        <v>32.126519999999999</v>
      </c>
      <c r="P366">
        <v>128.81854300000001</v>
      </c>
      <c r="Q366">
        <v>13.504377</v>
      </c>
      <c r="R366">
        <v>1016</v>
      </c>
      <c r="S366">
        <v>448</v>
      </c>
      <c r="T366">
        <f>S366/(S366+R366)</f>
        <v>0.30601092896174864</v>
      </c>
      <c r="U366">
        <f>-4.1056-2.4928*T366</f>
        <v>-4.868424043715847</v>
      </c>
      <c r="V366">
        <f>L366-(SUM(R366:S366)*U366)</f>
        <v>99.81683299999986</v>
      </c>
      <c r="W366">
        <f>V366/(2*O366*Q366)</f>
        <v>0.11503647160356749</v>
      </c>
      <c r="X366">
        <f>W366*16.02</f>
        <v>1.8428842750891512</v>
      </c>
    </row>
    <row r="367" spans="10:25" x14ac:dyDescent="0.2">
      <c r="K367">
        <v>743.73910999999998</v>
      </c>
      <c r="L367">
        <v>-7040.0673999999999</v>
      </c>
      <c r="M367">
        <v>55821.553121999998</v>
      </c>
      <c r="N367">
        <v>-1.2930410000000001</v>
      </c>
      <c r="O367">
        <v>32.048988000000001</v>
      </c>
      <c r="P367">
        <v>129.13884899999999</v>
      </c>
      <c r="Q367">
        <v>13.487533000000001</v>
      </c>
      <c r="R367">
        <v>1013</v>
      </c>
      <c r="S367">
        <v>451</v>
      </c>
      <c r="T367">
        <f>S367/(S367+R367)</f>
        <v>0.30806010928961747</v>
      </c>
      <c r="U367">
        <f>-4.1056-2.4928*T367</f>
        <v>-4.8735322404371582</v>
      </c>
      <c r="V367">
        <f>L367-(SUM(R367:S367)*U367)</f>
        <v>94.783799999999246</v>
      </c>
      <c r="W367">
        <f>V367/(2*O367*Q367)</f>
        <v>0.10963703439582108</v>
      </c>
      <c r="X367">
        <f>W367*16.02</f>
        <v>1.7563852910210536</v>
      </c>
    </row>
    <row r="368" spans="10:25" x14ac:dyDescent="0.2">
      <c r="K368">
        <v>743.89253199999996</v>
      </c>
      <c r="L368">
        <v>-7066.902188</v>
      </c>
      <c r="M368">
        <v>55618.108540000001</v>
      </c>
      <c r="N368">
        <v>-1.101342</v>
      </c>
      <c r="O368">
        <v>32.047632999999998</v>
      </c>
      <c r="P368">
        <v>128.95042599999999</v>
      </c>
      <c r="Q368">
        <v>13.458600000000001</v>
      </c>
      <c r="R368">
        <v>1002</v>
      </c>
      <c r="S368">
        <v>462</v>
      </c>
      <c r="T368">
        <f>S368/(S368+R368)</f>
        <v>0.3155737704918033</v>
      </c>
      <c r="U368">
        <f>-4.1056-2.4928*T368</f>
        <v>-4.8922622950819674</v>
      </c>
      <c r="V368">
        <f>L368-(SUM(R368:S368)*U368)</f>
        <v>95.369811999999911</v>
      </c>
      <c r="W368">
        <f>V368/(2*O368*Q368)</f>
        <v>0.11055670497599578</v>
      </c>
      <c r="X368">
        <f>W368*16.02</f>
        <v>1.7711184137154523</v>
      </c>
    </row>
    <row r="369" spans="10:24" x14ac:dyDescent="0.2">
      <c r="K369">
        <v>743.92489799999998</v>
      </c>
      <c r="L369">
        <v>-7081.7002110000003</v>
      </c>
      <c r="M369">
        <v>55785.898586000003</v>
      </c>
      <c r="N369">
        <v>-1.181038</v>
      </c>
      <c r="O369">
        <v>32.050097000000001</v>
      </c>
      <c r="P369">
        <v>129.06657000000001</v>
      </c>
      <c r="Q369">
        <v>13.48602</v>
      </c>
      <c r="R369">
        <v>996</v>
      </c>
      <c r="S369">
        <v>468</v>
      </c>
      <c r="T369">
        <f>S369/(S369+R369)</f>
        <v>0.31967213114754101</v>
      </c>
      <c r="U369">
        <f>-4.1056-2.4928*T369</f>
        <v>-4.9024786885245906</v>
      </c>
      <c r="V369">
        <f>L369-(SUM(R369:S369)*U369)</f>
        <v>95.528589000000466</v>
      </c>
      <c r="W369">
        <f>V369/(2*O369*Q369)</f>
        <v>0.11050710959915495</v>
      </c>
      <c r="X369">
        <f>W369*16.02</f>
        <v>1.7703238957784624</v>
      </c>
    </row>
    <row r="370" spans="10:24" x14ac:dyDescent="0.2">
      <c r="K370">
        <v>744.01008899999999</v>
      </c>
      <c r="L370">
        <v>-7044.2621710000003</v>
      </c>
      <c r="M370">
        <v>55756.939309000001</v>
      </c>
      <c r="N370">
        <v>-1.2479499999999999</v>
      </c>
      <c r="O370">
        <v>32.063844000000003</v>
      </c>
      <c r="P370">
        <v>129.13915700000001</v>
      </c>
      <c r="Q370">
        <v>13.465665</v>
      </c>
      <c r="R370">
        <v>1011</v>
      </c>
      <c r="S370">
        <v>453</v>
      </c>
      <c r="T370">
        <f>S370/(S370+R370)</f>
        <v>0.3094262295081967</v>
      </c>
      <c r="U370">
        <f>-4.1056-2.4928*T370</f>
        <v>-4.8769377049180322</v>
      </c>
      <c r="V370">
        <f>L370-(SUM(R370:S370)*U370)</f>
        <v>95.574628999998822</v>
      </c>
      <c r="W370">
        <f>V370/(2*O370*Q370)</f>
        <v>0.11068002089468046</v>
      </c>
      <c r="X370">
        <f>W370*16.02</f>
        <v>1.773093934732781</v>
      </c>
    </row>
    <row r="371" spans="10:24" x14ac:dyDescent="0.2">
      <c r="X371" s="1">
        <f>AVERAGE(X366:X370)</f>
        <v>1.78276116206738</v>
      </c>
    </row>
    <row r="372" spans="10:24" x14ac:dyDescent="0.2">
      <c r="J372" t="s">
        <v>28</v>
      </c>
      <c r="K372">
        <v>743.98562100000004</v>
      </c>
      <c r="L372">
        <v>-6068.7141609999999</v>
      </c>
      <c r="M372">
        <v>48308.726964000001</v>
      </c>
      <c r="N372">
        <v>-1.5041199999999999</v>
      </c>
      <c r="O372">
        <v>34.434192000000003</v>
      </c>
      <c r="P372">
        <v>138.87964299999999</v>
      </c>
      <c r="Q372">
        <v>10.101824000000001</v>
      </c>
      <c r="R372">
        <v>870</v>
      </c>
      <c r="S372">
        <v>390</v>
      </c>
      <c r="T372">
        <f>S372/(S372+R372)</f>
        <v>0.30952380952380953</v>
      </c>
      <c r="U372">
        <f>-4.1056-2.4928*T372</f>
        <v>-4.877180952380952</v>
      </c>
      <c r="V372">
        <f>L372-(SUM(R372:S372)*U372)</f>
        <v>76.533838999999716</v>
      </c>
      <c r="W372">
        <f>V372/(2*O372*Q372)</f>
        <v>0.1100104163605484</v>
      </c>
      <c r="X372">
        <f>W372*16.02</f>
        <v>1.7623668700959854</v>
      </c>
    </row>
    <row r="373" spans="10:24" x14ac:dyDescent="0.2">
      <c r="K373">
        <v>743.75610200000006</v>
      </c>
      <c r="L373">
        <v>-6064.3170300000002</v>
      </c>
      <c r="M373">
        <v>48326.483033999997</v>
      </c>
      <c r="N373">
        <v>-1.2852220000000001</v>
      </c>
      <c r="O373">
        <v>34.441195999999998</v>
      </c>
      <c r="P373">
        <v>139.06024600000001</v>
      </c>
      <c r="Q373">
        <v>10.090358</v>
      </c>
      <c r="R373">
        <v>872</v>
      </c>
      <c r="S373">
        <v>388</v>
      </c>
      <c r="T373">
        <f t="shared" ref="T373:T394" si="21">S373/(S373+R373)</f>
        <v>0.30793650793650795</v>
      </c>
      <c r="U373">
        <f>-4.1056-2.4928*T373</f>
        <v>-4.8732241269841268</v>
      </c>
      <c r="V373">
        <f>L373-(SUM(R373:S373)*U373)</f>
        <v>75.945369999999457</v>
      </c>
      <c r="W373">
        <f>V373/(2*O373*Q373)</f>
        <v>0.10926636797323884</v>
      </c>
      <c r="X373">
        <f>W373*16.02</f>
        <v>1.7504472149312862</v>
      </c>
    </row>
    <row r="374" spans="10:24" x14ac:dyDescent="0.2">
      <c r="K374">
        <v>743.56431299999997</v>
      </c>
      <c r="L374">
        <v>-6078.9086299999999</v>
      </c>
      <c r="M374">
        <v>48374.870160999999</v>
      </c>
      <c r="N374">
        <v>-1.282181</v>
      </c>
      <c r="O374">
        <v>34.366537999999998</v>
      </c>
      <c r="P374">
        <v>139.28364999999999</v>
      </c>
      <c r="Q374">
        <v>10.106187</v>
      </c>
      <c r="R374">
        <v>867</v>
      </c>
      <c r="S374">
        <v>393</v>
      </c>
      <c r="T374">
        <f t="shared" si="21"/>
        <v>0.31190476190476191</v>
      </c>
      <c r="U374">
        <f>-4.1056-2.4928*T374</f>
        <v>-4.8831161904761906</v>
      </c>
      <c r="V374">
        <f>L374-(SUM(R374:S374)*U374)</f>
        <v>73.817770000000564</v>
      </c>
      <c r="W374">
        <f>V374/(2*O374*Q374)</f>
        <v>0.10626929783393445</v>
      </c>
      <c r="X374">
        <f>W374*16.02</f>
        <v>1.7024341512996297</v>
      </c>
    </row>
    <row r="375" spans="10:24" x14ac:dyDescent="0.2">
      <c r="K375">
        <v>744.22549600000002</v>
      </c>
      <c r="L375">
        <v>-6092.9042129999998</v>
      </c>
      <c r="M375">
        <v>48366.036936999997</v>
      </c>
      <c r="N375">
        <v>-1.3026219999999999</v>
      </c>
      <c r="O375">
        <v>34.430540999999998</v>
      </c>
      <c r="P375">
        <v>139.15593200000001</v>
      </c>
      <c r="Q375">
        <v>10.094799999999999</v>
      </c>
      <c r="R375">
        <v>858</v>
      </c>
      <c r="S375">
        <v>402</v>
      </c>
      <c r="T375">
        <f t="shared" si="21"/>
        <v>0.31904761904761902</v>
      </c>
      <c r="U375">
        <f>-4.1056-2.4928*T375</f>
        <v>-4.9009219047619048</v>
      </c>
      <c r="V375">
        <f>L375-(SUM(R375:S375)*U375)</f>
        <v>82.257387000000563</v>
      </c>
      <c r="W375">
        <f>V375/(2*O375*Q375)</f>
        <v>0.11833231149737229</v>
      </c>
      <c r="X375">
        <f>W375*16.02</f>
        <v>1.8956836301879041</v>
      </c>
    </row>
    <row r="376" spans="10:24" x14ac:dyDescent="0.2">
      <c r="K376">
        <v>743.72822199999996</v>
      </c>
      <c r="L376">
        <v>-6102.1170199999997</v>
      </c>
      <c r="M376">
        <v>48211.33653</v>
      </c>
      <c r="N376">
        <v>-1.462021</v>
      </c>
      <c r="O376">
        <v>34.417000000000002</v>
      </c>
      <c r="P376">
        <v>138.98361700000001</v>
      </c>
      <c r="Q376">
        <v>10.078963</v>
      </c>
      <c r="R376">
        <v>857</v>
      </c>
      <c r="S376">
        <v>403</v>
      </c>
      <c r="T376">
        <f t="shared" si="21"/>
        <v>0.31984126984126982</v>
      </c>
      <c r="U376">
        <f>-4.1056-2.4928*T376</f>
        <v>-4.9029003174603174</v>
      </c>
      <c r="V376">
        <f>L376-(SUM(R376:S376)*U376)</f>
        <v>75.537380000000667</v>
      </c>
      <c r="W376">
        <f>V376/(2*O376*Q376)</f>
        <v>0.10887873312622875</v>
      </c>
      <c r="X376">
        <f>W376*16.02</f>
        <v>1.7442373046821846</v>
      </c>
    </row>
    <row r="377" spans="10:24" x14ac:dyDescent="0.2">
      <c r="X377" s="1">
        <f>AVERAGE(X372:X376)</f>
        <v>1.7710338342393981</v>
      </c>
    </row>
    <row r="378" spans="10:24" x14ac:dyDescent="0.2">
      <c r="J378" t="s">
        <v>55</v>
      </c>
      <c r="K378">
        <v>694.05695000000003</v>
      </c>
      <c r="L378">
        <v>-9521.6006159999997</v>
      </c>
      <c r="M378">
        <v>76229.067486999993</v>
      </c>
      <c r="N378">
        <v>-0.71527399999999997</v>
      </c>
      <c r="O378">
        <v>30.541696000000002</v>
      </c>
      <c r="P378">
        <v>184.688582</v>
      </c>
      <c r="Q378">
        <v>13.514176000000001</v>
      </c>
      <c r="R378">
        <v>1375</v>
      </c>
      <c r="S378">
        <v>601</v>
      </c>
      <c r="T378">
        <f>S378/(S378+R378)</f>
        <v>0.3041497975708502</v>
      </c>
      <c r="U378">
        <f>-4.1056-2.4928*T378</f>
        <v>-4.8637846153846152</v>
      </c>
      <c r="V378">
        <f>L378-(SUM(R378:S378)*U378)</f>
        <v>89.23778399999901</v>
      </c>
      <c r="W378">
        <f>V378/(2*O378*Q378)</f>
        <v>0.10810258043919416</v>
      </c>
      <c r="X378">
        <f>W378*16.02</f>
        <v>1.7318033386358904</v>
      </c>
    </row>
    <row r="379" spans="10:24" x14ac:dyDescent="0.2">
      <c r="K379">
        <v>693.86766599999999</v>
      </c>
      <c r="L379">
        <v>-9546.5602400000007</v>
      </c>
      <c r="M379">
        <v>76160.344213999997</v>
      </c>
      <c r="N379">
        <v>-0.712032</v>
      </c>
      <c r="O379">
        <v>30.569372999999999</v>
      </c>
      <c r="P379">
        <v>184.63033200000001</v>
      </c>
      <c r="Q379">
        <v>13.494021</v>
      </c>
      <c r="R379">
        <v>1365</v>
      </c>
      <c r="S379">
        <v>611</v>
      </c>
      <c r="T379">
        <f>S379/(S379+R379)</f>
        <v>0.30921052631578949</v>
      </c>
      <c r="U379">
        <f>-4.1056-2.4928*T379</f>
        <v>-4.8764000000000003</v>
      </c>
      <c r="V379">
        <f>L379-(SUM(R379:S379)*U379)</f>
        <v>89.206159999999727</v>
      </c>
      <c r="W379">
        <f>V379/(2*O379*Q379)</f>
        <v>0.10812769286808505</v>
      </c>
      <c r="X379">
        <f>W379*16.02</f>
        <v>1.7322056397467225</v>
      </c>
    </row>
    <row r="380" spans="10:24" x14ac:dyDescent="0.2">
      <c r="K380">
        <v>694.01998800000001</v>
      </c>
      <c r="L380">
        <v>-9610.9955320000008</v>
      </c>
      <c r="M380">
        <v>76033.102773000006</v>
      </c>
      <c r="N380">
        <v>-0.75401799999999997</v>
      </c>
      <c r="O380">
        <v>30.519579</v>
      </c>
      <c r="P380">
        <v>184.775295</v>
      </c>
      <c r="Q380">
        <v>13.482873</v>
      </c>
      <c r="R380">
        <v>1339</v>
      </c>
      <c r="S380">
        <v>637</v>
      </c>
      <c r="T380">
        <f>S380/(S380+R380)</f>
        <v>0.32236842105263158</v>
      </c>
      <c r="U380">
        <f>-4.1056-2.4928*T380</f>
        <v>-4.9092000000000002</v>
      </c>
      <c r="V380">
        <f>L380-(SUM(R380:S380)*U380)</f>
        <v>89.583667999999307</v>
      </c>
      <c r="W380">
        <f>V380/(2*O380*Q380)</f>
        <v>0.10885236336550053</v>
      </c>
      <c r="X380">
        <f>W380*16.02</f>
        <v>1.7438148611153184</v>
      </c>
    </row>
    <row r="381" spans="10:24" x14ac:dyDescent="0.2">
      <c r="K381">
        <v>693.98985300000004</v>
      </c>
      <c r="L381">
        <v>-9566.1150529999995</v>
      </c>
      <c r="M381">
        <v>76172.941393000001</v>
      </c>
      <c r="N381">
        <v>-0.76779699999999995</v>
      </c>
      <c r="O381">
        <v>30.560290999999999</v>
      </c>
      <c r="P381">
        <v>184.51887500000001</v>
      </c>
      <c r="Q381">
        <v>13.508414999999999</v>
      </c>
      <c r="R381">
        <v>1359</v>
      </c>
      <c r="S381">
        <v>617</v>
      </c>
      <c r="T381">
        <f>S381/(S381+R381)</f>
        <v>0.31224696356275305</v>
      </c>
      <c r="U381">
        <f>-4.1056-2.4928*T381</f>
        <v>-4.8839692307692308</v>
      </c>
      <c r="V381">
        <f>L381-(SUM(R381:S381)*U381)</f>
        <v>84.608147000000827</v>
      </c>
      <c r="W381">
        <f>V381/(2*O381*Q381)</f>
        <v>0.10247556188767837</v>
      </c>
      <c r="X381">
        <f>W381*16.02</f>
        <v>1.6416585014406073</v>
      </c>
    </row>
    <row r="382" spans="10:24" x14ac:dyDescent="0.2">
      <c r="K382">
        <v>693.98912800000005</v>
      </c>
      <c r="L382">
        <v>-9511.7194760000002</v>
      </c>
      <c r="M382">
        <v>76311.024885999999</v>
      </c>
      <c r="N382">
        <v>-0.80511900000000003</v>
      </c>
      <c r="O382">
        <v>30.568044</v>
      </c>
      <c r="P382">
        <v>184.75246300000001</v>
      </c>
      <c r="Q382">
        <v>13.512366999999999</v>
      </c>
      <c r="R382">
        <v>1379</v>
      </c>
      <c r="S382">
        <v>597</v>
      </c>
      <c r="T382">
        <f>S382/(S382+R382)</f>
        <v>0.30212550607287447</v>
      </c>
      <c r="U382">
        <f>-4.1056-2.4928*T382</f>
        <v>-4.8587384615384615</v>
      </c>
      <c r="V382">
        <f>L382-(SUM(R382:S382)*U382)</f>
        <v>89.14772400000038</v>
      </c>
      <c r="W382">
        <f>V382/(2*O382*Q382)</f>
        <v>0.107914842708919</v>
      </c>
      <c r="X382">
        <f>W382*16.02</f>
        <v>1.7287957801968823</v>
      </c>
    </row>
    <row r="383" spans="10:24" x14ac:dyDescent="0.2">
      <c r="X383" s="1">
        <f>AVERAGE(X378:X382)</f>
        <v>1.7156556242270842</v>
      </c>
    </row>
    <row r="384" spans="10:24" x14ac:dyDescent="0.2">
      <c r="J384">
        <v>100</v>
      </c>
      <c r="K384">
        <v>743.52153399999997</v>
      </c>
      <c r="L384">
        <v>-22633.101655999999</v>
      </c>
      <c r="M384">
        <v>99027.117125999997</v>
      </c>
      <c r="N384">
        <v>-0.62900400000000001</v>
      </c>
      <c r="O384">
        <v>26.987316</v>
      </c>
      <c r="P384">
        <v>27.032688</v>
      </c>
      <c r="Q384">
        <v>135.73943800000001</v>
      </c>
      <c r="R384">
        <v>3227</v>
      </c>
      <c r="S384">
        <v>1445</v>
      </c>
      <c r="T384">
        <f t="shared" si="21"/>
        <v>0.30928938356164382</v>
      </c>
      <c r="U384">
        <f>-4.1056-2.4928*T384</f>
        <v>-4.8765965753424654</v>
      </c>
      <c r="V384">
        <f>L384-(SUM(R384:S384)*U384)</f>
        <v>150.3575439999986</v>
      </c>
      <c r="W384">
        <f>V384/(2*O384*P384)</f>
        <v>0.10304959782398455</v>
      </c>
      <c r="X384">
        <f>W384*16.02</f>
        <v>1.6508545571402324</v>
      </c>
    </row>
    <row r="385" spans="10:24" x14ac:dyDescent="0.2">
      <c r="K385">
        <v>743.99131899999998</v>
      </c>
      <c r="L385">
        <v>-22645.235879</v>
      </c>
      <c r="M385">
        <v>99068.406810999993</v>
      </c>
      <c r="N385">
        <v>-0.83035800000000004</v>
      </c>
      <c r="O385">
        <v>27.026114</v>
      </c>
      <c r="P385">
        <v>27.013280000000002</v>
      </c>
      <c r="Q385">
        <v>135.69850500000001</v>
      </c>
      <c r="R385">
        <v>3217</v>
      </c>
      <c r="S385">
        <v>1455</v>
      </c>
      <c r="T385">
        <f t="shared" si="21"/>
        <v>0.31142979452054792</v>
      </c>
      <c r="U385">
        <f>-4.1056-2.4928*T385</f>
        <v>-4.8819321917808214</v>
      </c>
      <c r="V385">
        <f>L385-(SUM(R385:S385)*U385)</f>
        <v>163.15132099999755</v>
      </c>
      <c r="W385">
        <f>V385/(2*O385*P385)</f>
        <v>0.11173768628379289</v>
      </c>
      <c r="X385">
        <f>W385*16.02</f>
        <v>1.790037734266362</v>
      </c>
    </row>
    <row r="386" spans="10:24" x14ac:dyDescent="0.2">
      <c r="K386">
        <v>743.94982000000005</v>
      </c>
      <c r="L386">
        <v>-22661.040065000001</v>
      </c>
      <c r="M386">
        <v>99090.970807999998</v>
      </c>
      <c r="N386">
        <v>-0.77024800000000004</v>
      </c>
      <c r="O386">
        <v>27.011503000000001</v>
      </c>
      <c r="P386">
        <v>27.011257000000001</v>
      </c>
      <c r="Q386">
        <v>135.81305</v>
      </c>
      <c r="R386">
        <v>3212</v>
      </c>
      <c r="S386">
        <v>1460</v>
      </c>
      <c r="T386">
        <f t="shared" si="21"/>
        <v>0.3125</v>
      </c>
      <c r="U386">
        <f>-4.1056-2.4928*T386</f>
        <v>-4.8845999999999998</v>
      </c>
      <c r="V386">
        <f>L386-(SUM(R386:S386)*U386)</f>
        <v>159.81113499999992</v>
      </c>
      <c r="W386">
        <f>V386/(2*O386*P386)</f>
        <v>0.10951749331778592</v>
      </c>
      <c r="X386">
        <f>W386*16.02</f>
        <v>1.7544702429509302</v>
      </c>
    </row>
    <row r="387" spans="10:24" x14ac:dyDescent="0.2">
      <c r="K387">
        <v>743.63675499999999</v>
      </c>
      <c r="L387">
        <v>-22636.812484999999</v>
      </c>
      <c r="M387">
        <v>99260.181675999993</v>
      </c>
      <c r="N387">
        <v>-0.65393400000000002</v>
      </c>
      <c r="O387">
        <v>27.019480000000001</v>
      </c>
      <c r="P387">
        <v>27.010532000000001</v>
      </c>
      <c r="Q387">
        <v>136.008486</v>
      </c>
      <c r="R387">
        <v>3223</v>
      </c>
      <c r="S387">
        <v>1449</v>
      </c>
      <c r="T387">
        <f t="shared" si="21"/>
        <v>0.31014554794520549</v>
      </c>
      <c r="U387">
        <f>-4.1056-2.4928*T387</f>
        <v>-4.8787308219178085</v>
      </c>
      <c r="V387">
        <f>L387-(SUM(R387:S387)*U387)</f>
        <v>156.61791500000254</v>
      </c>
      <c r="W387">
        <f>V387/(2*O387*P387)</f>
        <v>0.10730039424036956</v>
      </c>
      <c r="X387">
        <f>W387*16.02</f>
        <v>1.7189523157307205</v>
      </c>
    </row>
    <row r="388" spans="10:24" x14ac:dyDescent="0.2">
      <c r="K388">
        <v>743.80376699999999</v>
      </c>
      <c r="L388">
        <v>-22570.804777000001</v>
      </c>
      <c r="M388">
        <v>99343.263424000004</v>
      </c>
      <c r="N388">
        <v>-0.88369600000000004</v>
      </c>
      <c r="O388">
        <v>27.045366999999999</v>
      </c>
      <c r="P388">
        <v>27.018059000000001</v>
      </c>
      <c r="Q388">
        <v>135.95409699999999</v>
      </c>
      <c r="R388">
        <v>3248</v>
      </c>
      <c r="S388">
        <v>1424</v>
      </c>
      <c r="T388">
        <f t="shared" si="21"/>
        <v>0.3047945205479452</v>
      </c>
      <c r="U388">
        <f>-4.1056-2.4928*T388</f>
        <v>-4.865391780821918</v>
      </c>
      <c r="V388">
        <f>L388-(SUM(R388:S388)*U388)</f>
        <v>160.3056230000002</v>
      </c>
      <c r="W388">
        <f>V388/(2*O388*P388)</f>
        <v>0.10969118690665769</v>
      </c>
      <c r="X388">
        <f>W388*16.02</f>
        <v>1.7572528142446562</v>
      </c>
    </row>
    <row r="389" spans="10:24" x14ac:dyDescent="0.2">
      <c r="X389" s="1">
        <f>AVERAGE(X384:X388)</f>
        <v>1.7343135328665802</v>
      </c>
    </row>
    <row r="390" spans="10:24" x14ac:dyDescent="0.2">
      <c r="J390">
        <v>110</v>
      </c>
      <c r="K390">
        <v>694.07563000000005</v>
      </c>
      <c r="L390">
        <v>-8694.6108719999993</v>
      </c>
      <c r="M390">
        <v>38751.432712000002</v>
      </c>
      <c r="N390">
        <v>-1.359483</v>
      </c>
      <c r="O390">
        <v>95.849136999999999</v>
      </c>
      <c r="P390">
        <v>23.98104</v>
      </c>
      <c r="Q390">
        <v>16.859037000000001</v>
      </c>
      <c r="R390">
        <v>1244</v>
      </c>
      <c r="S390">
        <v>556</v>
      </c>
      <c r="T390">
        <f t="shared" si="21"/>
        <v>0.30888888888888888</v>
      </c>
      <c r="U390">
        <f>-4.1056-2.4928*T390</f>
        <v>-4.8755982222222221</v>
      </c>
      <c r="V390">
        <f>L390-(SUM(R390:S390)*U390)</f>
        <v>81.465927999999622</v>
      </c>
      <c r="W390">
        <f>V390/(2*Q390*P390)</f>
        <v>0.10075004205731883</v>
      </c>
      <c r="X390">
        <f>W390*16.02</f>
        <v>1.6140156737582476</v>
      </c>
    </row>
    <row r="391" spans="10:24" x14ac:dyDescent="0.2">
      <c r="K391">
        <v>694.13042399999995</v>
      </c>
      <c r="L391">
        <v>-8696.2889520000008</v>
      </c>
      <c r="M391">
        <v>38784.937368999999</v>
      </c>
      <c r="N391">
        <v>-1.4494990000000001</v>
      </c>
      <c r="O391">
        <v>95.983756</v>
      </c>
      <c r="P391">
        <v>23.943483000000001</v>
      </c>
      <c r="Q391">
        <v>16.876380999999999</v>
      </c>
      <c r="R391">
        <v>1246</v>
      </c>
      <c r="S391">
        <v>554</v>
      </c>
      <c r="T391">
        <f t="shared" si="21"/>
        <v>0.30777777777777776</v>
      </c>
      <c r="U391">
        <f>-4.1056-2.4928*T391</f>
        <v>-4.8728284444444441</v>
      </c>
      <c r="V391">
        <f>L391-(SUM(R391:S391)*U391)</f>
        <v>74.802247999998144</v>
      </c>
      <c r="W391">
        <f>V391/(2*Q391*P391)</f>
        <v>9.2558861965614816E-2</v>
      </c>
      <c r="X391">
        <f>W391*16.02</f>
        <v>1.4827929686891492</v>
      </c>
    </row>
    <row r="392" spans="10:24" x14ac:dyDescent="0.2">
      <c r="K392">
        <v>694.21308299999998</v>
      </c>
      <c r="L392">
        <v>-8649.1448710000004</v>
      </c>
      <c r="M392">
        <v>38817.453902000001</v>
      </c>
      <c r="N392">
        <v>-1.4967220000000001</v>
      </c>
      <c r="O392">
        <v>95.937100000000001</v>
      </c>
      <c r="P392">
        <v>24.005875</v>
      </c>
      <c r="Q392">
        <v>16.854821000000001</v>
      </c>
      <c r="R392">
        <v>1266</v>
      </c>
      <c r="S392">
        <v>534</v>
      </c>
      <c r="T392">
        <f t="shared" si="21"/>
        <v>0.29666666666666669</v>
      </c>
      <c r="U392">
        <f>-4.1056-2.4928*T392</f>
        <v>-4.8451306666666669</v>
      </c>
      <c r="V392">
        <f>L392-(SUM(R392:S392)*U392)</f>
        <v>72.090329000000565</v>
      </c>
      <c r="W392">
        <f>V392/(2*Q392*P392)</f>
        <v>8.9085152312186625E-2</v>
      </c>
      <c r="X392">
        <f>W392*16.02</f>
        <v>1.4271441400412297</v>
      </c>
    </row>
    <row r="393" spans="10:24" x14ac:dyDescent="0.2">
      <c r="K393">
        <v>694.26270099999999</v>
      </c>
      <c r="L393">
        <v>-8745.8949780000003</v>
      </c>
      <c r="M393">
        <v>38714.796888999997</v>
      </c>
      <c r="N393">
        <v>-1.3663350000000001</v>
      </c>
      <c r="O393">
        <v>96.045392000000007</v>
      </c>
      <c r="P393">
        <v>23.948682999999999</v>
      </c>
      <c r="Q393">
        <v>16.831402000000001</v>
      </c>
      <c r="R393">
        <v>1224</v>
      </c>
      <c r="S393">
        <v>576</v>
      </c>
      <c r="T393">
        <f t="shared" si="21"/>
        <v>0.32</v>
      </c>
      <c r="U393">
        <f>-4.1056-2.4928*T393</f>
        <v>-4.9032960000000001</v>
      </c>
      <c r="V393">
        <f>L393-(SUM(R393:S393)*U393)</f>
        <v>80.037822000000233</v>
      </c>
      <c r="W393">
        <f>V393/(2*Q393*P393)</f>
        <v>9.9280358831910595E-2</v>
      </c>
      <c r="X393">
        <f>W393*16.02</f>
        <v>1.5904713484872077</v>
      </c>
    </row>
    <row r="394" spans="10:24" x14ac:dyDescent="0.2">
      <c r="K394">
        <v>693.99832800000001</v>
      </c>
      <c r="L394">
        <v>-8774.8886230000007</v>
      </c>
      <c r="M394">
        <v>38499.629283000002</v>
      </c>
      <c r="N394">
        <v>-1.3195539999999999</v>
      </c>
      <c r="O394">
        <v>95.576702999999995</v>
      </c>
      <c r="P394">
        <v>23.919018000000001</v>
      </c>
      <c r="Q394">
        <v>16.840793999999999</v>
      </c>
      <c r="R394">
        <v>1215</v>
      </c>
      <c r="S394">
        <v>585</v>
      </c>
      <c r="T394">
        <f t="shared" si="21"/>
        <v>0.32500000000000001</v>
      </c>
      <c r="U394">
        <f>-4.1056-2.4928*T394</f>
        <v>-4.9157599999999997</v>
      </c>
      <c r="V394">
        <f>L394-(SUM(R394:S394)*U394)</f>
        <v>73.479376999997839</v>
      </c>
      <c r="W394">
        <f>V394/(2*Q394*P394)</f>
        <v>9.1207291830071327E-2</v>
      </c>
      <c r="X394">
        <f>W394*16.02</f>
        <v>1.4611408151177425</v>
      </c>
    </row>
    <row r="395" spans="10:24" x14ac:dyDescent="0.2">
      <c r="X395" s="1">
        <f>AVERAGE(X390:X394)</f>
        <v>1.5151129892187154</v>
      </c>
    </row>
    <row r="396" spans="10:24" x14ac:dyDescent="0.2">
      <c r="J396">
        <v>111</v>
      </c>
      <c r="K396">
        <v>693.89953400000002</v>
      </c>
      <c r="L396">
        <v>-13073.995575999999</v>
      </c>
      <c r="M396">
        <v>59562.078519000002</v>
      </c>
      <c r="N396">
        <v>-0.84250700000000001</v>
      </c>
      <c r="O396">
        <v>93.890364000000005</v>
      </c>
      <c r="P396">
        <v>19.143031000000001</v>
      </c>
      <c r="Q396">
        <v>33.138945999999997</v>
      </c>
      <c r="R396">
        <v>1875</v>
      </c>
      <c r="S396">
        <v>836</v>
      </c>
      <c r="T396">
        <f>S396/(S396+R396)</f>
        <v>0.3083732939874585</v>
      </c>
      <c r="U396">
        <f>-4.1056-2.4928*T396</f>
        <v>-4.8743129472519362</v>
      </c>
      <c r="V396">
        <f>L396-(SUM(R396:S396)*U396)</f>
        <v>140.26682400000027</v>
      </c>
      <c r="W396">
        <f>V396/(2*P396*Q396)</f>
        <v>0.11055428340639156</v>
      </c>
      <c r="X396">
        <f>W396*16.02</f>
        <v>1.7710796201703929</v>
      </c>
    </row>
    <row r="397" spans="10:24" x14ac:dyDescent="0.2">
      <c r="K397">
        <v>694.04789100000005</v>
      </c>
      <c r="L397">
        <v>-13129.208427</v>
      </c>
      <c r="M397">
        <v>59633.761010000002</v>
      </c>
      <c r="N397">
        <v>-0.89485499999999996</v>
      </c>
      <c r="O397">
        <v>94.064211</v>
      </c>
      <c r="P397">
        <v>19.135031999999999</v>
      </c>
      <c r="Q397">
        <v>33.131360000000001</v>
      </c>
      <c r="R397">
        <v>1848</v>
      </c>
      <c r="S397">
        <v>863</v>
      </c>
      <c r="T397">
        <f>S397/(S397+R397)</f>
        <v>0.31833271855403911</v>
      </c>
      <c r="U397">
        <f>-4.1056-2.4928*T397</f>
        <v>-4.8991398008115086</v>
      </c>
      <c r="V397">
        <f>L397-(SUM(R397:S397)*U397)</f>
        <v>152.35957299999973</v>
      </c>
      <c r="W397">
        <f>V397/(2*P397*Q397)</f>
        <v>0.12016314731504872</v>
      </c>
      <c r="X397">
        <f>W397*16.02</f>
        <v>1.9250136199870804</v>
      </c>
    </row>
    <row r="398" spans="10:24" x14ac:dyDescent="0.2">
      <c r="K398">
        <v>694.07547699999998</v>
      </c>
      <c r="L398">
        <v>-13060.932476</v>
      </c>
      <c r="M398">
        <v>59687.535188000002</v>
      </c>
      <c r="N398">
        <v>-0.84017299999999995</v>
      </c>
      <c r="O398">
        <v>93.989445000000003</v>
      </c>
      <c r="P398">
        <v>19.151796999999998</v>
      </c>
      <c r="Q398">
        <v>33.158551000000003</v>
      </c>
      <c r="R398">
        <v>1880</v>
      </c>
      <c r="S398">
        <v>831</v>
      </c>
      <c r="T398">
        <f>S398/(S398+R398)</f>
        <v>0.30652895610475839</v>
      </c>
      <c r="U398">
        <f>-4.1056-2.4928*T398</f>
        <v>-4.8697153817779419</v>
      </c>
      <c r="V398">
        <f>L398-(SUM(R398:S398)*U398)</f>
        <v>140.86592400000154</v>
      </c>
      <c r="W398">
        <f>V398/(2*P398*Q398)</f>
        <v>0.11091004433623171</v>
      </c>
      <c r="X398">
        <f>W398*16.02</f>
        <v>1.776778910266432</v>
      </c>
    </row>
    <row r="399" spans="10:24" x14ac:dyDescent="0.2">
      <c r="K399">
        <v>694.08917199999996</v>
      </c>
      <c r="L399">
        <v>-13141.577305999999</v>
      </c>
      <c r="M399">
        <v>59578.661704999999</v>
      </c>
      <c r="N399">
        <v>-0.84962099999999996</v>
      </c>
      <c r="O399">
        <v>93.991765000000001</v>
      </c>
      <c r="P399">
        <v>19.144007999999999</v>
      </c>
      <c r="Q399">
        <v>33.110717999999999</v>
      </c>
      <c r="R399">
        <v>1844</v>
      </c>
      <c r="S399">
        <v>867</v>
      </c>
      <c r="T399">
        <f>S399/(S399+R399)</f>
        <v>0.31980818886019918</v>
      </c>
      <c r="U399">
        <f>-4.1056-2.4928*T399</f>
        <v>-4.9028178531907045</v>
      </c>
      <c r="V399">
        <f>L399-(SUM(R399:S399)*U399)</f>
        <v>149.96189400000003</v>
      </c>
      <c r="W399">
        <f>V399/(2*P399*Q399)</f>
        <v>0.11829038782388833</v>
      </c>
      <c r="X399">
        <f>W399*16.02</f>
        <v>1.8950120129386909</v>
      </c>
    </row>
    <row r="400" spans="10:24" x14ac:dyDescent="0.2">
      <c r="K400">
        <v>693.85095100000001</v>
      </c>
      <c r="L400">
        <v>-13085.842153</v>
      </c>
      <c r="M400">
        <v>59607.721804000001</v>
      </c>
      <c r="N400">
        <v>-0.98137200000000002</v>
      </c>
      <c r="O400">
        <v>93.900805000000005</v>
      </c>
      <c r="P400">
        <v>19.135477999999999</v>
      </c>
      <c r="Q400">
        <v>33.173749999999998</v>
      </c>
      <c r="R400">
        <v>1873</v>
      </c>
      <c r="S400">
        <v>838</v>
      </c>
      <c r="T400">
        <f>S400/(S400+R400)</f>
        <v>0.30911102914053856</v>
      </c>
      <c r="U400">
        <f>-4.1056-2.4928*T400</f>
        <v>-4.8761519734415346</v>
      </c>
      <c r="V400">
        <f>L400-(SUM(R400:S400)*U400)</f>
        <v>133.40584699999999</v>
      </c>
      <c r="W400">
        <f>V400/(2*P400*Q400)</f>
        <v>0.10507780355770063</v>
      </c>
      <c r="X400">
        <f>W400*16.02</f>
        <v>1.683346412994364</v>
      </c>
    </row>
    <row r="401" spans="10:24" x14ac:dyDescent="0.2">
      <c r="X401" s="1">
        <f>AVERAGE(X396:X400)</f>
        <v>1.8102461152713922</v>
      </c>
    </row>
    <row r="403" spans="10:24" x14ac:dyDescent="0.2">
      <c r="J403" t="s">
        <v>67</v>
      </c>
      <c r="K403" t="s">
        <v>73</v>
      </c>
      <c r="W403" t="s">
        <v>25</v>
      </c>
      <c r="X403" t="s">
        <v>24</v>
      </c>
    </row>
    <row r="404" spans="10:24" x14ac:dyDescent="0.2">
      <c r="J404">
        <v>1000</v>
      </c>
      <c r="K404" t="s">
        <v>18</v>
      </c>
      <c r="L404" t="s">
        <v>5</v>
      </c>
      <c r="M404" t="s">
        <v>7</v>
      </c>
      <c r="N404" t="s">
        <v>19</v>
      </c>
      <c r="O404" t="s">
        <v>20</v>
      </c>
      <c r="P404" t="s">
        <v>21</v>
      </c>
      <c r="Q404" t="s">
        <v>22</v>
      </c>
      <c r="R404" t="s">
        <v>4</v>
      </c>
      <c r="S404" t="s">
        <v>10</v>
      </c>
      <c r="T404" t="s">
        <v>13</v>
      </c>
      <c r="U404" t="s">
        <v>26</v>
      </c>
      <c r="V404" t="s">
        <v>12</v>
      </c>
      <c r="W404" t="s">
        <v>23</v>
      </c>
      <c r="X404" t="s">
        <v>23</v>
      </c>
    </row>
    <row r="405" spans="10:24" x14ac:dyDescent="0.2">
      <c r="J405" t="s">
        <v>17</v>
      </c>
      <c r="K405">
        <v>867.46592599999997</v>
      </c>
      <c r="L405">
        <v>-9277.1445220000005</v>
      </c>
      <c r="M405">
        <v>74621.340874999994</v>
      </c>
      <c r="N405">
        <v>-0.97261699999999995</v>
      </c>
      <c r="O405">
        <v>30.381589000000002</v>
      </c>
      <c r="P405">
        <v>91.407199000000006</v>
      </c>
      <c r="Q405">
        <v>26.870436999999999</v>
      </c>
      <c r="R405">
        <v>1353</v>
      </c>
      <c r="S405">
        <v>599</v>
      </c>
      <c r="T405">
        <f>S405/(S405+R405)</f>
        <v>0.30686475409836067</v>
      </c>
      <c r="U405">
        <f>-4.0807-2.4832*T405</f>
        <v>-4.8427065573770491</v>
      </c>
      <c r="V405">
        <f>L405-(SUM(R405:S405)*U405)</f>
        <v>175.81867799999964</v>
      </c>
      <c r="W405">
        <f>V405/(2*O405*Q405)</f>
        <v>0.10768365815995225</v>
      </c>
      <c r="X405">
        <f>W405*16.02</f>
        <v>1.725092203722435</v>
      </c>
    </row>
    <row r="406" spans="10:24" x14ac:dyDescent="0.2">
      <c r="K406">
        <v>867.34283100000005</v>
      </c>
      <c r="L406">
        <v>-9306.2207469999994</v>
      </c>
      <c r="M406">
        <v>74609.273302000001</v>
      </c>
      <c r="N406">
        <v>-0.93824300000000005</v>
      </c>
      <c r="O406">
        <v>30.369785</v>
      </c>
      <c r="P406">
        <v>91.321071000000003</v>
      </c>
      <c r="Q406">
        <v>26.901875</v>
      </c>
      <c r="R406">
        <v>1341</v>
      </c>
      <c r="S406">
        <v>611</v>
      </c>
      <c r="T406">
        <f>S406/(S406+R406)</f>
        <v>0.31301229508196721</v>
      </c>
      <c r="U406">
        <f>-4.0807-2.4832*T406</f>
        <v>-4.857972131147541</v>
      </c>
      <c r="V406">
        <f>L406-(SUM(R406:S406)*U406)</f>
        <v>176.54085300000042</v>
      </c>
      <c r="W406">
        <f>V406/(2*O406*Q406)</f>
        <v>0.10804158759307184</v>
      </c>
      <c r="X406">
        <f>W406*16.02</f>
        <v>1.7308262332410107</v>
      </c>
    </row>
    <row r="407" spans="10:24" x14ac:dyDescent="0.2">
      <c r="K407">
        <v>867.06848400000001</v>
      </c>
      <c r="L407">
        <v>-9314.2371550000007</v>
      </c>
      <c r="M407">
        <v>74653.850741999995</v>
      </c>
      <c r="N407">
        <v>-1.0392980000000001</v>
      </c>
      <c r="O407">
        <v>30.342707999999998</v>
      </c>
      <c r="P407">
        <v>91.577126000000007</v>
      </c>
      <c r="Q407">
        <v>26.866641999999999</v>
      </c>
      <c r="R407">
        <v>1338</v>
      </c>
      <c r="S407">
        <v>614</v>
      </c>
      <c r="T407">
        <f>S407/(S407+R407)</f>
        <v>0.31454918032786883</v>
      </c>
      <c r="U407">
        <f>-4.0807-2.4832*T407</f>
        <v>-4.861788524590164</v>
      </c>
      <c r="V407">
        <f>L407-(SUM(R407:S407)*U407)</f>
        <v>175.97404499999902</v>
      </c>
      <c r="W407">
        <f>V407/(2*O407*Q407)</f>
        <v>0.10793216664970011</v>
      </c>
      <c r="X407">
        <f>W407*16.02</f>
        <v>1.7290733097281956</v>
      </c>
    </row>
    <row r="408" spans="10:24" x14ac:dyDescent="0.2">
      <c r="K408">
        <v>867.42881799999998</v>
      </c>
      <c r="L408">
        <v>-9298.8119279999992</v>
      </c>
      <c r="M408">
        <v>74536.960242999994</v>
      </c>
      <c r="N408">
        <v>-0.959063</v>
      </c>
      <c r="O408">
        <v>30.346798</v>
      </c>
      <c r="P408">
        <v>91.436649000000003</v>
      </c>
      <c r="Q408">
        <v>26.862147</v>
      </c>
      <c r="R408">
        <v>1343</v>
      </c>
      <c r="S408">
        <v>609</v>
      </c>
      <c r="T408">
        <f>S408/(S408+R408)</f>
        <v>0.31198770491803279</v>
      </c>
      <c r="U408">
        <f>-4.0807-2.4832*T408</f>
        <v>-4.855427868852459</v>
      </c>
      <c r="V408">
        <f>L408-(SUM(R408:S408)*U408)</f>
        <v>178.98327200000131</v>
      </c>
      <c r="W408">
        <f>V408/(2*O408*Q408)</f>
        <v>0.10978142208892941</v>
      </c>
      <c r="X408">
        <f>W408*16.02</f>
        <v>1.7586983818646491</v>
      </c>
    </row>
    <row r="409" spans="10:24" x14ac:dyDescent="0.2">
      <c r="K409">
        <v>867.45103200000005</v>
      </c>
      <c r="L409">
        <v>-9253.6809620000004</v>
      </c>
      <c r="M409">
        <v>75219.827218999999</v>
      </c>
      <c r="N409">
        <v>-0.89892700000000003</v>
      </c>
      <c r="O409">
        <v>30.378595000000001</v>
      </c>
      <c r="P409">
        <v>91.817374999999998</v>
      </c>
      <c r="Q409">
        <v>26.967592</v>
      </c>
      <c r="R409">
        <v>1359</v>
      </c>
      <c r="S409">
        <v>593</v>
      </c>
      <c r="T409">
        <f>S409/(S409+R409)</f>
        <v>0.30379098360655737</v>
      </c>
      <c r="U409">
        <f>-4.0807-2.4832*T409</f>
        <v>-4.8350737704918032</v>
      </c>
      <c r="V409">
        <f>L409-(SUM(R409:S409)*U409)</f>
        <v>184.38303799999994</v>
      </c>
      <c r="W409">
        <f>V409/(2*O409*Q409)</f>
        <v>0.11253331635229299</v>
      </c>
      <c r="X409">
        <f>W409*16.02</f>
        <v>1.8027837279637338</v>
      </c>
    </row>
    <row r="410" spans="10:24" x14ac:dyDescent="0.2">
      <c r="X410" s="1">
        <f>AVERAGE(X405:X409)</f>
        <v>1.749294771304005</v>
      </c>
    </row>
    <row r="411" spans="10:24" x14ac:dyDescent="0.2">
      <c r="J411" t="s">
        <v>27</v>
      </c>
      <c r="K411">
        <v>929.71047699999997</v>
      </c>
      <c r="L411">
        <v>-6984.8908840000004</v>
      </c>
      <c r="M411">
        <v>56307.879217000002</v>
      </c>
      <c r="N411">
        <v>-1.4867729999999999</v>
      </c>
      <c r="O411">
        <v>32.194076000000003</v>
      </c>
      <c r="P411">
        <v>129.469528</v>
      </c>
      <c r="Q411">
        <v>13.509157999999999</v>
      </c>
      <c r="R411">
        <v>1016</v>
      </c>
      <c r="S411">
        <v>448</v>
      </c>
      <c r="T411">
        <f>S411/(S411+R411)</f>
        <v>0.30601092896174864</v>
      </c>
      <c r="U411">
        <f>-4.0807-2.4832*T411</f>
        <v>-4.8405863387978147</v>
      </c>
      <c r="V411">
        <f>L411-(SUM(R411:S411)*U411)</f>
        <v>101.72751600000083</v>
      </c>
      <c r="W411">
        <f>V411/(2*O411*Q411)</f>
        <v>0.11695106963291982</v>
      </c>
      <c r="X411">
        <f>W411*16.02</f>
        <v>1.8735561355193755</v>
      </c>
    </row>
    <row r="412" spans="10:24" x14ac:dyDescent="0.2">
      <c r="K412">
        <v>930.07456300000001</v>
      </c>
      <c r="L412">
        <v>-6997.2957539999998</v>
      </c>
      <c r="M412">
        <v>56209.005076000001</v>
      </c>
      <c r="N412">
        <v>-1.2716559999999999</v>
      </c>
      <c r="O412">
        <v>32.187469999999998</v>
      </c>
      <c r="P412">
        <v>129.52563799999999</v>
      </c>
      <c r="Q412">
        <v>13.482383</v>
      </c>
      <c r="R412">
        <v>1013</v>
      </c>
      <c r="S412">
        <v>451</v>
      </c>
      <c r="T412">
        <f>S412/(S412+R412)</f>
        <v>0.30806010928961747</v>
      </c>
      <c r="U412">
        <f>-4.0807-2.4832*T412</f>
        <v>-4.8456748633879787</v>
      </c>
      <c r="V412">
        <f>L412-(SUM(R412:S412)*U412)</f>
        <v>96.77224600000136</v>
      </c>
      <c r="W412">
        <f>V412/(2*O412*Q412)</f>
        <v>0.11149806316788372</v>
      </c>
      <c r="X412">
        <f>W412*16.02</f>
        <v>1.7861989719494971</v>
      </c>
    </row>
    <row r="413" spans="10:24" x14ac:dyDescent="0.2">
      <c r="K413">
        <v>930.01164100000005</v>
      </c>
      <c r="L413">
        <v>-7026.9905330000001</v>
      </c>
      <c r="M413">
        <v>56019.913538000001</v>
      </c>
      <c r="N413">
        <v>-1.4482649999999999</v>
      </c>
      <c r="O413">
        <v>32.120727000000002</v>
      </c>
      <c r="P413">
        <v>129.53896499999999</v>
      </c>
      <c r="Q413">
        <v>13.463543</v>
      </c>
      <c r="R413">
        <v>1002</v>
      </c>
      <c r="S413">
        <v>462</v>
      </c>
      <c r="T413">
        <f>S413/(S413+R413)</f>
        <v>0.3155737704918033</v>
      </c>
      <c r="U413">
        <f>-4.0807-2.4832*T413</f>
        <v>-4.864332786885246</v>
      </c>
      <c r="V413">
        <f>L413-(SUM(R413:S413)*U413)</f>
        <v>94.392667000000074</v>
      </c>
      <c r="W413">
        <f>V413/(2*O413*Q413)</f>
        <v>0.1091348694568931</v>
      </c>
      <c r="X413">
        <f>W413*16.02</f>
        <v>1.7483406086994275</v>
      </c>
    </row>
    <row r="414" spans="10:24" x14ac:dyDescent="0.2">
      <c r="K414">
        <v>929.28212599999995</v>
      </c>
      <c r="L414">
        <v>-7038.7381429999996</v>
      </c>
      <c r="M414">
        <v>56073.216505999997</v>
      </c>
      <c r="N414">
        <v>-1.4295960000000001</v>
      </c>
      <c r="O414">
        <v>32.150821999999998</v>
      </c>
      <c r="P414">
        <v>129.289467</v>
      </c>
      <c r="Q414">
        <v>13.489734</v>
      </c>
      <c r="R414">
        <v>996</v>
      </c>
      <c r="S414">
        <v>468</v>
      </c>
      <c r="T414">
        <f>S414/(S414+R414)</f>
        <v>0.31967213114754101</v>
      </c>
      <c r="U414">
        <f>-4.0807-2.4832*T414</f>
        <v>-4.8745098360655739</v>
      </c>
      <c r="V414">
        <f>L414-(SUM(R414:S414)*U414)</f>
        <v>97.544257000000471</v>
      </c>
      <c r="W414">
        <f>V414/(2*O414*Q414)</f>
        <v>0.1124543455180983</v>
      </c>
      <c r="X414">
        <f>W414*16.02</f>
        <v>1.8015186151999347</v>
      </c>
    </row>
    <row r="415" spans="10:24" x14ac:dyDescent="0.2">
      <c r="K415">
        <v>929.53816800000004</v>
      </c>
      <c r="L415">
        <v>-7000.4730339999996</v>
      </c>
      <c r="M415">
        <v>56234.619050000001</v>
      </c>
      <c r="N415">
        <v>-1.7433099999999999</v>
      </c>
      <c r="O415">
        <v>32.130110000000002</v>
      </c>
      <c r="P415">
        <v>129.733429</v>
      </c>
      <c r="Q415">
        <v>13.490957</v>
      </c>
      <c r="R415">
        <v>1011</v>
      </c>
      <c r="S415">
        <v>453</v>
      </c>
      <c r="T415">
        <f>S415/(S415+R415)</f>
        <v>0.3094262295081967</v>
      </c>
      <c r="U415">
        <f>-4.0807-2.4832*T415</f>
        <v>-4.8490672131147541</v>
      </c>
      <c r="V415">
        <f>L415-(SUM(R415:S415)*U415)</f>
        <v>98.561365999999907</v>
      </c>
      <c r="W415">
        <f>V415/(2*O415*Q415)</f>
        <v>0.11368986421933608</v>
      </c>
      <c r="X415">
        <f>W415*16.02</f>
        <v>1.821311624793764</v>
      </c>
    </row>
    <row r="416" spans="10:24" x14ac:dyDescent="0.2">
      <c r="X416" s="1">
        <f>AVERAGE(X411:X415)</f>
        <v>1.8061851912323994</v>
      </c>
    </row>
    <row r="417" spans="10:24" x14ac:dyDescent="0.2">
      <c r="J417" t="s">
        <v>28</v>
      </c>
      <c r="K417">
        <v>929.643056</v>
      </c>
      <c r="L417">
        <v>-6032.2510940000002</v>
      </c>
      <c r="M417">
        <v>48746.420385999998</v>
      </c>
      <c r="N417">
        <v>-1.7619720000000001</v>
      </c>
      <c r="O417">
        <v>34.501493000000004</v>
      </c>
      <c r="P417">
        <v>139.65377599999999</v>
      </c>
      <c r="Q417">
        <v>10.11711</v>
      </c>
      <c r="R417">
        <v>870</v>
      </c>
      <c r="S417">
        <v>390</v>
      </c>
      <c r="T417">
        <f>S417/(S417+R417)</f>
        <v>0.30952380952380953</v>
      </c>
      <c r="U417">
        <f>-4.0807-2.4832*T417</f>
        <v>-4.8493095238095236</v>
      </c>
      <c r="V417">
        <f>L417-(SUM(R417:S417)*U417)</f>
        <v>77.878905999999915</v>
      </c>
      <c r="W417">
        <f>V417/(2*O417*Q417)</f>
        <v>0.11155665552592962</v>
      </c>
      <c r="X417">
        <f>W417*16.02</f>
        <v>1.7871376215253925</v>
      </c>
    </row>
    <row r="418" spans="10:24" x14ac:dyDescent="0.2">
      <c r="K418">
        <v>929.62448900000004</v>
      </c>
      <c r="L418">
        <v>-6027.9579999999996</v>
      </c>
      <c r="M418">
        <v>48693.07458</v>
      </c>
      <c r="N418">
        <v>-1.724815</v>
      </c>
      <c r="O418">
        <v>34.518777999999998</v>
      </c>
      <c r="P418">
        <v>139.67686599999999</v>
      </c>
      <c r="Q418">
        <v>10.099318</v>
      </c>
      <c r="R418">
        <v>872</v>
      </c>
      <c r="S418">
        <v>388</v>
      </c>
      <c r="T418">
        <f>S418/(S418+R418)</f>
        <v>0.30793650793650795</v>
      </c>
      <c r="U418">
        <f>-4.0807-2.4832*T418</f>
        <v>-4.8453679365079365</v>
      </c>
      <c r="V418">
        <f>L418-(SUM(R418:S418)*U418)</f>
        <v>77.205600000000231</v>
      </c>
      <c r="W418">
        <f>V418/(2*O418*Q418)</f>
        <v>0.11073154174183532</v>
      </c>
      <c r="X418">
        <f>W418*16.02</f>
        <v>1.7739192987042018</v>
      </c>
    </row>
    <row r="419" spans="10:24" x14ac:dyDescent="0.2">
      <c r="K419">
        <v>929.78908799999999</v>
      </c>
      <c r="L419">
        <v>-6041.7294229999998</v>
      </c>
      <c r="M419">
        <v>48637.091493</v>
      </c>
      <c r="N419">
        <v>-1.9549049999999999</v>
      </c>
      <c r="O419">
        <v>34.471038</v>
      </c>
      <c r="P419">
        <v>139.58707899999999</v>
      </c>
      <c r="Q419">
        <v>10.108153</v>
      </c>
      <c r="R419">
        <v>867</v>
      </c>
      <c r="S419">
        <v>393</v>
      </c>
      <c r="T419">
        <f>S419/(S419+R419)</f>
        <v>0.31190476190476191</v>
      </c>
      <c r="U419">
        <f>-4.0807-2.4832*T419</f>
        <v>-4.8552219047619047</v>
      </c>
      <c r="V419">
        <f>L419-(SUM(R419:S419)*U419)</f>
        <v>75.850177000000258</v>
      </c>
      <c r="W419">
        <f>V419/(2*O419*Q419)</f>
        <v>0.10884298276818719</v>
      </c>
      <c r="X419">
        <f>W419*16.02</f>
        <v>1.7436645839463587</v>
      </c>
    </row>
    <row r="420" spans="10:24" x14ac:dyDescent="0.2">
      <c r="K420">
        <v>929.80522800000006</v>
      </c>
      <c r="L420">
        <v>-6057.1652240000003</v>
      </c>
      <c r="M420">
        <v>48738.539970999998</v>
      </c>
      <c r="N420">
        <v>-1.907394</v>
      </c>
      <c r="O420">
        <v>34.575029999999998</v>
      </c>
      <c r="P420">
        <v>139.600919</v>
      </c>
      <c r="Q420">
        <v>10.097788</v>
      </c>
      <c r="R420">
        <v>858</v>
      </c>
      <c r="S420">
        <v>402</v>
      </c>
      <c r="T420">
        <f>S420/(S420+R420)</f>
        <v>0.31904761904761902</v>
      </c>
      <c r="U420">
        <f>-4.0807-2.4832*T420</f>
        <v>-4.8729590476190481</v>
      </c>
      <c r="V420">
        <f>L420-(SUM(R420:S420)*U420)</f>
        <v>82.763176000000385</v>
      </c>
      <c r="W420">
        <f>V420/(2*O420*Q420)</f>
        <v>0.11852728549369643</v>
      </c>
      <c r="X420">
        <f>W420*16.02</f>
        <v>1.8988071136090168</v>
      </c>
    </row>
    <row r="421" spans="10:24" x14ac:dyDescent="0.2">
      <c r="K421">
        <v>929.84621800000002</v>
      </c>
      <c r="L421">
        <v>-6065.5163439999997</v>
      </c>
      <c r="M421">
        <v>48569.825205000001</v>
      </c>
      <c r="N421">
        <v>-1.992081</v>
      </c>
      <c r="O421">
        <v>34.492648000000003</v>
      </c>
      <c r="P421">
        <v>139.58398</v>
      </c>
      <c r="Q421">
        <v>10.088139</v>
      </c>
      <c r="R421">
        <v>857</v>
      </c>
      <c r="S421">
        <v>403</v>
      </c>
      <c r="T421">
        <f>S421/(S421+R421)</f>
        <v>0.31984126984126982</v>
      </c>
      <c r="U421">
        <f>-4.0807-2.4832*T421</f>
        <v>-4.8749298412698412</v>
      </c>
      <c r="V421">
        <f>L421-(SUM(R421:S421)*U421)</f>
        <v>76.89525599999979</v>
      </c>
      <c r="W421">
        <f>V421/(2*O421*Q421)</f>
        <v>0.11049228564245275</v>
      </c>
      <c r="X421">
        <f>W421*16.02</f>
        <v>1.770086415992093</v>
      </c>
    </row>
    <row r="422" spans="10:24" x14ac:dyDescent="0.2">
      <c r="X422" s="1">
        <f>AVERAGE(X417:X421)</f>
        <v>1.7947230067554127</v>
      </c>
    </row>
    <row r="423" spans="10:24" x14ac:dyDescent="0.2">
      <c r="J423" t="s">
        <v>55</v>
      </c>
      <c r="K423">
        <v>867.44878900000003</v>
      </c>
      <c r="L423">
        <v>-9462.7381299999997</v>
      </c>
      <c r="M423">
        <v>76813.546596</v>
      </c>
      <c r="N423">
        <v>-1.0411870000000001</v>
      </c>
      <c r="O423">
        <v>30.602553</v>
      </c>
      <c r="P423">
        <v>185.16634400000001</v>
      </c>
      <c r="Q423">
        <v>13.555683999999999</v>
      </c>
      <c r="R423">
        <v>1375</v>
      </c>
      <c r="S423">
        <v>601</v>
      </c>
      <c r="T423">
        <f>S423/(S423+R423)</f>
        <v>0.3041497975708502</v>
      </c>
      <c r="U423">
        <f>-4.0807-2.4832*T423</f>
        <v>-4.8359647773279359</v>
      </c>
      <c r="V423">
        <f>L423-(SUM(R423:S423)*U423)</f>
        <v>93.128270000001066</v>
      </c>
      <c r="W423">
        <f>V423/(2*O423*Q423)</f>
        <v>0.11224640607793583</v>
      </c>
      <c r="X423">
        <f>W423*16.02</f>
        <v>1.7981874253685319</v>
      </c>
    </row>
    <row r="424" spans="10:24" x14ac:dyDescent="0.2">
      <c r="K424">
        <v>867.43499499999996</v>
      </c>
      <c r="L424">
        <v>-9489.0985330000003</v>
      </c>
      <c r="M424">
        <v>76691.703288999997</v>
      </c>
      <c r="N424">
        <v>-0.94010199999999999</v>
      </c>
      <c r="O424">
        <v>30.625316999999999</v>
      </c>
      <c r="P424">
        <v>185.26911000000001</v>
      </c>
      <c r="Q424">
        <v>13.516613</v>
      </c>
      <c r="R424">
        <v>1365</v>
      </c>
      <c r="S424">
        <v>611</v>
      </c>
      <c r="T424">
        <f>S424/(S424+R424)</f>
        <v>0.30921052631578949</v>
      </c>
      <c r="U424">
        <f>-4.0807-2.4832*T424</f>
        <v>-4.8485315789473686</v>
      </c>
      <c r="V424">
        <f>L424-(SUM(R424:S424)*U424)</f>
        <v>91.599867000000813</v>
      </c>
      <c r="W424">
        <f>V424/(2*O424*Q424)</f>
        <v>0.1106410720480893</v>
      </c>
      <c r="X424">
        <f>W424*16.02</f>
        <v>1.7724699742103907</v>
      </c>
    </row>
    <row r="425" spans="10:24" x14ac:dyDescent="0.2">
      <c r="K425">
        <v>867.69398799999999</v>
      </c>
      <c r="L425">
        <v>-9555.2686749999993</v>
      </c>
      <c r="M425">
        <v>76495.329639999996</v>
      </c>
      <c r="N425">
        <v>-1.0339430000000001</v>
      </c>
      <c r="O425">
        <v>30.590693000000002</v>
      </c>
      <c r="P425">
        <v>185.25971899999999</v>
      </c>
      <c r="Q425">
        <v>13.497939000000001</v>
      </c>
      <c r="R425">
        <v>1339</v>
      </c>
      <c r="S425">
        <v>637</v>
      </c>
      <c r="T425">
        <f>S425/(S425+R425)</f>
        <v>0.32236842105263158</v>
      </c>
      <c r="U425">
        <f>-4.0807-2.4832*T425</f>
        <v>-4.881205263157895</v>
      </c>
      <c r="V425">
        <f>L425-(SUM(R425:S425)*U425)</f>
        <v>89.992925000000469</v>
      </c>
      <c r="W425">
        <f>V425/(2*O425*Q425)</f>
        <v>0.10897367453810235</v>
      </c>
      <c r="X425">
        <f>W425*16.02</f>
        <v>1.7457582661003996</v>
      </c>
    </row>
    <row r="426" spans="10:24" x14ac:dyDescent="0.2">
      <c r="K426">
        <v>867.14659900000004</v>
      </c>
      <c r="L426">
        <v>-9507.8689620000005</v>
      </c>
      <c r="M426">
        <v>76723.570856999999</v>
      </c>
      <c r="N426">
        <v>-0.92001900000000003</v>
      </c>
      <c r="O426">
        <v>30.60295</v>
      </c>
      <c r="P426">
        <v>185.40272400000001</v>
      </c>
      <c r="Q426">
        <v>13.522365000000001</v>
      </c>
      <c r="R426">
        <v>1359</v>
      </c>
      <c r="S426">
        <v>617</v>
      </c>
      <c r="T426">
        <f>S426/(S426+R426)</f>
        <v>0.31224696356275305</v>
      </c>
      <c r="U426">
        <f>-4.0807-2.4832*T426</f>
        <v>-4.8560716599190288</v>
      </c>
      <c r="V426">
        <f>L426-(SUM(R426:S426)*U426)</f>
        <v>87.728638000000501</v>
      </c>
      <c r="W426">
        <f>V426/(2*O426*Q426)</f>
        <v>0.1059974565108017</v>
      </c>
      <c r="X426">
        <f>W426*16.02</f>
        <v>1.6980792533030431</v>
      </c>
    </row>
    <row r="427" spans="10:24" x14ac:dyDescent="0.2">
      <c r="K427">
        <v>867.63825099999997</v>
      </c>
      <c r="L427">
        <v>-9455.7011299999995</v>
      </c>
      <c r="M427">
        <v>76956.919188999993</v>
      </c>
      <c r="N427">
        <v>-1.0700149999999999</v>
      </c>
      <c r="O427">
        <v>30.645305</v>
      </c>
      <c r="P427">
        <v>185.58054999999999</v>
      </c>
      <c r="Q427">
        <v>13.531771000000001</v>
      </c>
      <c r="R427">
        <v>1379</v>
      </c>
      <c r="S427">
        <v>597</v>
      </c>
      <c r="T427">
        <f>S427/(S427+R427)</f>
        <v>0.30212550607287447</v>
      </c>
      <c r="U427">
        <f>-4.0807-2.4832*T427</f>
        <v>-4.8309380566801625</v>
      </c>
      <c r="V427">
        <f>L427-(SUM(R427:S427)*U427)</f>
        <v>90.232470000000831</v>
      </c>
      <c r="W427">
        <f>V427/(2*O427*Q427)</f>
        <v>0.10879633422219299</v>
      </c>
      <c r="X427">
        <f>W427*16.02</f>
        <v>1.7429172742395318</v>
      </c>
    </row>
    <row r="428" spans="10:24" x14ac:dyDescent="0.2">
      <c r="X428" s="1">
        <f>AVERAGE(X423:X427)</f>
        <v>1.7514824386443795</v>
      </c>
    </row>
    <row r="429" spans="10:24" x14ac:dyDescent="0.2">
      <c r="J429">
        <v>100</v>
      </c>
      <c r="K429">
        <v>929.96241499999996</v>
      </c>
      <c r="L429">
        <v>-22499.812900000001</v>
      </c>
      <c r="M429">
        <v>99716.392884999994</v>
      </c>
      <c r="N429">
        <v>-0.86602500000000004</v>
      </c>
      <c r="O429">
        <v>27.042373999999999</v>
      </c>
      <c r="P429">
        <v>27.097321000000001</v>
      </c>
      <c r="Q429">
        <v>136.08077299999999</v>
      </c>
      <c r="R429">
        <v>3227</v>
      </c>
      <c r="S429">
        <v>1445</v>
      </c>
      <c r="T429">
        <f>S429/(S429+R429)</f>
        <v>0.30928938356164382</v>
      </c>
      <c r="U429">
        <f>-4.0807-2.4832*T429</f>
        <v>-4.8487273972602738</v>
      </c>
      <c r="V429">
        <f>L429-(SUM(R429:S429)*U429)</f>
        <v>153.44149999999718</v>
      </c>
      <c r="W429">
        <f>V429/(2*O429*P429)</f>
        <v>0.10469879149170093</v>
      </c>
      <c r="X429">
        <f>W429*16.02</f>
        <v>1.6772746396970488</v>
      </c>
    </row>
    <row r="430" spans="10:24" x14ac:dyDescent="0.2">
      <c r="K430">
        <v>929.64121399999999</v>
      </c>
      <c r="L430">
        <v>-22512.422932000001</v>
      </c>
      <c r="M430">
        <v>99721.684355000005</v>
      </c>
      <c r="N430">
        <v>-0.82635000000000003</v>
      </c>
      <c r="O430">
        <v>27.070997999999999</v>
      </c>
      <c r="P430">
        <v>27.073854000000001</v>
      </c>
      <c r="Q430">
        <v>136.061857</v>
      </c>
      <c r="R430">
        <v>3217</v>
      </c>
      <c r="S430">
        <v>1455</v>
      </c>
      <c r="T430">
        <f>S430/(S430+R430)</f>
        <v>0.31142979452054792</v>
      </c>
      <c r="U430">
        <f>-4.0807-2.4832*T430</f>
        <v>-4.8540424657534249</v>
      </c>
      <c r="V430">
        <f>L430-(SUM(R430:S430)*U430)</f>
        <v>165.66346799999883</v>
      </c>
      <c r="W430">
        <f>V430/(2*O430*P430)</f>
        <v>0.11301664314864113</v>
      </c>
      <c r="X430">
        <f>W430*16.02</f>
        <v>1.8105266232412307</v>
      </c>
    </row>
    <row r="431" spans="10:24" x14ac:dyDescent="0.2">
      <c r="K431">
        <v>929.62034900000003</v>
      </c>
      <c r="L431">
        <v>-22528.000896000001</v>
      </c>
      <c r="M431">
        <v>99726.105874000001</v>
      </c>
      <c r="N431">
        <v>-0.90415900000000005</v>
      </c>
      <c r="O431">
        <v>27.061518</v>
      </c>
      <c r="P431">
        <v>27.066136</v>
      </c>
      <c r="Q431">
        <v>136.15445800000001</v>
      </c>
      <c r="R431">
        <v>3212</v>
      </c>
      <c r="S431">
        <v>1460</v>
      </c>
      <c r="T431">
        <f>S431/(S431+R431)</f>
        <v>0.3125</v>
      </c>
      <c r="U431">
        <f>-4.0807-2.4832*T431</f>
        <v>-4.8567</v>
      </c>
      <c r="V431">
        <f>L431-(SUM(R431:S431)*U431)</f>
        <v>162.50150399999984</v>
      </c>
      <c r="W431">
        <f>V431/(2*O431*P431)</f>
        <v>0.11092999031104109</v>
      </c>
      <c r="X431">
        <f>W431*16.02</f>
        <v>1.7770984447828782</v>
      </c>
    </row>
    <row r="432" spans="10:24" x14ac:dyDescent="0.2">
      <c r="K432">
        <v>929.22229300000004</v>
      </c>
      <c r="L432">
        <v>-22503.859697</v>
      </c>
      <c r="M432">
        <v>99977.234219000005</v>
      </c>
      <c r="N432">
        <v>-0.95128599999999996</v>
      </c>
      <c r="O432">
        <v>27.084631000000002</v>
      </c>
      <c r="P432">
        <v>27.066358000000001</v>
      </c>
      <c r="Q432">
        <v>136.37971300000001</v>
      </c>
      <c r="R432">
        <v>3223</v>
      </c>
      <c r="S432">
        <v>1449</v>
      </c>
      <c r="T432">
        <f>S432/(S432+R432)</f>
        <v>0.31014554794520549</v>
      </c>
      <c r="U432">
        <f>-4.0807-2.4832*T432</f>
        <v>-4.8508534246575348</v>
      </c>
      <c r="V432">
        <f>L432-(SUM(R432:S432)*U432)</f>
        <v>159.32750300000407</v>
      </c>
      <c r="W432">
        <f>V432/(2*O432*P432)</f>
        <v>0.10866958517669366</v>
      </c>
      <c r="X432">
        <f>W432*16.02</f>
        <v>1.7408867545306324</v>
      </c>
    </row>
    <row r="433" spans="10:24" x14ac:dyDescent="0.2">
      <c r="K433">
        <v>929.58930999999995</v>
      </c>
      <c r="L433">
        <v>-22439.914164999998</v>
      </c>
      <c r="M433">
        <v>100029.392909</v>
      </c>
      <c r="N433">
        <v>-0.87411000000000005</v>
      </c>
      <c r="O433">
        <v>27.100232999999999</v>
      </c>
      <c r="P433">
        <v>27.085217</v>
      </c>
      <c r="Q433">
        <v>136.27731</v>
      </c>
      <c r="R433">
        <v>3248</v>
      </c>
      <c r="S433">
        <v>1424</v>
      </c>
      <c r="T433">
        <f>S433/(S433+R433)</f>
        <v>0.3047945205479452</v>
      </c>
      <c r="U433">
        <f>-4.0807-2.4832*T433</f>
        <v>-4.8375657534246574</v>
      </c>
      <c r="V433">
        <f>L433-(SUM(R433:S433)*U433)</f>
        <v>161.19303500000024</v>
      </c>
      <c r="W433">
        <f>V433/(2*O433*P433)</f>
        <v>0.10980217238843509</v>
      </c>
      <c r="X433">
        <f>W433*16.02</f>
        <v>1.7590308016627301</v>
      </c>
    </row>
    <row r="434" spans="10:24" x14ac:dyDescent="0.2">
      <c r="X434" s="1">
        <f>AVERAGE(X429:X433)</f>
        <v>1.7529634527829039</v>
      </c>
    </row>
    <row r="435" spans="10:24" x14ac:dyDescent="0.2">
      <c r="J435">
        <v>110</v>
      </c>
      <c r="K435">
        <v>867.60466299999996</v>
      </c>
      <c r="L435">
        <v>-8642.3079099999995</v>
      </c>
      <c r="M435">
        <v>39035.437689999999</v>
      </c>
      <c r="N435">
        <v>-1.6230659999999999</v>
      </c>
      <c r="O435">
        <v>96.203029999999998</v>
      </c>
      <c r="P435">
        <v>24.044571000000001</v>
      </c>
      <c r="Q435">
        <v>16.875444000000002</v>
      </c>
      <c r="R435">
        <v>1244</v>
      </c>
      <c r="S435">
        <v>556</v>
      </c>
      <c r="T435">
        <f>S435/(S435+R435)</f>
        <v>0.30888888888888888</v>
      </c>
      <c r="U435">
        <f>-4.0807-2.4832*T435</f>
        <v>-4.8477328888888893</v>
      </c>
      <c r="V435">
        <f>L435-(SUM(R435:S435)*U435)</f>
        <v>83.611290000000736</v>
      </c>
      <c r="W435">
        <f>V435/(2*Q435*P435)</f>
        <v>0.1030297598103244</v>
      </c>
      <c r="X435">
        <f>W435*16.02</f>
        <v>1.6505367521613969</v>
      </c>
    </row>
    <row r="436" spans="10:24" x14ac:dyDescent="0.2">
      <c r="K436">
        <v>867.78551600000003</v>
      </c>
      <c r="L436">
        <v>-8644.1479259999996</v>
      </c>
      <c r="M436">
        <v>39008.557881000001</v>
      </c>
      <c r="N436">
        <v>-1.9772479999999999</v>
      </c>
      <c r="O436">
        <v>96.140562000000003</v>
      </c>
      <c r="P436">
        <v>24.006706999999999</v>
      </c>
      <c r="Q436">
        <v>16.901409000000001</v>
      </c>
      <c r="R436">
        <v>1246</v>
      </c>
      <c r="S436">
        <v>554</v>
      </c>
      <c r="T436">
        <f>S436/(S436+R436)</f>
        <v>0.30777777777777776</v>
      </c>
      <c r="U436">
        <f>-4.0807-2.4832*T436</f>
        <v>-4.8449737777777777</v>
      </c>
      <c r="V436">
        <f>L436-(SUM(R436:S436)*U436)</f>
        <v>76.804873999999472</v>
      </c>
      <c r="W436">
        <f>V436/(2*Q436*P436)</f>
        <v>9.4646221796349128E-2</v>
      </c>
      <c r="X436">
        <f>W436*16.02</f>
        <v>1.516232473177513</v>
      </c>
    </row>
    <row r="437" spans="10:24" x14ac:dyDescent="0.2">
      <c r="K437">
        <v>867.35613599999999</v>
      </c>
      <c r="L437">
        <v>-8596.9822260000001</v>
      </c>
      <c r="M437">
        <v>39127.284654000003</v>
      </c>
      <c r="N437">
        <v>-1.968961</v>
      </c>
      <c r="O437">
        <v>96.273853000000003</v>
      </c>
      <c r="P437">
        <v>24.076079</v>
      </c>
      <c r="Q437">
        <v>16.880592</v>
      </c>
      <c r="R437">
        <v>1266</v>
      </c>
      <c r="S437">
        <v>534</v>
      </c>
      <c r="T437">
        <f>S437/(S437+R437)</f>
        <v>0.29666666666666669</v>
      </c>
      <c r="U437">
        <f>-4.0807-2.4832*T437</f>
        <v>-4.817382666666667</v>
      </c>
      <c r="V437">
        <f>L437-(SUM(R437:S437)*U437)</f>
        <v>74.306574000000182</v>
      </c>
      <c r="W437">
        <f>V437/(2*Q437*P437)</f>
        <v>9.1416335764919615E-2</v>
      </c>
      <c r="X437">
        <f>W437*16.02</f>
        <v>1.4644896989540122</v>
      </c>
    </row>
    <row r="438" spans="10:24" x14ac:dyDescent="0.2">
      <c r="K438">
        <v>867.81212900000003</v>
      </c>
      <c r="L438">
        <v>-8695.1324440000008</v>
      </c>
      <c r="M438">
        <v>38988.784139000003</v>
      </c>
      <c r="N438">
        <v>-1.9896039999999999</v>
      </c>
      <c r="O438">
        <v>96.301377000000002</v>
      </c>
      <c r="P438">
        <v>24.010002</v>
      </c>
      <c r="Q438">
        <v>16.862300000000001</v>
      </c>
      <c r="R438">
        <v>1224</v>
      </c>
      <c r="S438">
        <v>576</v>
      </c>
      <c r="T438">
        <f>S438/(S438+R438)</f>
        <v>0.32</v>
      </c>
      <c r="U438">
        <f>-4.0807-2.4832*T438</f>
        <v>-4.875324</v>
      </c>
      <c r="V438">
        <f>L438-(SUM(R438:S438)*U438)</f>
        <v>80.450755999998364</v>
      </c>
      <c r="W438">
        <f>V438/(2*Q438*P438)</f>
        <v>9.9355319897971611E-2</v>
      </c>
      <c r="X438">
        <f>W438*16.02</f>
        <v>1.5916722247655051</v>
      </c>
    </row>
    <row r="439" spans="10:24" x14ac:dyDescent="0.2">
      <c r="K439">
        <v>867.37893799999995</v>
      </c>
      <c r="L439">
        <v>-8722.9300230000008</v>
      </c>
      <c r="M439">
        <v>38773.124102000002</v>
      </c>
      <c r="N439">
        <v>-1.869435</v>
      </c>
      <c r="O439">
        <v>95.870902000000001</v>
      </c>
      <c r="P439">
        <v>23.986792000000001</v>
      </c>
      <c r="Q439">
        <v>16.860626</v>
      </c>
      <c r="R439">
        <v>1215</v>
      </c>
      <c r="S439">
        <v>585</v>
      </c>
      <c r="T439">
        <f>S439/(S439+R439)</f>
        <v>0.32500000000000001</v>
      </c>
      <c r="U439">
        <f>-4.0807-2.4832*T439</f>
        <v>-4.88774</v>
      </c>
      <c r="V439">
        <f>L439-(SUM(R439:S439)*U439)</f>
        <v>75.001976999999897</v>
      </c>
      <c r="W439">
        <f>V439/(2*Q439*P439)</f>
        <v>9.2725001995927314E-2</v>
      </c>
      <c r="X439">
        <f>W439*16.02</f>
        <v>1.4854545319747556</v>
      </c>
    </row>
    <row r="440" spans="10:24" x14ac:dyDescent="0.2">
      <c r="X440" s="1">
        <f>AVERAGE(X435:X439)</f>
        <v>1.5416771362066366</v>
      </c>
    </row>
    <row r="441" spans="10:24" x14ac:dyDescent="0.2">
      <c r="J441">
        <v>111</v>
      </c>
      <c r="K441">
        <v>867.59328400000004</v>
      </c>
      <c r="L441">
        <v>-12998.14616</v>
      </c>
      <c r="M441">
        <v>59967.308634000001</v>
      </c>
      <c r="N441">
        <v>-1.188922</v>
      </c>
      <c r="O441">
        <v>94.125297000000003</v>
      </c>
      <c r="P441">
        <v>19.176705999999999</v>
      </c>
      <c r="Q441">
        <v>33.222715000000001</v>
      </c>
      <c r="R441">
        <v>1875</v>
      </c>
      <c r="S441">
        <v>836</v>
      </c>
      <c r="T441">
        <f>S441/(S441+R441)</f>
        <v>0.3083732939874585</v>
      </c>
      <c r="U441">
        <f>-4.0807-2.4832*T441</f>
        <v>-4.8464525636296569</v>
      </c>
      <c r="V441">
        <f>L441-(SUM(R441:S441)*U441)</f>
        <v>140.58673999999883</v>
      </c>
      <c r="W441">
        <f>V441/(2*P441*Q441)</f>
        <v>0.11033295097532989</v>
      </c>
      <c r="X441">
        <f>W441*16.02</f>
        <v>1.7675338746247846</v>
      </c>
    </row>
    <row r="442" spans="10:24" x14ac:dyDescent="0.2">
      <c r="K442">
        <v>867.58417899999995</v>
      </c>
      <c r="L442">
        <v>-13050.567749</v>
      </c>
      <c r="M442">
        <v>59908.979102999998</v>
      </c>
      <c r="N442">
        <v>-1.0236479999999999</v>
      </c>
      <c r="O442">
        <v>94.085916999999995</v>
      </c>
      <c r="P442">
        <v>19.173805999999999</v>
      </c>
      <c r="Q442">
        <v>33.209304000000003</v>
      </c>
      <c r="R442">
        <v>1848</v>
      </c>
      <c r="S442">
        <v>863</v>
      </c>
      <c r="T442">
        <f>S442/(S442+R442)</f>
        <v>0.31833271855403911</v>
      </c>
      <c r="U442">
        <f>-4.0807-2.4832*T442</f>
        <v>-4.8711838067133897</v>
      </c>
      <c r="V442">
        <f>L442-(SUM(R442:S442)*U442)</f>
        <v>155.21155100000033</v>
      </c>
      <c r="W442">
        <f>V442/(2*P442*Q442)</f>
        <v>0.12187817443029819</v>
      </c>
      <c r="X442">
        <f>W442*16.02</f>
        <v>1.9524883543733771</v>
      </c>
    </row>
    <row r="443" spans="10:24" x14ac:dyDescent="0.2">
      <c r="K443">
        <v>867.40374599999996</v>
      </c>
      <c r="L443">
        <v>-12985.135675</v>
      </c>
      <c r="M443">
        <v>59947.534420000004</v>
      </c>
      <c r="N443">
        <v>-1.1570050000000001</v>
      </c>
      <c r="O443">
        <v>94.073609000000005</v>
      </c>
      <c r="P443">
        <v>19.185707000000001</v>
      </c>
      <c r="Q443">
        <v>33.214413999999998</v>
      </c>
      <c r="R443">
        <v>1880</v>
      </c>
      <c r="S443">
        <v>831</v>
      </c>
      <c r="T443">
        <f>S443/(S443+R443)</f>
        <v>0.30652895610475839</v>
      </c>
      <c r="U443">
        <f>-4.0807-2.4832*T443</f>
        <v>-4.8418727037993365</v>
      </c>
      <c r="V443">
        <f>L443-(SUM(R443:S443)*U443)</f>
        <v>141.18122500000209</v>
      </c>
      <c r="W443">
        <f>V443/(2*P443*Q443)</f>
        <v>0.11077520128672649</v>
      </c>
      <c r="X443">
        <f>W443*16.02</f>
        <v>1.7746187246133585</v>
      </c>
    </row>
    <row r="444" spans="10:24" x14ac:dyDescent="0.2">
      <c r="K444">
        <v>867.79242199999999</v>
      </c>
      <c r="L444">
        <v>-13063.222787000001</v>
      </c>
      <c r="M444">
        <v>59983.093261000002</v>
      </c>
      <c r="N444">
        <v>-1.0726659999999999</v>
      </c>
      <c r="O444">
        <v>94.232639000000006</v>
      </c>
      <c r="P444">
        <v>19.185745000000001</v>
      </c>
      <c r="Q444">
        <v>33.177954999999997</v>
      </c>
      <c r="R444">
        <v>1844</v>
      </c>
      <c r="S444">
        <v>867</v>
      </c>
      <c r="T444">
        <f>S444/(S444+R444)</f>
        <v>0.31980818886019918</v>
      </c>
      <c r="U444">
        <f>-4.0807-2.4832*T444</f>
        <v>-4.8748476945776469</v>
      </c>
      <c r="V444">
        <f>L444-(SUM(R444:S444)*U444)</f>
        <v>152.48931300000004</v>
      </c>
      <c r="W444">
        <f>V444/(2*P444*Q444)</f>
        <v>0.11977912342614057</v>
      </c>
      <c r="X444">
        <f>W444*16.02</f>
        <v>1.9188615572867718</v>
      </c>
    </row>
    <row r="445" spans="10:24" x14ac:dyDescent="0.2">
      <c r="K445">
        <v>867.46937500000001</v>
      </c>
      <c r="L445">
        <v>-13005.881782</v>
      </c>
      <c r="M445">
        <v>60017.778001999999</v>
      </c>
      <c r="N445">
        <v>-1.1008450000000001</v>
      </c>
      <c r="O445">
        <v>94.170929999999998</v>
      </c>
      <c r="P445">
        <v>19.171638999999999</v>
      </c>
      <c r="Q445">
        <v>33.24333</v>
      </c>
      <c r="R445">
        <v>1873</v>
      </c>
      <c r="S445">
        <v>838</v>
      </c>
      <c r="T445">
        <f>S445/(S445+R445)</f>
        <v>0.30911102914053856</v>
      </c>
      <c r="U445">
        <f>-4.0807-2.4832*T445</f>
        <v>-4.848284507561786</v>
      </c>
      <c r="V445">
        <f>L445-(SUM(R445:S445)*U445)</f>
        <v>137.81751800000166</v>
      </c>
      <c r="W445">
        <f>V445/(2*P445*Q445)</f>
        <v>0.10812115221196626</v>
      </c>
      <c r="X445">
        <f>W445*16.02</f>
        <v>1.7321008584356994</v>
      </c>
    </row>
    <row r="446" spans="10:24" x14ac:dyDescent="0.2">
      <c r="X446" s="1">
        <f>AVERAGE(X441:X445)</f>
        <v>1.8291206738667984</v>
      </c>
    </row>
    <row r="448" spans="10:24" x14ac:dyDescent="0.2">
      <c r="J448" t="s">
        <v>67</v>
      </c>
      <c r="K448" t="s">
        <v>73</v>
      </c>
      <c r="W448" t="s">
        <v>25</v>
      </c>
      <c r="X448" t="s">
        <v>24</v>
      </c>
    </row>
    <row r="449" spans="10:24" x14ac:dyDescent="0.2">
      <c r="J449">
        <v>1200</v>
      </c>
      <c r="K449" t="s">
        <v>18</v>
      </c>
      <c r="L449" t="s">
        <v>5</v>
      </c>
      <c r="M449" t="s">
        <v>7</v>
      </c>
      <c r="N449" t="s">
        <v>19</v>
      </c>
      <c r="O449" t="s">
        <v>20</v>
      </c>
      <c r="P449" t="s">
        <v>21</v>
      </c>
      <c r="Q449" t="s">
        <v>22</v>
      </c>
      <c r="R449" t="s">
        <v>4</v>
      </c>
      <c r="S449" t="s">
        <v>10</v>
      </c>
      <c r="T449" t="s">
        <v>13</v>
      </c>
      <c r="U449" t="s">
        <v>26</v>
      </c>
      <c r="V449" t="s">
        <v>12</v>
      </c>
      <c r="W449" t="s">
        <v>23</v>
      </c>
      <c r="X449" t="s">
        <v>23</v>
      </c>
    </row>
    <row r="450" spans="10:24" x14ac:dyDescent="0.2">
      <c r="J450" t="s">
        <v>17</v>
      </c>
      <c r="K450">
        <v>1040.8902230000001</v>
      </c>
      <c r="L450">
        <v>-9217.3658360000009</v>
      </c>
      <c r="M450">
        <v>75198.747908999998</v>
      </c>
      <c r="N450">
        <v>-1.06473</v>
      </c>
      <c r="O450">
        <v>30.434556000000001</v>
      </c>
      <c r="P450">
        <v>91.723163</v>
      </c>
      <c r="Q450">
        <v>26.938206000000001</v>
      </c>
      <c r="R450">
        <v>1353</v>
      </c>
      <c r="S450">
        <v>599</v>
      </c>
      <c r="T450">
        <f>S450/(S450+R450)</f>
        <v>0.30686475409836067</v>
      </c>
      <c r="U450">
        <f>-4.0574-2.4647*T450</f>
        <v>-4.8137295594262302</v>
      </c>
      <c r="V450">
        <f>L450-(SUM(R450:S450)*U450)</f>
        <v>179.03426399999989</v>
      </c>
      <c r="W450">
        <f>V450/(2*O450*Q450)</f>
        <v>0.10918689590384742</v>
      </c>
      <c r="X450">
        <f>W450*16.02</f>
        <v>1.7491740723796356</v>
      </c>
    </row>
    <row r="451" spans="10:24" x14ac:dyDescent="0.2">
      <c r="K451">
        <v>1040.9524080000001</v>
      </c>
      <c r="L451">
        <v>-9243.4161499999991</v>
      </c>
      <c r="M451">
        <v>74820.900227999999</v>
      </c>
      <c r="N451">
        <v>-1.161249</v>
      </c>
      <c r="O451">
        <v>30.411792999999999</v>
      </c>
      <c r="P451">
        <v>91.125933000000003</v>
      </c>
      <c r="Q451">
        <v>26.998612000000001</v>
      </c>
      <c r="R451">
        <v>1341</v>
      </c>
      <c r="S451">
        <v>611</v>
      </c>
      <c r="T451">
        <f>S451/(S451+R451)</f>
        <v>0.31301229508196721</v>
      </c>
      <c r="U451">
        <f>-4.0574-2.4647*T451</f>
        <v>-4.8288814036885253</v>
      </c>
      <c r="V451">
        <f>L451-(SUM(R451:S451)*U451)</f>
        <v>182.56035000000156</v>
      </c>
      <c r="W451">
        <f>V451/(2*O451*Q451)</f>
        <v>0.11117138100364152</v>
      </c>
      <c r="X451">
        <f>W451*16.02</f>
        <v>1.780965523678337</v>
      </c>
    </row>
    <row r="452" spans="10:24" x14ac:dyDescent="0.2">
      <c r="K452">
        <v>1040.9665030000001</v>
      </c>
      <c r="L452">
        <v>-9251.4785890000003</v>
      </c>
      <c r="M452">
        <v>74985.215884000005</v>
      </c>
      <c r="N452">
        <v>-1.1878599999999999</v>
      </c>
      <c r="O452">
        <v>30.415077</v>
      </c>
      <c r="P452">
        <v>91.577370999999999</v>
      </c>
      <c r="Q452">
        <v>26.921690999999999</v>
      </c>
      <c r="R452">
        <v>1338</v>
      </c>
      <c r="S452">
        <v>614</v>
      </c>
      <c r="T452">
        <f>S452/(S452+R452)</f>
        <v>0.31454918032786883</v>
      </c>
      <c r="U452">
        <f>-4.0574-2.4647*T452</f>
        <v>-4.832669364754099</v>
      </c>
      <c r="V452">
        <f>L452-(SUM(R452:S452)*U452)</f>
        <v>181.89201100000173</v>
      </c>
      <c r="W452">
        <f>V452/(2*O452*Q452)</f>
        <v>0.11106887509956856</v>
      </c>
      <c r="X452">
        <f>W452*16.02</f>
        <v>1.7793233790950882</v>
      </c>
    </row>
    <row r="453" spans="10:24" x14ac:dyDescent="0.2">
      <c r="K453">
        <v>1040.6276250000001</v>
      </c>
      <c r="L453">
        <v>-9234.6786620000003</v>
      </c>
      <c r="M453">
        <v>75079.159417999996</v>
      </c>
      <c r="N453">
        <v>-1.3258529999999999</v>
      </c>
      <c r="O453">
        <v>30.425204999999998</v>
      </c>
      <c r="P453">
        <v>91.647986000000003</v>
      </c>
      <c r="Q453">
        <v>26.925716999999999</v>
      </c>
      <c r="R453">
        <v>1343</v>
      </c>
      <c r="S453">
        <v>609</v>
      </c>
      <c r="T453">
        <f>S453/(S453+R453)</f>
        <v>0.31198770491803279</v>
      </c>
      <c r="U453">
        <f>-4.0574-2.4647*T453</f>
        <v>-4.8263560963114758</v>
      </c>
      <c r="V453">
        <f>L453-(SUM(R453:S453)*U453)</f>
        <v>186.36843800000133</v>
      </c>
      <c r="W453">
        <f>V453/(2*O453*Q453)</f>
        <v>0.11374742649520415</v>
      </c>
      <c r="X453">
        <f>W453*16.02</f>
        <v>1.8222337724531705</v>
      </c>
    </row>
    <row r="454" spans="10:24" x14ac:dyDescent="0.2">
      <c r="K454">
        <v>1040.9257849999999</v>
      </c>
      <c r="L454">
        <v>-9191.4717400000009</v>
      </c>
      <c r="M454">
        <v>75518.641617000001</v>
      </c>
      <c r="N454">
        <v>-1.3449340000000001</v>
      </c>
      <c r="O454">
        <v>30.434287999999999</v>
      </c>
      <c r="P454">
        <v>91.789856</v>
      </c>
      <c r="Q454">
        <v>27.033377000000002</v>
      </c>
      <c r="R454">
        <v>1359</v>
      </c>
      <c r="S454">
        <v>593</v>
      </c>
      <c r="T454">
        <f>S454/(S454+R454)</f>
        <v>0.30379098360655737</v>
      </c>
      <c r="U454">
        <f>-4.0574-2.4647*T454</f>
        <v>-4.8061536372950826</v>
      </c>
      <c r="V454">
        <f>L454-(SUM(R454:S454)*U454)</f>
        <v>190.14016000000083</v>
      </c>
      <c r="W454">
        <f>V454/(2*O454*Q454)</f>
        <v>0.11555278372803758</v>
      </c>
      <c r="X454">
        <f>W454*16.02</f>
        <v>1.851155595323162</v>
      </c>
    </row>
    <row r="455" spans="10:24" x14ac:dyDescent="0.2">
      <c r="X455" s="1">
        <f>AVERAGE(X450:X454)</f>
        <v>1.796570468585879</v>
      </c>
    </row>
    <row r="456" spans="10:24" x14ac:dyDescent="0.2">
      <c r="J456" t="s">
        <v>27</v>
      </c>
      <c r="K456">
        <v>1115.842484</v>
      </c>
      <c r="L456">
        <v>-6940.0437099999999</v>
      </c>
      <c r="M456">
        <v>56774.896833999999</v>
      </c>
      <c r="N456">
        <v>-1.6712910000000001</v>
      </c>
      <c r="O456">
        <v>32.255721000000001</v>
      </c>
      <c r="P456">
        <v>129.89737500000001</v>
      </c>
      <c r="Q456">
        <v>13.550420000000001</v>
      </c>
      <c r="R456">
        <v>1016</v>
      </c>
      <c r="S456">
        <v>448</v>
      </c>
      <c r="T456">
        <f>S456/(S456+R456)</f>
        <v>0.30601092896174864</v>
      </c>
      <c r="U456">
        <f>-4.0574-2.4647*T456</f>
        <v>-4.8116251366120224</v>
      </c>
      <c r="V456">
        <f>L456-(SUM(R456:S456)*U456)</f>
        <v>104.17549000000054</v>
      </c>
      <c r="W456">
        <f>V456/(2*O456*Q456)</f>
        <v>0.11917249880986001</v>
      </c>
      <c r="X456">
        <f>W456*16.02</f>
        <v>1.9091434309339574</v>
      </c>
    </row>
    <row r="457" spans="10:24" x14ac:dyDescent="0.2">
      <c r="K457">
        <v>1115.571066</v>
      </c>
      <c r="L457">
        <v>-6952.3894149999996</v>
      </c>
      <c r="M457">
        <v>56592.897314000002</v>
      </c>
      <c r="N457">
        <v>-1.9174629999999999</v>
      </c>
      <c r="O457">
        <v>32.232824000000001</v>
      </c>
      <c r="P457">
        <v>129.93681000000001</v>
      </c>
      <c r="Q457">
        <v>13.512499999999999</v>
      </c>
      <c r="R457">
        <v>1013</v>
      </c>
      <c r="S457">
        <v>451</v>
      </c>
      <c r="T457">
        <f>S457/(S457+R457)</f>
        <v>0.30806010928961747</v>
      </c>
      <c r="U457">
        <f>-4.0574-2.4647*T457</f>
        <v>-4.8166757513661205</v>
      </c>
      <c r="V457">
        <f>L457-(SUM(R457:S457)*U457)</f>
        <v>99.223885000000337</v>
      </c>
      <c r="W457">
        <f>V457/(2*O457*Q457)</f>
        <v>0.113907460045493</v>
      </c>
      <c r="X457">
        <f>W457*16.02</f>
        <v>1.8247975099287979</v>
      </c>
    </row>
    <row r="458" spans="10:24" x14ac:dyDescent="0.2">
      <c r="K458">
        <v>1116.0549189999999</v>
      </c>
      <c r="L458">
        <v>-6980.7268270000004</v>
      </c>
      <c r="M458">
        <v>56480.013437000001</v>
      </c>
      <c r="N458">
        <v>-2.0459640000000001</v>
      </c>
      <c r="O458">
        <v>32.196725000000001</v>
      </c>
      <c r="P458">
        <v>129.97737699999999</v>
      </c>
      <c r="Q458">
        <v>13.496453000000001</v>
      </c>
      <c r="R458">
        <v>1002</v>
      </c>
      <c r="S458">
        <v>462</v>
      </c>
      <c r="T458">
        <f>S458/(S458+R458)</f>
        <v>0.3155737704918033</v>
      </c>
      <c r="U458">
        <f>-4.0574-2.4647*T458</f>
        <v>-4.8351946721311476</v>
      </c>
      <c r="V458">
        <f>L458-(SUM(R458:S458)*U458)</f>
        <v>97.998172999999952</v>
      </c>
      <c r="W458">
        <f>V458/(2*O458*Q458)</f>
        <v>0.11276040800379462</v>
      </c>
      <c r="X458">
        <f>W458*16.02</f>
        <v>1.8064217362207897</v>
      </c>
    </row>
    <row r="459" spans="10:24" x14ac:dyDescent="0.2">
      <c r="K459">
        <v>1115.9759650000001</v>
      </c>
      <c r="L459">
        <v>-6993.5305410000001</v>
      </c>
      <c r="M459">
        <v>56549.163974000003</v>
      </c>
      <c r="N459">
        <v>-1.859826</v>
      </c>
      <c r="O459">
        <v>32.210531000000003</v>
      </c>
      <c r="P459">
        <v>129.89707100000001</v>
      </c>
      <c r="Q459">
        <v>13.515528</v>
      </c>
      <c r="R459">
        <v>996</v>
      </c>
      <c r="S459">
        <v>468</v>
      </c>
      <c r="T459">
        <f>S459/(S459+R459)</f>
        <v>0.31967213114754101</v>
      </c>
      <c r="U459">
        <f>-4.0574-2.4647*T459</f>
        <v>-4.8452959016393446</v>
      </c>
      <c r="V459">
        <f>L459-(SUM(R459:S459)*U459)</f>
        <v>99.98265900000024</v>
      </c>
      <c r="W459">
        <f>V459/(2*O459*Q459)</f>
        <v>0.11483222659209601</v>
      </c>
      <c r="X459">
        <f>W459*16.02</f>
        <v>1.8396122700053781</v>
      </c>
    </row>
    <row r="460" spans="10:24" x14ac:dyDescent="0.2">
      <c r="K460">
        <v>1115.8618710000001</v>
      </c>
      <c r="L460">
        <v>-6956.3385859999999</v>
      </c>
      <c r="M460">
        <v>56622.851020000002</v>
      </c>
      <c r="N460">
        <v>-2.0399229999999999</v>
      </c>
      <c r="O460">
        <v>32.195048999999997</v>
      </c>
      <c r="P460">
        <v>129.939887</v>
      </c>
      <c r="Q460">
        <v>13.535202</v>
      </c>
      <c r="R460">
        <v>1011</v>
      </c>
      <c r="S460">
        <v>453</v>
      </c>
      <c r="T460">
        <f>S460/(S460+R460)</f>
        <v>0.3094262295081967</v>
      </c>
      <c r="U460">
        <f>-4.0574-2.4647*T460</f>
        <v>-4.8200428278688525</v>
      </c>
      <c r="V460">
        <f>L460-(SUM(R460:S460)*U460)</f>
        <v>100.20411400000012</v>
      </c>
      <c r="W460">
        <f>V460/(2*O460*Q460)</f>
        <v>0.11497455165569957</v>
      </c>
      <c r="X460">
        <f>W460*16.02</f>
        <v>1.8418923175243072</v>
      </c>
    </row>
    <row r="461" spans="10:24" x14ac:dyDescent="0.2">
      <c r="X461" s="1">
        <f>AVERAGE(X456:X460)</f>
        <v>1.8443734529226461</v>
      </c>
    </row>
    <row r="462" spans="10:24" x14ac:dyDescent="0.2">
      <c r="J462" t="s">
        <v>28</v>
      </c>
      <c r="K462">
        <v>1115.4239130000001</v>
      </c>
      <c r="L462">
        <v>-5992.0920779999997</v>
      </c>
      <c r="M462">
        <v>49082.853189000001</v>
      </c>
      <c r="N462">
        <v>-2.0830289999999998</v>
      </c>
      <c r="O462">
        <v>34.596811000000002</v>
      </c>
      <c r="P462">
        <v>140.181186</v>
      </c>
      <c r="Q462">
        <v>10.120675</v>
      </c>
      <c r="R462">
        <v>870</v>
      </c>
      <c r="S462">
        <v>390</v>
      </c>
      <c r="T462">
        <f>S462/(S462+R462)</f>
        <v>0.30952380952380953</v>
      </c>
      <c r="U462">
        <f>-4.0574-2.4647*T462</f>
        <v>-4.8202833333333341</v>
      </c>
      <c r="V462">
        <f>L462-(SUM(R462:S462)*U462)</f>
        <v>81.464922000001025</v>
      </c>
      <c r="W462">
        <f>V462/(2*O462*Q462)</f>
        <v>0.11633090387085133</v>
      </c>
      <c r="X462">
        <f>W462*16.02</f>
        <v>1.8636210800110384</v>
      </c>
    </row>
    <row r="463" spans="10:24" x14ac:dyDescent="0.2">
      <c r="K463">
        <v>1114.994696</v>
      </c>
      <c r="L463">
        <v>-5988.8997019999997</v>
      </c>
      <c r="M463">
        <v>49064.272016000003</v>
      </c>
      <c r="N463">
        <v>-2.3199800000000002</v>
      </c>
      <c r="O463">
        <v>34.598799</v>
      </c>
      <c r="P463">
        <v>140.47660200000001</v>
      </c>
      <c r="Q463">
        <v>10.095046999999999</v>
      </c>
      <c r="R463">
        <v>872</v>
      </c>
      <c r="S463">
        <v>388</v>
      </c>
      <c r="T463">
        <f>S463/(S463+R463)</f>
        <v>0.30793650793650795</v>
      </c>
      <c r="U463">
        <f>-4.0574-2.4647*T463</f>
        <v>-4.8163711111111116</v>
      </c>
      <c r="V463">
        <f>L463-(SUM(R463:S463)*U463)</f>
        <v>79.727898000001005</v>
      </c>
      <c r="W463">
        <f>V463/(2*O463*Q463)</f>
        <v>0.11413292553662545</v>
      </c>
      <c r="X463">
        <f>W463*16.02</f>
        <v>1.8284094670967397</v>
      </c>
    </row>
    <row r="464" spans="10:24" x14ac:dyDescent="0.2">
      <c r="K464">
        <v>1115.583343</v>
      </c>
      <c r="L464">
        <v>-6000.6620709999997</v>
      </c>
      <c r="M464">
        <v>49087.434351999997</v>
      </c>
      <c r="N464">
        <v>-2.0767989999999998</v>
      </c>
      <c r="O464">
        <v>34.619529</v>
      </c>
      <c r="P464">
        <v>140.10861</v>
      </c>
      <c r="Q464">
        <v>10.120226000000001</v>
      </c>
      <c r="R464">
        <v>867</v>
      </c>
      <c r="S464">
        <v>393</v>
      </c>
      <c r="T464">
        <f>S464/(S464+R464)</f>
        <v>0.31190476190476191</v>
      </c>
      <c r="U464">
        <f>-4.0574-2.4647*T464</f>
        <v>-4.8261516666666671</v>
      </c>
      <c r="V464">
        <f>L464-(SUM(R464:S464)*U464)</f>
        <v>80.289029000000482</v>
      </c>
      <c r="W464">
        <f>V464/(2*O464*Q464)</f>
        <v>0.11458158986308671</v>
      </c>
      <c r="X464">
        <f>W464*16.02</f>
        <v>1.835597069606649</v>
      </c>
    </row>
    <row r="465" spans="10:24" x14ac:dyDescent="0.2">
      <c r="K465">
        <v>1115.7506989999999</v>
      </c>
      <c r="L465">
        <v>-6018.8644940000004</v>
      </c>
      <c r="M465">
        <v>48985.541681000002</v>
      </c>
      <c r="N465">
        <v>-2.1605620000000001</v>
      </c>
      <c r="O465">
        <v>34.576976999999999</v>
      </c>
      <c r="P465">
        <v>139.88331400000001</v>
      </c>
      <c r="Q465">
        <v>10.127948999999999</v>
      </c>
      <c r="R465">
        <v>858</v>
      </c>
      <c r="S465">
        <v>402</v>
      </c>
      <c r="T465">
        <f>S465/(S465+R465)</f>
        <v>0.31904761904761902</v>
      </c>
      <c r="U465">
        <f>-4.0574-2.4647*T465</f>
        <v>-4.8437566666666667</v>
      </c>
      <c r="V465">
        <f>L465-(SUM(R465:S465)*U465)</f>
        <v>84.268905999999333</v>
      </c>
      <c r="W465">
        <f>V465/(2*O465*Q465)</f>
        <v>0.12031750940606535</v>
      </c>
      <c r="X465">
        <f>W465*16.02</f>
        <v>1.9274865006851669</v>
      </c>
    </row>
    <row r="466" spans="10:24" x14ac:dyDescent="0.2">
      <c r="K466">
        <v>1116.067157</v>
      </c>
      <c r="L466">
        <v>-6026.5268690000003</v>
      </c>
      <c r="M466">
        <v>48882.626604999998</v>
      </c>
      <c r="N466">
        <v>-2.210251</v>
      </c>
      <c r="O466">
        <v>34.561242999999997</v>
      </c>
      <c r="P466">
        <v>140.00958399999999</v>
      </c>
      <c r="Q466">
        <v>10.102159</v>
      </c>
      <c r="R466">
        <v>857</v>
      </c>
      <c r="S466">
        <v>403</v>
      </c>
      <c r="T466">
        <f>S466/(S466+R466)</f>
        <v>0.31984126984126982</v>
      </c>
      <c r="U466">
        <f>-4.0574-2.4647*T466</f>
        <v>-4.845712777777778</v>
      </c>
      <c r="V466">
        <f>L466-(SUM(R466:S466)*U466)</f>
        <v>79.071230999999898</v>
      </c>
      <c r="W466">
        <f>V466/(2*O466*Q466)</f>
        <v>0.11323611248317178</v>
      </c>
      <c r="X466">
        <f>W466*16.02</f>
        <v>1.8140425219804119</v>
      </c>
    </row>
    <row r="467" spans="10:24" x14ac:dyDescent="0.2">
      <c r="X467" s="1">
        <f>AVERAGE(X462:X466)</f>
        <v>1.853831327876001</v>
      </c>
    </row>
    <row r="468" spans="10:24" x14ac:dyDescent="0.2">
      <c r="J468" t="s">
        <v>55</v>
      </c>
      <c r="K468">
        <v>1040.8411960000001</v>
      </c>
      <c r="L468">
        <v>-9404.8977940000004</v>
      </c>
      <c r="M468">
        <v>77297.246308999995</v>
      </c>
      <c r="N468">
        <v>-1.141024</v>
      </c>
      <c r="O468">
        <v>30.645001000000001</v>
      </c>
      <c r="P468">
        <v>185.67437799999999</v>
      </c>
      <c r="Q468">
        <v>13.584911999999999</v>
      </c>
      <c r="R468">
        <v>1375</v>
      </c>
      <c r="S468">
        <v>601</v>
      </c>
      <c r="T468">
        <f>S468/(S468+R468)</f>
        <v>0.3041497975708502</v>
      </c>
      <c r="U468">
        <f>-4.0574-2.4647*T468</f>
        <v>-4.807038006072875</v>
      </c>
      <c r="V468">
        <f>L468-(SUM(R468:S468)*U468)</f>
        <v>93.809306000001015</v>
      </c>
      <c r="W468">
        <f>V468/(2*O468*Q468)</f>
        <v>0.11266770760915328</v>
      </c>
      <c r="X468">
        <f>W468*16.02</f>
        <v>1.8049366758986354</v>
      </c>
    </row>
    <row r="469" spans="10:24" x14ac:dyDescent="0.2">
      <c r="K469">
        <v>1040.7755259999999</v>
      </c>
      <c r="L469">
        <v>-9428.3019480000003</v>
      </c>
      <c r="M469">
        <v>77200.998783999996</v>
      </c>
      <c r="N469">
        <v>-1.085796</v>
      </c>
      <c r="O469">
        <v>30.652754000000002</v>
      </c>
      <c r="P469">
        <v>185.91160400000001</v>
      </c>
      <c r="Q469">
        <v>13.547247</v>
      </c>
      <c r="R469">
        <v>1365</v>
      </c>
      <c r="S469">
        <v>611</v>
      </c>
      <c r="T469">
        <f>S469/(S469+R469)</f>
        <v>0.30921052631578949</v>
      </c>
      <c r="U469">
        <f>-4.0574-2.4647*T469</f>
        <v>-4.8195111842105263</v>
      </c>
      <c r="V469">
        <f>L469-(SUM(R469:S469)*U469)</f>
        <v>95.052152000000206</v>
      </c>
      <c r="W469">
        <f>V469/(2*O469*Q469)</f>
        <v>0.11444884367617178</v>
      </c>
      <c r="X469">
        <f>W469*16.02</f>
        <v>1.833470475692272</v>
      </c>
    </row>
    <row r="470" spans="10:24" x14ac:dyDescent="0.2">
      <c r="K470">
        <v>1040.564668</v>
      </c>
      <c r="L470">
        <v>-9496.1798999999992</v>
      </c>
      <c r="M470">
        <v>76982.939360000004</v>
      </c>
      <c r="N470">
        <v>-1.1662300000000001</v>
      </c>
      <c r="O470">
        <v>30.625029000000001</v>
      </c>
      <c r="P470">
        <v>185.64635899999999</v>
      </c>
      <c r="Q470">
        <v>13.540521999999999</v>
      </c>
      <c r="R470">
        <v>1339</v>
      </c>
      <c r="S470">
        <v>637</v>
      </c>
      <c r="T470">
        <f>S470/(S470+R470)</f>
        <v>0.32236842105263158</v>
      </c>
      <c r="U470">
        <f>-4.0574-2.4647*T470</f>
        <v>-4.8519414473684215</v>
      </c>
      <c r="V470">
        <f>L470-(SUM(R470:S470)*U470)</f>
        <v>91.256400000002031</v>
      </c>
      <c r="W470">
        <f>V470/(2*O470*Q470)</f>
        <v>0.11003261154334865</v>
      </c>
      <c r="X470">
        <f>W470*16.02</f>
        <v>1.7627224369244452</v>
      </c>
    </row>
    <row r="471" spans="10:24" x14ac:dyDescent="0.2">
      <c r="K471">
        <v>1040.754778</v>
      </c>
      <c r="L471">
        <v>-9450.4636640000008</v>
      </c>
      <c r="M471">
        <v>77205.139005999998</v>
      </c>
      <c r="N471">
        <v>-1.197837</v>
      </c>
      <c r="O471">
        <v>30.669664999999998</v>
      </c>
      <c r="P471">
        <v>185.73925500000001</v>
      </c>
      <c r="Q471">
        <v>13.553079</v>
      </c>
      <c r="R471">
        <v>1359</v>
      </c>
      <c r="S471">
        <v>617</v>
      </c>
      <c r="T471">
        <f>S471/(S471+R471)</f>
        <v>0.31224696356275305</v>
      </c>
      <c r="U471">
        <f>-4.0574-2.4647*T471</f>
        <v>-4.8269950910931181</v>
      </c>
      <c r="V471">
        <f>L471-(SUM(R471:S471)*U471)</f>
        <v>87.678636000000552</v>
      </c>
      <c r="W471">
        <f>V471/(2*O471*Q471)</f>
        <v>0.10546704723124872</v>
      </c>
      <c r="X471">
        <f>W471*16.02</f>
        <v>1.6895820966446045</v>
      </c>
    </row>
    <row r="472" spans="10:24" x14ac:dyDescent="0.2">
      <c r="K472">
        <v>1040.8980280000001</v>
      </c>
      <c r="L472">
        <v>-9395.7557589999997</v>
      </c>
      <c r="M472">
        <v>77565.422749999998</v>
      </c>
      <c r="N472">
        <v>-1.316999</v>
      </c>
      <c r="O472">
        <v>30.682414000000001</v>
      </c>
      <c r="P472">
        <v>186.14913000000001</v>
      </c>
      <c r="Q472">
        <v>13.580681999999999</v>
      </c>
      <c r="R472">
        <v>1379</v>
      </c>
      <c r="S472">
        <v>597</v>
      </c>
      <c r="T472">
        <f>S472/(S472+R472)</f>
        <v>0.30212550607287447</v>
      </c>
      <c r="U472">
        <f>-4.0574-2.4647*T472</f>
        <v>-4.8020487348178138</v>
      </c>
      <c r="V472">
        <f>L472-(SUM(R472:S472)*U472)</f>
        <v>93.092540999999983</v>
      </c>
      <c r="W472">
        <f>V472/(2*O472*Q472)</f>
        <v>0.11170530106155424</v>
      </c>
      <c r="X472">
        <f>W472*16.02</f>
        <v>1.7895189230060988</v>
      </c>
    </row>
    <row r="473" spans="10:24" x14ac:dyDescent="0.2">
      <c r="X473" s="1">
        <f>AVERAGE(X468:X472)</f>
        <v>1.7760461216332115</v>
      </c>
    </row>
    <row r="474" spans="10:24" x14ac:dyDescent="0.2">
      <c r="J474">
        <v>100</v>
      </c>
      <c r="K474">
        <v>1115.713137</v>
      </c>
      <c r="L474">
        <v>-22361.353442</v>
      </c>
      <c r="M474">
        <v>100463.03034500001</v>
      </c>
      <c r="N474">
        <v>-1.0953870000000001</v>
      </c>
      <c r="O474">
        <v>27.107913</v>
      </c>
      <c r="P474">
        <v>27.142603000000001</v>
      </c>
      <c r="Q474">
        <v>136.54030399999999</v>
      </c>
      <c r="R474">
        <v>3227</v>
      </c>
      <c r="S474">
        <v>1445</v>
      </c>
      <c r="T474">
        <f>S474/(S474+R474)</f>
        <v>0.30928938356164382</v>
      </c>
      <c r="U474">
        <f>-4.0574-2.4647*T474</f>
        <v>-4.8197055436643836</v>
      </c>
      <c r="V474">
        <f>L474-(SUM(R474:S474)*U474)</f>
        <v>156.31085800000074</v>
      </c>
      <c r="W474">
        <f>V474/(2*O474*P474)</f>
        <v>0.10622129054100413</v>
      </c>
      <c r="X474">
        <f>W474*16.02</f>
        <v>1.701665074466886</v>
      </c>
    </row>
    <row r="475" spans="10:24" x14ac:dyDescent="0.2">
      <c r="K475">
        <v>1115.743821</v>
      </c>
      <c r="L475">
        <v>-22371.035722000001</v>
      </c>
      <c r="M475">
        <v>100483.23574800001</v>
      </c>
      <c r="N475">
        <v>-1.074276</v>
      </c>
      <c r="O475">
        <v>27.128193</v>
      </c>
      <c r="P475">
        <v>27.123518000000001</v>
      </c>
      <c r="Q475">
        <v>136.56154100000001</v>
      </c>
      <c r="R475">
        <v>3217</v>
      </c>
      <c r="S475">
        <v>1455</v>
      </c>
      <c r="T475">
        <f>S475/(S475+R475)</f>
        <v>0.31142979452054792</v>
      </c>
      <c r="U475">
        <f>-4.0574-2.4647*T475</f>
        <v>-4.8249810145547949</v>
      </c>
      <c r="V475">
        <f>L475-(SUM(R475:S475)*U475)</f>
        <v>171.27557800000068</v>
      </c>
      <c r="W475">
        <f>V475/(2*O475*P475)</f>
        <v>0.11638541553469144</v>
      </c>
      <c r="X475">
        <f>W475*16.02</f>
        <v>1.8644943568657568</v>
      </c>
    </row>
    <row r="476" spans="10:24" x14ac:dyDescent="0.2">
      <c r="K476">
        <v>1115.5191870000001</v>
      </c>
      <c r="L476">
        <v>-22387.712734000001</v>
      </c>
      <c r="M476">
        <v>100484.577118</v>
      </c>
      <c r="N476">
        <v>-1.063129</v>
      </c>
      <c r="O476">
        <v>27.111993999999999</v>
      </c>
      <c r="P476">
        <v>27.117457999999999</v>
      </c>
      <c r="Q476">
        <v>136.67554699999999</v>
      </c>
      <c r="R476">
        <v>3212</v>
      </c>
      <c r="S476">
        <v>1460</v>
      </c>
      <c r="T476">
        <f>S476/(S476+R476)</f>
        <v>0.3125</v>
      </c>
      <c r="U476">
        <f>-4.0574-2.4647*T476</f>
        <v>-4.8276187500000001</v>
      </c>
      <c r="V476">
        <f>L476-(SUM(R476:S476)*U476)</f>
        <v>166.92206599999918</v>
      </c>
      <c r="W476">
        <f>V476/(2*O476*P476)</f>
        <v>0.11352024500907609</v>
      </c>
      <c r="X476">
        <f>W476*16.02</f>
        <v>1.8185943250453989</v>
      </c>
    </row>
    <row r="477" spans="10:24" x14ac:dyDescent="0.2">
      <c r="K477">
        <v>1115.1829210000001</v>
      </c>
      <c r="L477">
        <v>-22357.446028999999</v>
      </c>
      <c r="M477">
        <v>100676.195857</v>
      </c>
      <c r="N477">
        <v>-1.0483439999999999</v>
      </c>
      <c r="O477">
        <v>27.149728</v>
      </c>
      <c r="P477">
        <v>27.113005000000001</v>
      </c>
      <c r="Q477">
        <v>136.768305</v>
      </c>
      <c r="R477">
        <v>3223</v>
      </c>
      <c r="S477">
        <v>1449</v>
      </c>
      <c r="T477">
        <f>S477/(S477+R477)</f>
        <v>0.31014554794520549</v>
      </c>
      <c r="U477">
        <f>-4.0574-2.4647*T477</f>
        <v>-4.8218157320205481</v>
      </c>
      <c r="V477">
        <f>L477-(SUM(R477:S477)*U477)</f>
        <v>170.07707100000334</v>
      </c>
      <c r="W477">
        <f>V477/(2*O477*P477)</f>
        <v>0.11552411101723725</v>
      </c>
      <c r="X477">
        <f>W477*16.02</f>
        <v>1.8506962584961408</v>
      </c>
    </row>
    <row r="478" spans="10:24" x14ac:dyDescent="0.2">
      <c r="K478">
        <v>1115.7116410000001</v>
      </c>
      <c r="L478">
        <v>-22299.711094999999</v>
      </c>
      <c r="M478">
        <v>100854.685002</v>
      </c>
      <c r="N478">
        <v>-1.044397</v>
      </c>
      <c r="O478">
        <v>27.136116000000001</v>
      </c>
      <c r="P478">
        <v>27.147136</v>
      </c>
      <c r="Q478">
        <v>136.90726900000001</v>
      </c>
      <c r="R478">
        <v>3248</v>
      </c>
      <c r="S478">
        <v>1424</v>
      </c>
      <c r="T478">
        <f>S478/(S478+R478)</f>
        <v>0.3047945205479452</v>
      </c>
      <c r="U478">
        <f>-4.0574-2.4647*T478</f>
        <v>-4.8086270547945205</v>
      </c>
      <c r="V478">
        <f>L478-(SUM(R478:S478)*U478)</f>
        <v>166.19450499999948</v>
      </c>
      <c r="W478">
        <f>V478/(2*O478*P478)</f>
        <v>0.11280152185226199</v>
      </c>
      <c r="X478">
        <f>W478*16.02</f>
        <v>1.8070803800732369</v>
      </c>
    </row>
    <row r="479" spans="10:24" x14ac:dyDescent="0.2">
      <c r="X479" s="1">
        <f>AVERAGE(X474:X478)</f>
        <v>1.808506078989484</v>
      </c>
    </row>
    <row r="480" spans="10:24" x14ac:dyDescent="0.2">
      <c r="J480">
        <v>110</v>
      </c>
      <c r="K480">
        <v>1041.29477</v>
      </c>
      <c r="L480">
        <v>-8587.7719670000006</v>
      </c>
      <c r="M480">
        <v>39308.754076999998</v>
      </c>
      <c r="N480">
        <v>-2.40103</v>
      </c>
      <c r="O480">
        <v>96.417754000000002</v>
      </c>
      <c r="P480">
        <v>24.112228000000002</v>
      </c>
      <c r="Q480">
        <v>16.908221000000001</v>
      </c>
      <c r="R480">
        <v>1244</v>
      </c>
      <c r="S480">
        <v>556</v>
      </c>
      <c r="T480">
        <f>S480/(S480+R480)</f>
        <v>0.30888888888888888</v>
      </c>
      <c r="U480">
        <f>-4.0574-2.4647*T480</f>
        <v>-4.8187184444444444</v>
      </c>
      <c r="V480">
        <f>L480-(SUM(R480:S480)*U480)</f>
        <v>85.92123299999912</v>
      </c>
      <c r="W480">
        <f>V480/(2*Q480*P480)</f>
        <v>0.10537443226732163</v>
      </c>
      <c r="X480">
        <f>W480*16.02</f>
        <v>1.6880984049224925</v>
      </c>
    </row>
    <row r="481" spans="10:24" x14ac:dyDescent="0.2">
      <c r="K481">
        <v>1041.191861</v>
      </c>
      <c r="L481">
        <v>-8588.1949399999994</v>
      </c>
      <c r="M481">
        <v>39295.546549999999</v>
      </c>
      <c r="N481">
        <v>-1.9276329999999999</v>
      </c>
      <c r="O481">
        <v>96.458419000000006</v>
      </c>
      <c r="P481">
        <v>24.079360000000001</v>
      </c>
      <c r="Q481">
        <v>16.918479000000001</v>
      </c>
      <c r="R481">
        <v>1246</v>
      </c>
      <c r="S481">
        <v>554</v>
      </c>
      <c r="T481">
        <f>S481/(S481+R481)</f>
        <v>0.30777777777777776</v>
      </c>
      <c r="U481">
        <f>-4.0574-2.4647*T481</f>
        <v>-4.8159798888888892</v>
      </c>
      <c r="V481">
        <f>L481-(SUM(R481:S481)*U481)</f>
        <v>80.568860000001223</v>
      </c>
      <c r="W481">
        <f>V481/(2*Q481*P481)</f>
        <v>9.888512495269472E-2</v>
      </c>
      <c r="X481">
        <f>W481*16.02</f>
        <v>1.5841397017421694</v>
      </c>
    </row>
    <row r="482" spans="10:24" x14ac:dyDescent="0.2">
      <c r="K482">
        <v>1041.3729989999999</v>
      </c>
      <c r="L482">
        <v>-8543.8512950000004</v>
      </c>
      <c r="M482">
        <v>39428.954901999998</v>
      </c>
      <c r="N482">
        <v>-2.1787109999999998</v>
      </c>
      <c r="O482">
        <v>96.613979999999998</v>
      </c>
      <c r="P482">
        <v>24.142935000000001</v>
      </c>
      <c r="Q482">
        <v>16.903943999999999</v>
      </c>
      <c r="R482">
        <v>1266</v>
      </c>
      <c r="S482">
        <v>534</v>
      </c>
      <c r="T482">
        <f>S482/(S482+R482)</f>
        <v>0.29666666666666669</v>
      </c>
      <c r="U482">
        <f>-4.0574-2.4647*T482</f>
        <v>-4.7885943333333341</v>
      </c>
      <c r="V482">
        <f>L482-(SUM(R482:S482)*U482)</f>
        <v>75.618505000000368</v>
      </c>
      <c r="W482">
        <f>V482/(2*Q482*P482)</f>
        <v>9.264457233828019E-2</v>
      </c>
      <c r="X482">
        <f>W482*16.02</f>
        <v>1.4841660488592485</v>
      </c>
    </row>
    <row r="483" spans="10:24" x14ac:dyDescent="0.2">
      <c r="K483">
        <v>1041.2564170000001</v>
      </c>
      <c r="L483">
        <v>-8638.840811</v>
      </c>
      <c r="M483">
        <v>39340.315085000002</v>
      </c>
      <c r="N483">
        <v>-2.2399650000000002</v>
      </c>
      <c r="O483">
        <v>96.822513000000001</v>
      </c>
      <c r="P483">
        <v>24.087136999999998</v>
      </c>
      <c r="Q483">
        <v>16.868600000000001</v>
      </c>
      <c r="R483">
        <v>1224</v>
      </c>
      <c r="S483">
        <v>576</v>
      </c>
      <c r="T483">
        <f>S483/(S483+R483)</f>
        <v>0.32</v>
      </c>
      <c r="U483">
        <f>-4.0574-2.4647*T483</f>
        <v>-4.8461040000000004</v>
      </c>
      <c r="V483">
        <f>L483-(SUM(R483:S483)*U483)</f>
        <v>84.146389000001363</v>
      </c>
      <c r="W483">
        <f>V483/(2*Q483*P483)</f>
        <v>0.10354789274755465</v>
      </c>
      <c r="X483">
        <f>W483*16.02</f>
        <v>1.6588372418158255</v>
      </c>
    </row>
    <row r="484" spans="10:24" x14ac:dyDescent="0.2">
      <c r="K484">
        <v>1041.3011449999999</v>
      </c>
      <c r="L484">
        <v>-8668.1768859999993</v>
      </c>
      <c r="M484">
        <v>39058.911421999997</v>
      </c>
      <c r="N484">
        <v>-2.3705720000000001</v>
      </c>
      <c r="O484">
        <v>96.179171999999994</v>
      </c>
      <c r="P484">
        <v>24.055264000000001</v>
      </c>
      <c r="Q484">
        <v>16.882308999999999</v>
      </c>
      <c r="R484">
        <v>1215</v>
      </c>
      <c r="S484">
        <v>585</v>
      </c>
      <c r="T484">
        <f>S484/(S484+R484)</f>
        <v>0.32500000000000001</v>
      </c>
      <c r="U484">
        <f>-4.0574-2.4647*T484</f>
        <v>-4.8584275000000003</v>
      </c>
      <c r="V484">
        <f>L484-(SUM(R484:S484)*U484)</f>
        <v>76.992614000000685</v>
      </c>
      <c r="W484">
        <f>V484/(2*Q484*P484)</f>
        <v>9.4793180853067857E-2</v>
      </c>
      <c r="X484">
        <f>W484*16.02</f>
        <v>1.5185867572661471</v>
      </c>
    </row>
    <row r="485" spans="10:24" x14ac:dyDescent="0.2">
      <c r="X485" s="1">
        <f>AVERAGE(X480:X484)</f>
        <v>1.5867656309211764</v>
      </c>
    </row>
    <row r="486" spans="10:24" x14ac:dyDescent="0.2">
      <c r="J486">
        <v>111</v>
      </c>
      <c r="K486">
        <v>1041.4947649999999</v>
      </c>
      <c r="L486">
        <v>-12914.574338</v>
      </c>
      <c r="M486">
        <v>60370.837224000003</v>
      </c>
      <c r="N486">
        <v>-1.361944</v>
      </c>
      <c r="O486">
        <v>94.393117000000004</v>
      </c>
      <c r="P486">
        <v>19.22015</v>
      </c>
      <c r="Q486">
        <v>33.276015999999998</v>
      </c>
      <c r="R486">
        <v>1875</v>
      </c>
      <c r="S486">
        <v>836</v>
      </c>
      <c r="T486">
        <f>S486/(S486+R486)</f>
        <v>0.3083732939874585</v>
      </c>
      <c r="U486">
        <f>-4.0574-2.4647*T486</f>
        <v>-4.8174476576908898</v>
      </c>
      <c r="V486">
        <f>L486-(SUM(R486:S486)*U486)</f>
        <v>145.52626200000122</v>
      </c>
      <c r="W486">
        <f>V486/(2*P486*Q486)</f>
        <v>0.11376882725459506</v>
      </c>
      <c r="X486">
        <f>W486*16.02</f>
        <v>1.8225766126186127</v>
      </c>
    </row>
    <row r="487" spans="10:24" x14ac:dyDescent="0.2">
      <c r="K487">
        <v>1040.949965</v>
      </c>
      <c r="L487">
        <v>-12970.010918</v>
      </c>
      <c r="M487">
        <v>60430.533115999999</v>
      </c>
      <c r="N487">
        <v>-1.5031380000000001</v>
      </c>
      <c r="O487">
        <v>94.470557999999997</v>
      </c>
      <c r="P487">
        <v>19.217219</v>
      </c>
      <c r="Q487">
        <v>33.286672000000003</v>
      </c>
      <c r="R487">
        <v>1848</v>
      </c>
      <c r="S487">
        <v>863</v>
      </c>
      <c r="T487">
        <f>S487/(S487+R487)</f>
        <v>0.31833271855403911</v>
      </c>
      <c r="U487">
        <f>-4.0574-2.4647*T487</f>
        <v>-4.8419946514201406</v>
      </c>
      <c r="V487">
        <f>L487-(SUM(R487:S487)*U487)</f>
        <v>156.636582000001</v>
      </c>
      <c r="W487">
        <f>V487/(2*P487*Q487)</f>
        <v>0.12243406982098592</v>
      </c>
      <c r="X487">
        <f>W487*16.02</f>
        <v>1.9613937985321945</v>
      </c>
    </row>
    <row r="488" spans="10:24" x14ac:dyDescent="0.2">
      <c r="K488">
        <v>1041.128676</v>
      </c>
      <c r="L488">
        <v>-12900.194492000001</v>
      </c>
      <c r="M488">
        <v>60531.546982</v>
      </c>
      <c r="N488">
        <v>-1.3374550000000001</v>
      </c>
      <c r="O488">
        <v>94.608772999999999</v>
      </c>
      <c r="P488">
        <v>19.222536000000002</v>
      </c>
      <c r="Q488">
        <v>33.284410999999999</v>
      </c>
      <c r="R488">
        <v>1880</v>
      </c>
      <c r="S488">
        <v>831</v>
      </c>
      <c r="T488">
        <f>S488/(S488+R488)</f>
        <v>0.30652895610475839</v>
      </c>
      <c r="U488">
        <f>-4.0574-2.4647*T488</f>
        <v>-4.8129019181113986</v>
      </c>
      <c r="V488">
        <f>L488-(SUM(R488:S488)*U488)</f>
        <v>147.58260800000062</v>
      </c>
      <c r="W488">
        <f>V488/(2*P488*Q488)</f>
        <v>0.11533300985985831</v>
      </c>
      <c r="X488">
        <f>W488*16.02</f>
        <v>1.84763481795493</v>
      </c>
    </row>
    <row r="489" spans="10:24" x14ac:dyDescent="0.2">
      <c r="K489">
        <v>1040.922327</v>
      </c>
      <c r="L489">
        <v>-12979.956453999999</v>
      </c>
      <c r="M489">
        <v>60389.464231999998</v>
      </c>
      <c r="N489">
        <v>-1.531393</v>
      </c>
      <c r="O489">
        <v>94.455382999999998</v>
      </c>
      <c r="P489">
        <v>19.226464</v>
      </c>
      <c r="Q489">
        <v>33.253430999999999</v>
      </c>
      <c r="R489">
        <v>1844</v>
      </c>
      <c r="S489">
        <v>867</v>
      </c>
      <c r="T489">
        <f>S489/(S489+R489)</f>
        <v>0.31980818886019918</v>
      </c>
      <c r="U489">
        <f>-4.0574-2.4647*T489</f>
        <v>-4.8456312430837336</v>
      </c>
      <c r="V489">
        <f>L489-(SUM(R489:S489)*U489)</f>
        <v>156.54984600000171</v>
      </c>
      <c r="W489">
        <f>V489/(2*P489*Q489)</f>
        <v>0.12242969531020038</v>
      </c>
      <c r="X489">
        <f>W489*16.02</f>
        <v>1.9613237188694101</v>
      </c>
    </row>
    <row r="490" spans="10:24" x14ac:dyDescent="0.2">
      <c r="K490">
        <v>1041.1835699999999</v>
      </c>
      <c r="L490">
        <v>-12922.296039999999</v>
      </c>
      <c r="M490">
        <v>60337.254001000001</v>
      </c>
      <c r="N490">
        <v>-1.6276969999999999</v>
      </c>
      <c r="O490">
        <v>94.308708999999993</v>
      </c>
      <c r="P490">
        <v>19.203033000000001</v>
      </c>
      <c r="Q490">
        <v>33.316927999999997</v>
      </c>
      <c r="R490">
        <v>1873</v>
      </c>
      <c r="S490">
        <v>838</v>
      </c>
      <c r="T490">
        <f>S490/(S490+R490)</f>
        <v>0.30911102914053856</v>
      </c>
      <c r="U490">
        <f>-4.0574-2.4647*T490</f>
        <v>-4.8192659535226854</v>
      </c>
      <c r="V490">
        <f>L490-(SUM(R490:S490)*U490)</f>
        <v>142.73396000000139</v>
      </c>
      <c r="W490">
        <f>V490/(2*P490*Q490)</f>
        <v>0.11154819335258752</v>
      </c>
      <c r="X490">
        <f>W490*16.02</f>
        <v>1.787002057508452</v>
      </c>
    </row>
    <row r="491" spans="10:24" x14ac:dyDescent="0.2">
      <c r="X491" s="1">
        <f>AVERAGE(X486:X490)</f>
        <v>1.8759862010967201</v>
      </c>
    </row>
    <row r="492" spans="10:24" x14ac:dyDescent="0.2">
      <c r="J492" s="3"/>
    </row>
    <row r="493" spans="10:24" x14ac:dyDescent="0.2">
      <c r="J493">
        <v>600</v>
      </c>
      <c r="K493" t="s">
        <v>18</v>
      </c>
      <c r="L493" t="s">
        <v>5</v>
      </c>
      <c r="M493" t="s">
        <v>7</v>
      </c>
      <c r="N493" t="s">
        <v>19</v>
      </c>
      <c r="O493" t="s">
        <v>20</v>
      </c>
      <c r="P493" t="s">
        <v>21</v>
      </c>
      <c r="Q493" t="s">
        <v>22</v>
      </c>
      <c r="R493" t="s">
        <v>4</v>
      </c>
      <c r="S493" t="s">
        <v>10</v>
      </c>
      <c r="T493" t="s">
        <v>13</v>
      </c>
      <c r="U493" t="s">
        <v>26</v>
      </c>
      <c r="V493" t="s">
        <v>12</v>
      </c>
      <c r="W493" t="s">
        <v>23</v>
      </c>
      <c r="X493" t="s">
        <v>23</v>
      </c>
    </row>
    <row r="494" spans="10:24" x14ac:dyDescent="0.2">
      <c r="J494" t="s">
        <v>17</v>
      </c>
      <c r="K494">
        <v>520.55216299999995</v>
      </c>
      <c r="L494">
        <v>-9392.3201339999996</v>
      </c>
      <c r="M494">
        <v>73666.677410000004</v>
      </c>
      <c r="N494">
        <v>-0.55649800000000005</v>
      </c>
      <c r="O494">
        <v>30.207871000000001</v>
      </c>
      <c r="P494">
        <v>90.912058999999999</v>
      </c>
      <c r="Q494">
        <v>26.824449999999999</v>
      </c>
      <c r="R494">
        <v>1354</v>
      </c>
      <c r="S494">
        <v>598</v>
      </c>
      <c r="T494">
        <f>S494/(S494+R494)</f>
        <v>0.30635245901639346</v>
      </c>
      <c r="U494">
        <f>-4.142-2.4635*T494</f>
        <v>-4.8966992827868854</v>
      </c>
      <c r="V494">
        <f>L494-(SUM(R494:S494)*U494)</f>
        <v>166.03686600000037</v>
      </c>
      <c r="W494">
        <f>V494/(2*O494*Q494)</f>
        <v>0.10245274233300163</v>
      </c>
      <c r="X494">
        <f>W494*16.02</f>
        <v>1.6412929321746861</v>
      </c>
    </row>
    <row r="495" spans="10:24" x14ac:dyDescent="0.2">
      <c r="K495">
        <v>520.51526200000001</v>
      </c>
      <c r="L495">
        <v>-9400.2706679999992</v>
      </c>
      <c r="M495">
        <v>73757.853889999999</v>
      </c>
      <c r="N495">
        <v>-0.55718599999999996</v>
      </c>
      <c r="O495">
        <v>30.203095999999999</v>
      </c>
      <c r="P495">
        <v>91.192490000000006</v>
      </c>
      <c r="Q495">
        <v>26.779267999999998</v>
      </c>
      <c r="R495">
        <v>1350</v>
      </c>
      <c r="S495">
        <v>602</v>
      </c>
      <c r="T495">
        <f>S495/(S495+R495)</f>
        <v>0.30840163934426229</v>
      </c>
      <c r="U495">
        <f>-4.142-2.4635*T495</f>
        <v>-4.9017474385245903</v>
      </c>
      <c r="V495">
        <f>L495-(SUM(R495:S495)*U495)</f>
        <v>167.94033200000013</v>
      </c>
      <c r="W495">
        <f>V495/(2*O495*Q495)</f>
        <v>0.10381852326778339</v>
      </c>
      <c r="X495">
        <f>W495*16.02</f>
        <v>1.6631727427498899</v>
      </c>
    </row>
    <row r="496" spans="10:24" x14ac:dyDescent="0.2">
      <c r="K496">
        <v>520.40074600000003</v>
      </c>
      <c r="L496">
        <v>-9470.7730250000004</v>
      </c>
      <c r="M496">
        <v>73500.705207999999</v>
      </c>
      <c r="N496">
        <v>-0.49069600000000002</v>
      </c>
      <c r="O496">
        <v>30.135414000000001</v>
      </c>
      <c r="P496">
        <v>91.063918999999999</v>
      </c>
      <c r="Q496">
        <v>26.783622000000001</v>
      </c>
      <c r="R496">
        <v>1319</v>
      </c>
      <c r="S496">
        <v>633</v>
      </c>
      <c r="T496">
        <f>S496/(S496+R496)</f>
        <v>0.32428278688524592</v>
      </c>
      <c r="U496">
        <f>-4.142-2.4635*T496</f>
        <v>-4.9408706454918034</v>
      </c>
      <c r="V496">
        <f>L496-(SUM(R496:S496)*U496)</f>
        <v>173.80647499999941</v>
      </c>
      <c r="W496">
        <f>V496/(2*O496*Q496)</f>
        <v>0.10766870429354157</v>
      </c>
      <c r="X496">
        <f>W496*16.02</f>
        <v>1.7248526427825359</v>
      </c>
    </row>
    <row r="497" spans="10:24" x14ac:dyDescent="0.2">
      <c r="K497">
        <v>520.66529100000002</v>
      </c>
      <c r="L497">
        <v>-9422.1684389999991</v>
      </c>
      <c r="M497">
        <v>73812.343435999996</v>
      </c>
      <c r="N497">
        <v>-0.51134100000000005</v>
      </c>
      <c r="O497">
        <v>30.174026999999999</v>
      </c>
      <c r="P497">
        <v>91.061882999999995</v>
      </c>
      <c r="Q497">
        <v>26.863344999999999</v>
      </c>
      <c r="R497">
        <v>1338</v>
      </c>
      <c r="S497">
        <v>614</v>
      </c>
      <c r="T497">
        <f>S497/(S497+R497)</f>
        <v>0.31454918032786883</v>
      </c>
      <c r="U497">
        <f>-4.142-2.4635*T497</f>
        <v>-4.916891905737705</v>
      </c>
      <c r="V497">
        <f>L497-(SUM(R497:S497)*U497)</f>
        <v>175.6045610000001</v>
      </c>
      <c r="W497">
        <f>V497/(2*O497*Q497)</f>
        <v>0.10832094290080101</v>
      </c>
      <c r="X497">
        <f>W497*16.02</f>
        <v>1.735301505270832</v>
      </c>
    </row>
    <row r="498" spans="10:24" x14ac:dyDescent="0.2">
      <c r="K498">
        <v>520.55000900000005</v>
      </c>
      <c r="L498">
        <v>-9369.9083819999996</v>
      </c>
      <c r="M498">
        <v>73723.724860000002</v>
      </c>
      <c r="N498">
        <v>-0.55957500000000004</v>
      </c>
      <c r="O498">
        <v>30.21885</v>
      </c>
      <c r="P498">
        <v>91.026593000000005</v>
      </c>
      <c r="Q498">
        <v>26.801684000000002</v>
      </c>
      <c r="R498">
        <v>1362</v>
      </c>
      <c r="S498">
        <v>590</v>
      </c>
      <c r="T498">
        <f>S498/(S498+R498)</f>
        <v>0.30225409836065575</v>
      </c>
      <c r="U498">
        <f>-4.142-2.4635*T498</f>
        <v>-4.8866029713114756</v>
      </c>
      <c r="V498">
        <f>L498-(SUM(R498:S498)*U498)</f>
        <v>168.74061800000163</v>
      </c>
      <c r="W498">
        <f>V498/(2*O498*Q498)</f>
        <v>0.10417166948142821</v>
      </c>
      <c r="X498">
        <f>W498*16.02</f>
        <v>1.6688301450924798</v>
      </c>
    </row>
    <row r="499" spans="10:24" x14ac:dyDescent="0.2">
      <c r="X499" s="1">
        <f>AVERAGE(X494:X498)</f>
        <v>1.6866899936140847</v>
      </c>
    </row>
    <row r="500" spans="10:24" x14ac:dyDescent="0.2">
      <c r="J500" t="s">
        <v>27</v>
      </c>
      <c r="K500">
        <v>557.58810300000005</v>
      </c>
      <c r="L500">
        <v>-7078.1351059999997</v>
      </c>
      <c r="M500">
        <v>55381.002293999998</v>
      </c>
      <c r="N500">
        <v>-0.79734400000000005</v>
      </c>
      <c r="O500">
        <v>32.046384000000003</v>
      </c>
      <c r="P500">
        <v>128.32453899999999</v>
      </c>
      <c r="Q500">
        <v>13.467074</v>
      </c>
      <c r="R500">
        <v>1014</v>
      </c>
      <c r="S500">
        <v>450</v>
      </c>
      <c r="T500">
        <f>S500/(S500+R500)</f>
        <v>0.30737704918032788</v>
      </c>
      <c r="U500">
        <f>-4.142-2.4635*T500</f>
        <v>-4.8992233606557383</v>
      </c>
      <c r="V500">
        <f>L500-(SUM(R500:S500)*U500)</f>
        <v>94.327894000000924</v>
      </c>
      <c r="W500">
        <f>V500/(2*O500*Q500)</f>
        <v>0.10928432238050094</v>
      </c>
      <c r="X500">
        <f>W500*16.02</f>
        <v>1.750734844535625</v>
      </c>
    </row>
    <row r="501" spans="10:24" x14ac:dyDescent="0.2">
      <c r="K501">
        <v>557.85495200000003</v>
      </c>
      <c r="L501">
        <v>-7071.6332679999996</v>
      </c>
      <c r="M501">
        <v>55396.731888000002</v>
      </c>
      <c r="N501">
        <v>-0.81911400000000001</v>
      </c>
      <c r="O501">
        <v>32.028151000000001</v>
      </c>
      <c r="P501">
        <v>128.45606000000001</v>
      </c>
      <c r="Q501">
        <v>13.464783000000001</v>
      </c>
      <c r="R501">
        <v>1019</v>
      </c>
      <c r="S501">
        <v>445</v>
      </c>
      <c r="T501">
        <f>S501/(S501+R501)</f>
        <v>0.30396174863387976</v>
      </c>
      <c r="U501">
        <f>-4.142-2.4635*T501</f>
        <v>-4.8908097677595634</v>
      </c>
      <c r="V501">
        <f>L501-(SUM(R501:S501)*U501)</f>
        <v>88.512232000000949</v>
      </c>
      <c r="W501">
        <f>V501/(2*O501*Q501)</f>
        <v>0.10262237721562736</v>
      </c>
      <c r="X501">
        <f>W501*16.02</f>
        <v>1.6440104829943503</v>
      </c>
    </row>
    <row r="502" spans="10:24" x14ac:dyDescent="0.2">
      <c r="K502">
        <v>557.74746000000005</v>
      </c>
      <c r="L502">
        <v>-7096.3071849999997</v>
      </c>
      <c r="M502">
        <v>55453.743949000003</v>
      </c>
      <c r="N502">
        <v>-0.87200800000000001</v>
      </c>
      <c r="O502">
        <v>31.982301</v>
      </c>
      <c r="P502">
        <v>129.03968699999999</v>
      </c>
      <c r="Q502">
        <v>13.436904</v>
      </c>
      <c r="R502">
        <v>1005</v>
      </c>
      <c r="S502">
        <v>459</v>
      </c>
      <c r="T502">
        <f>S502/(S502+R502)</f>
        <v>0.31352459016393441</v>
      </c>
      <c r="U502">
        <f>-4.142-2.4635*T502</f>
        <v>-4.914367827868853</v>
      </c>
      <c r="V502">
        <f>L502-(SUM(R502:S502)*U502)</f>
        <v>98.327315000001363</v>
      </c>
      <c r="W502">
        <f>V502/(2*O502*Q502)</f>
        <v>0.1144024338209743</v>
      </c>
      <c r="X502">
        <f>W502*16.02</f>
        <v>1.8327269898120082</v>
      </c>
    </row>
    <row r="503" spans="10:24" x14ac:dyDescent="0.2">
      <c r="K503">
        <v>557.97651599999995</v>
      </c>
      <c r="L503">
        <v>-7136.4929869999996</v>
      </c>
      <c r="M503">
        <v>55163.601118999999</v>
      </c>
      <c r="N503">
        <v>-0.874247</v>
      </c>
      <c r="O503">
        <v>31.955292</v>
      </c>
      <c r="P503">
        <v>128.42613399999999</v>
      </c>
      <c r="Q503">
        <v>13.441814000000001</v>
      </c>
      <c r="R503">
        <v>992</v>
      </c>
      <c r="S503">
        <v>472</v>
      </c>
      <c r="T503">
        <f>S503/(S503+R503)</f>
        <v>0.32240437158469948</v>
      </c>
      <c r="U503">
        <f>-4.142-2.4635*T503</f>
        <v>-4.9362431693989075</v>
      </c>
      <c r="V503">
        <f>L503-(SUM(R503:S503)*U503)</f>
        <v>90.167013000001134</v>
      </c>
      <c r="W503">
        <f>V503/(2*O503*Q503)</f>
        <v>0.10495835494716133</v>
      </c>
      <c r="X503">
        <f>W503*16.02</f>
        <v>1.6814328462535244</v>
      </c>
    </row>
    <row r="504" spans="10:24" x14ac:dyDescent="0.2">
      <c r="K504">
        <v>557.68221200000005</v>
      </c>
      <c r="L504">
        <v>-7038.0340040000001</v>
      </c>
      <c r="M504">
        <v>55640.337438000002</v>
      </c>
      <c r="N504">
        <v>-0.96030199999999999</v>
      </c>
      <c r="O504">
        <v>32.027017000000001</v>
      </c>
      <c r="P504">
        <v>128.994778</v>
      </c>
      <c r="Q504">
        <v>13.467985000000001</v>
      </c>
      <c r="R504">
        <v>1032</v>
      </c>
      <c r="S504">
        <v>432</v>
      </c>
      <c r="T504">
        <f>S504/(S504+R504)</f>
        <v>0.29508196721311475</v>
      </c>
      <c r="U504">
        <f>-4.142-2.4635*T504</f>
        <v>-4.868934426229508</v>
      </c>
      <c r="V504">
        <f>L504-(SUM(R504:S504)*U504)</f>
        <v>90.085995999999795</v>
      </c>
      <c r="W504">
        <f>V504/(2*O504*Q504)</f>
        <v>0.10442588739471066</v>
      </c>
      <c r="X504">
        <f>W504*16.02</f>
        <v>1.6729027160632648</v>
      </c>
    </row>
    <row r="505" spans="10:24" x14ac:dyDescent="0.2">
      <c r="X505" s="1">
        <f>AVERAGE(X500:X504)</f>
        <v>1.7163615759317543</v>
      </c>
    </row>
    <row r="506" spans="10:24" x14ac:dyDescent="0.2">
      <c r="J506" t="s">
        <v>28</v>
      </c>
      <c r="K506">
        <v>557.86630300000002</v>
      </c>
      <c r="L506">
        <v>-6096.1914150000002</v>
      </c>
      <c r="M506">
        <v>47967.183724000002</v>
      </c>
      <c r="N506">
        <v>-1.00458</v>
      </c>
      <c r="O506">
        <v>34.419175000000003</v>
      </c>
      <c r="P506">
        <v>138.13741999999999</v>
      </c>
      <c r="Q506">
        <v>10.088699</v>
      </c>
      <c r="R506">
        <v>874</v>
      </c>
      <c r="S506">
        <v>386</v>
      </c>
      <c r="T506">
        <f>S506/(S506+R506)</f>
        <v>0.30634920634920637</v>
      </c>
      <c r="U506">
        <f>-4.142-2.4635*T506</f>
        <v>-4.8966912698412699</v>
      </c>
      <c r="V506">
        <f>L506-(SUM(R506:S506)*U506)</f>
        <v>73.639584999999897</v>
      </c>
      <c r="W506">
        <f>V506/(2*O506*Q506)</f>
        <v>0.1060341392723065</v>
      </c>
      <c r="X506">
        <f>W506*16.02</f>
        <v>1.69866691114235</v>
      </c>
    </row>
    <row r="507" spans="10:24" x14ac:dyDescent="0.2">
      <c r="K507">
        <v>557.72204099999999</v>
      </c>
      <c r="L507">
        <v>-6091.6827370000001</v>
      </c>
      <c r="M507">
        <v>48095.693622999999</v>
      </c>
      <c r="N507">
        <v>-1.0734269999999999</v>
      </c>
      <c r="O507">
        <v>34.432403999999998</v>
      </c>
      <c r="P507">
        <v>138.522918</v>
      </c>
      <c r="Q507">
        <v>10.083695000000001</v>
      </c>
      <c r="R507">
        <v>874</v>
      </c>
      <c r="S507">
        <v>386</v>
      </c>
      <c r="T507">
        <f>S507/(S507+R507)</f>
        <v>0.30634920634920637</v>
      </c>
      <c r="U507">
        <f>-4.142-2.4635*T507</f>
        <v>-4.8966912698412699</v>
      </c>
      <c r="V507">
        <f>L507-(SUM(R507:S507)*U507)</f>
        <v>78.148263000000043</v>
      </c>
      <c r="W507">
        <f>V507/(2*O507*Q507)</f>
        <v>0.11253880189136273</v>
      </c>
      <c r="X507">
        <f>W507*16.02</f>
        <v>1.8028716062996308</v>
      </c>
    </row>
    <row r="508" spans="10:24" x14ac:dyDescent="0.2">
      <c r="K508">
        <v>557.93315600000005</v>
      </c>
      <c r="L508">
        <v>-6112.2786269999997</v>
      </c>
      <c r="M508">
        <v>47966.229429999999</v>
      </c>
      <c r="N508">
        <v>-1.0921069999999999</v>
      </c>
      <c r="O508">
        <v>34.342115</v>
      </c>
      <c r="P508">
        <v>138.36144899999999</v>
      </c>
      <c r="Q508">
        <v>10.094745</v>
      </c>
      <c r="R508">
        <v>865</v>
      </c>
      <c r="S508">
        <v>395</v>
      </c>
      <c r="T508">
        <f>S508/(S508+R508)</f>
        <v>0.31349206349206349</v>
      </c>
      <c r="U508">
        <f>-4.142-2.4635*T508</f>
        <v>-4.9142876984126982</v>
      </c>
      <c r="V508">
        <f>L508-(SUM(R508:S508)*U508)</f>
        <v>79.723872999999912</v>
      </c>
      <c r="W508">
        <f>V508/(2*O508*Q508)</f>
        <v>0.11498362652168918</v>
      </c>
      <c r="X508">
        <f>W508*16.02</f>
        <v>1.8420376968774608</v>
      </c>
    </row>
    <row r="509" spans="10:24" x14ac:dyDescent="0.2">
      <c r="K509">
        <v>558.24654099999998</v>
      </c>
      <c r="L509">
        <v>-6136.2746010000001</v>
      </c>
      <c r="M509">
        <v>47889.176635000003</v>
      </c>
      <c r="N509">
        <v>-1.0449600000000001</v>
      </c>
      <c r="O509">
        <v>34.329008000000002</v>
      </c>
      <c r="P509">
        <v>138.19399100000001</v>
      </c>
      <c r="Q509">
        <v>10.094592</v>
      </c>
      <c r="R509">
        <v>858</v>
      </c>
      <c r="S509">
        <v>402</v>
      </c>
      <c r="T509">
        <f>S509/(S509+R509)</f>
        <v>0.31904761904761902</v>
      </c>
      <c r="U509">
        <f>-4.142-2.4635*T509</f>
        <v>-4.9279738095238095</v>
      </c>
      <c r="V509">
        <f>L509-(SUM(R509:S509)*U509)</f>
        <v>72.972399000000223</v>
      </c>
      <c r="W509">
        <f>V509/(2*O509*Q509)</f>
        <v>0.10528793405905122</v>
      </c>
      <c r="X509">
        <f>W509*16.02</f>
        <v>1.6867127036260006</v>
      </c>
    </row>
    <row r="510" spans="10:24" x14ac:dyDescent="0.2">
      <c r="K510">
        <v>557.68422399999997</v>
      </c>
      <c r="L510">
        <v>-6074.3297110000003</v>
      </c>
      <c r="M510">
        <v>48171.037645999997</v>
      </c>
      <c r="N510">
        <v>-0.87453400000000003</v>
      </c>
      <c r="O510">
        <v>34.377578999999997</v>
      </c>
      <c r="P510">
        <v>138.72365199999999</v>
      </c>
      <c r="Q510">
        <v>10.100949999999999</v>
      </c>
      <c r="R510">
        <v>882</v>
      </c>
      <c r="S510">
        <v>378</v>
      </c>
      <c r="T510">
        <f>S510/(S510+R510)</f>
        <v>0.3</v>
      </c>
      <c r="U510">
        <f>-4.142-2.4635*T510</f>
        <v>-4.8810500000000001</v>
      </c>
      <c r="V510">
        <f>L510-(SUM(R510:S510)*U510)</f>
        <v>75.793289000000186</v>
      </c>
      <c r="W510">
        <f>V510/(2*O510*Q510)</f>
        <v>0.10913479767296223</v>
      </c>
      <c r="X510">
        <f>W510*16.02</f>
        <v>1.7483394587208549</v>
      </c>
    </row>
    <row r="511" spans="10:24" x14ac:dyDescent="0.2">
      <c r="X511" s="1">
        <f>AVERAGE(X506:X510)</f>
        <v>1.7557256753332595</v>
      </c>
    </row>
    <row r="512" spans="10:24" x14ac:dyDescent="0.2">
      <c r="J512" t="s">
        <v>55</v>
      </c>
      <c r="K512">
        <v>520.34790299999997</v>
      </c>
      <c r="L512">
        <v>-9576.1577049999996</v>
      </c>
      <c r="M512">
        <v>75805.158672000005</v>
      </c>
      <c r="N512">
        <v>-0.48263699999999998</v>
      </c>
      <c r="O512">
        <v>30.509307</v>
      </c>
      <c r="P512">
        <v>184.17794699999999</v>
      </c>
      <c r="Q512">
        <v>13.490565999999999</v>
      </c>
      <c r="R512">
        <v>1375</v>
      </c>
      <c r="S512">
        <v>601</v>
      </c>
      <c r="T512">
        <f>S512/(S512+R512)</f>
        <v>0.3041497975708502</v>
      </c>
      <c r="U512">
        <f>-4.142-2.4635*T512</f>
        <v>-4.8912730263157895</v>
      </c>
      <c r="V512">
        <f>L512-(SUM(R512:S512)*U512)</f>
        <v>88.997795000001133</v>
      </c>
      <c r="W512">
        <f>V512/(2*O512*Q512)</f>
        <v>0.10811519527637405</v>
      </c>
      <c r="X512">
        <f>W512*16.02</f>
        <v>1.7320054283275121</v>
      </c>
    </row>
    <row r="513" spans="10:24" x14ac:dyDescent="0.2">
      <c r="K513">
        <v>520.55885999999998</v>
      </c>
      <c r="L513">
        <v>-9601.4837210000005</v>
      </c>
      <c r="M513">
        <v>75605.625671000002</v>
      </c>
      <c r="N513">
        <v>-0.59118899999999996</v>
      </c>
      <c r="O513">
        <v>30.515753</v>
      </c>
      <c r="P513">
        <v>183.818063</v>
      </c>
      <c r="Q513">
        <v>13.478552000000001</v>
      </c>
      <c r="R513">
        <v>1365</v>
      </c>
      <c r="S513">
        <v>611</v>
      </c>
      <c r="T513">
        <f>S513/(S513+R513)</f>
        <v>0.30921052631578949</v>
      </c>
      <c r="U513">
        <f>-4.142-2.4635*T513</f>
        <v>-4.9037401315789477</v>
      </c>
      <c r="V513">
        <f>L513-(SUM(R513:S513)*U513)</f>
        <v>88.306779000000461</v>
      </c>
      <c r="W513">
        <f>V513/(2*O513*Q513)</f>
        <v>0.10734868257989688</v>
      </c>
      <c r="X513">
        <f>W513*16.02</f>
        <v>1.7197258949299481</v>
      </c>
    </row>
    <row r="514" spans="10:24" x14ac:dyDescent="0.2">
      <c r="K514">
        <v>520.50516200000004</v>
      </c>
      <c r="L514">
        <v>-9667.6346809999995</v>
      </c>
      <c r="M514">
        <v>75464.439171000005</v>
      </c>
      <c r="N514">
        <v>-0.50222500000000003</v>
      </c>
      <c r="O514">
        <v>30.4313</v>
      </c>
      <c r="P514">
        <v>184.22446500000001</v>
      </c>
      <c r="Q514">
        <v>13.46096</v>
      </c>
      <c r="R514">
        <v>1339</v>
      </c>
      <c r="S514">
        <v>637</v>
      </c>
      <c r="T514">
        <f>S514/(S514+R514)</f>
        <v>0.32236842105263158</v>
      </c>
      <c r="U514">
        <f>-4.142-2.4635*T514</f>
        <v>-4.936154605263158</v>
      </c>
      <c r="V514">
        <f>L514-(SUM(R514:S514)*U514)</f>
        <v>86.206819000000905</v>
      </c>
      <c r="W514">
        <f>V514/(2*O514*Q514)</f>
        <v>0.10522406738753912</v>
      </c>
      <c r="X514">
        <f>W514*16.02</f>
        <v>1.6856895595483765</v>
      </c>
    </row>
    <row r="515" spans="10:24" x14ac:dyDescent="0.2">
      <c r="K515">
        <v>520.50758699999994</v>
      </c>
      <c r="L515">
        <v>-9620.1693529999993</v>
      </c>
      <c r="M515">
        <v>75662.918166999996</v>
      </c>
      <c r="N515">
        <v>-0.50723600000000002</v>
      </c>
      <c r="O515">
        <v>30.507709999999999</v>
      </c>
      <c r="P515">
        <v>183.83918700000001</v>
      </c>
      <c r="Q515">
        <v>13.490779</v>
      </c>
      <c r="R515">
        <v>1359</v>
      </c>
      <c r="S515">
        <v>617</v>
      </c>
      <c r="T515">
        <f>S515/(S515+R515)</f>
        <v>0.31224696356275305</v>
      </c>
      <c r="U515">
        <f>-4.142-2.4635*T515</f>
        <v>-4.9112203947368425</v>
      </c>
      <c r="V515">
        <f>L515-(SUM(R515:S515)*U515)</f>
        <v>84.402147000000696</v>
      </c>
      <c r="W515">
        <f>V515/(2*O515*Q515)</f>
        <v>0.10253611566856843</v>
      </c>
      <c r="X515">
        <f>W515*16.02</f>
        <v>1.6426285730104662</v>
      </c>
    </row>
    <row r="516" spans="10:24" x14ac:dyDescent="0.2">
      <c r="K516">
        <v>520.55792799999995</v>
      </c>
      <c r="L516">
        <v>-9566.5224569999991</v>
      </c>
      <c r="M516">
        <v>75783.925275000001</v>
      </c>
      <c r="N516">
        <v>-0.48807600000000001</v>
      </c>
      <c r="O516">
        <v>30.528981999999999</v>
      </c>
      <c r="P516">
        <v>184.07992300000001</v>
      </c>
      <c r="Q516">
        <v>13.485272999999999</v>
      </c>
      <c r="R516">
        <v>1379</v>
      </c>
      <c r="S516">
        <v>597</v>
      </c>
      <c r="T516">
        <f>S516/(S516+R516)</f>
        <v>0.30212550607287447</v>
      </c>
      <c r="U516">
        <f>-4.142-2.4635*T516</f>
        <v>-4.8862861842105261</v>
      </c>
      <c r="V516">
        <f>L516-(SUM(R516:S516)*U516)</f>
        <v>88.779043000000456</v>
      </c>
      <c r="W516">
        <f>V516/(2*O516*Q516)</f>
        <v>0.10782225187108524</v>
      </c>
      <c r="X516">
        <f>W516*16.02</f>
        <v>1.7273124749747855</v>
      </c>
    </row>
    <row r="517" spans="10:24" x14ac:dyDescent="0.2">
      <c r="X517" s="1">
        <f>AVERAGE(X512:X516)</f>
        <v>1.7014723861582177</v>
      </c>
    </row>
    <row r="518" spans="10:24" x14ac:dyDescent="0.2">
      <c r="J518">
        <v>100</v>
      </c>
      <c r="K518">
        <v>557.92605900000001</v>
      </c>
      <c r="L518">
        <v>-22812.984479999999</v>
      </c>
      <c r="M518">
        <v>98189.625453000001</v>
      </c>
      <c r="N518">
        <v>-0.44308999999999998</v>
      </c>
      <c r="O518">
        <v>26.937549000000001</v>
      </c>
      <c r="P518">
        <v>26.940169999999998</v>
      </c>
      <c r="Q518">
        <v>135.30311800000001</v>
      </c>
      <c r="R518">
        <v>3210</v>
      </c>
      <c r="S518">
        <v>1462</v>
      </c>
      <c r="T518">
        <f>S518/(S518+R518)</f>
        <v>0.31292808219178081</v>
      </c>
      <c r="U518">
        <f>-4.142-2.4635*T518</f>
        <v>-4.912898330479452</v>
      </c>
      <c r="V518">
        <f>L518-(SUM(R518:S518)*U518)</f>
        <v>140.07652000000235</v>
      </c>
      <c r="W518">
        <f>V518/(2*O518*P518)</f>
        <v>9.6511027359814178E-2</v>
      </c>
      <c r="X518">
        <f>W518*16.02</f>
        <v>1.5461066583042231</v>
      </c>
    </row>
    <row r="519" spans="10:24" x14ac:dyDescent="0.2">
      <c r="K519">
        <v>557.78471400000001</v>
      </c>
      <c r="L519">
        <v>-22779.208216999999</v>
      </c>
      <c r="M519">
        <v>98339.837818999993</v>
      </c>
      <c r="N519">
        <v>-0.59308099999999997</v>
      </c>
      <c r="O519">
        <v>26.973746999999999</v>
      </c>
      <c r="P519">
        <v>26.949857999999999</v>
      </c>
      <c r="Q519">
        <v>135.27959799999999</v>
      </c>
      <c r="R519">
        <v>3219</v>
      </c>
      <c r="S519">
        <v>1453</v>
      </c>
      <c r="T519">
        <f>S519/(S519+R519)</f>
        <v>0.31100171232876711</v>
      </c>
      <c r="U519">
        <f>-4.142-2.4635*T519</f>
        <v>-4.9081527183219178</v>
      </c>
      <c r="V519">
        <f>L519-(SUM(R519:S519)*U519)</f>
        <v>151.68128300000171</v>
      </c>
      <c r="W519">
        <f>V519/(2*O519*P519)</f>
        <v>0.10432880595390477</v>
      </c>
      <c r="X519">
        <f>W519*16.02</f>
        <v>1.6713474713815544</v>
      </c>
    </row>
    <row r="520" spans="10:24" x14ac:dyDescent="0.2">
      <c r="K520">
        <v>557.62874899999997</v>
      </c>
      <c r="L520">
        <v>-22823.425173</v>
      </c>
      <c r="M520">
        <v>98306.101983</v>
      </c>
      <c r="N520">
        <v>-0.48553600000000002</v>
      </c>
      <c r="O520">
        <v>26.952192</v>
      </c>
      <c r="P520">
        <v>26.930327999999999</v>
      </c>
      <c r="Q520">
        <v>135.439447</v>
      </c>
      <c r="R520">
        <v>3203</v>
      </c>
      <c r="S520">
        <v>1469</v>
      </c>
      <c r="T520">
        <f>S520/(S520+R520)</f>
        <v>0.3144263698630137</v>
      </c>
      <c r="U520">
        <f>-4.142-2.4635*T520</f>
        <v>-4.9165893621575343</v>
      </c>
      <c r="V520">
        <f>L520-(SUM(R520:S520)*U520)</f>
        <v>146.88032699999894</v>
      </c>
      <c r="W520">
        <f>V520/(2*O520*P520)</f>
        <v>0.10118075140657536</v>
      </c>
      <c r="X520">
        <f>W520*16.02</f>
        <v>1.6209156375333371</v>
      </c>
    </row>
    <row r="521" spans="10:24" x14ac:dyDescent="0.2">
      <c r="K521">
        <v>557.85429299999998</v>
      </c>
      <c r="L521">
        <v>-22673.257955000001</v>
      </c>
      <c r="M521">
        <v>98627.447524999996</v>
      </c>
      <c r="N521">
        <v>-0.51634400000000003</v>
      </c>
      <c r="O521">
        <v>26.969325999999999</v>
      </c>
      <c r="P521">
        <v>26.966529999999999</v>
      </c>
      <c r="Q521">
        <v>135.61359200000001</v>
      </c>
      <c r="R521">
        <v>3263</v>
      </c>
      <c r="S521">
        <v>1409</v>
      </c>
      <c r="T521">
        <f>S521/(S521+R521)</f>
        <v>0.30158390410958902</v>
      </c>
      <c r="U521">
        <f>-4.142-2.4635*T521</f>
        <v>-4.8849519477739731</v>
      </c>
      <c r="V521">
        <f>L521-(SUM(R521:S521)*U521)</f>
        <v>149.23754499999995</v>
      </c>
      <c r="W521">
        <f>V521/(2*O521*P521)</f>
        <v>0.1026013184577183</v>
      </c>
      <c r="X521">
        <f>W521*16.02</f>
        <v>1.6436731216926472</v>
      </c>
    </row>
    <row r="522" spans="10:24" x14ac:dyDescent="0.2">
      <c r="K522">
        <v>557.840687</v>
      </c>
      <c r="L522">
        <v>-22799.395934</v>
      </c>
      <c r="M522">
        <v>98279.675554000001</v>
      </c>
      <c r="N522">
        <v>-0.50601700000000005</v>
      </c>
      <c r="O522">
        <v>26.968209999999999</v>
      </c>
      <c r="P522">
        <v>26.962143000000001</v>
      </c>
      <c r="Q522">
        <v>135.162971</v>
      </c>
      <c r="R522">
        <v>3210</v>
      </c>
      <c r="S522">
        <v>1462</v>
      </c>
      <c r="T522">
        <f>S522/(S522+R522)</f>
        <v>0.31292808219178081</v>
      </c>
      <c r="U522">
        <f>-4.142-2.4635*T522</f>
        <v>-4.912898330479452</v>
      </c>
      <c r="V522">
        <f>L522-(SUM(R522:S522)*U522)</f>
        <v>153.66506600000139</v>
      </c>
      <c r="W522">
        <f>V522/(2*O522*P522)</f>
        <v>0.1056668161932946</v>
      </c>
      <c r="X522">
        <f>W522*16.02</f>
        <v>1.6927823954165795</v>
      </c>
    </row>
    <row r="523" spans="10:24" x14ac:dyDescent="0.2">
      <c r="X523" s="1">
        <f>AVERAGE(X518:X522)</f>
        <v>1.6349650568656682</v>
      </c>
    </row>
    <row r="524" spans="10:24" x14ac:dyDescent="0.2">
      <c r="J524">
        <v>110</v>
      </c>
      <c r="K524">
        <v>520.51935100000003</v>
      </c>
      <c r="L524">
        <v>-8759.5666980000005</v>
      </c>
      <c r="M524">
        <v>38444.825719</v>
      </c>
      <c r="N524">
        <v>-0.92444700000000002</v>
      </c>
      <c r="O524">
        <v>95.525801999999999</v>
      </c>
      <c r="P524">
        <v>23.884636</v>
      </c>
      <c r="Q524">
        <v>16.849992</v>
      </c>
      <c r="R524">
        <v>1241</v>
      </c>
      <c r="S524">
        <v>559</v>
      </c>
      <c r="T524">
        <f>S524/(S524+R524)</f>
        <v>0.31055555555555553</v>
      </c>
      <c r="U524">
        <f>-4.142-2.4635*T524</f>
        <v>-4.9070536111111114</v>
      </c>
      <c r="V524">
        <f>L524-(SUM(R524:S524)*U524)</f>
        <v>73.129801999999472</v>
      </c>
      <c r="W524">
        <f>V524/(2*Q524*P524)</f>
        <v>9.0854423257629685E-2</v>
      </c>
      <c r="X524">
        <f>W524*16.02</f>
        <v>1.4554878605872275</v>
      </c>
    </row>
    <row r="525" spans="10:24" x14ac:dyDescent="0.2">
      <c r="K525">
        <v>520.80607699999996</v>
      </c>
      <c r="L525">
        <v>-8749.5706989999999</v>
      </c>
      <c r="M525">
        <v>38476.792201999997</v>
      </c>
      <c r="N525">
        <v>-0.91594699999999996</v>
      </c>
      <c r="O525">
        <v>95.705607000000001</v>
      </c>
      <c r="P525">
        <v>23.888888999999999</v>
      </c>
      <c r="Q525">
        <v>16.829317</v>
      </c>
      <c r="R525">
        <v>1242</v>
      </c>
      <c r="S525">
        <v>558</v>
      </c>
      <c r="T525">
        <f>S525/(S525+R525)</f>
        <v>0.31</v>
      </c>
      <c r="U525">
        <f>-4.142-2.4635*T525</f>
        <v>-4.9056850000000001</v>
      </c>
      <c r="V525">
        <f>L525-(SUM(R525:S525)*U525)</f>
        <v>80.662301000000298</v>
      </c>
      <c r="W525">
        <f>V525/(2*Q525*P525)</f>
        <v>0.10031783884944286</v>
      </c>
      <c r="X525">
        <f>W525*16.02</f>
        <v>1.6070917783680745</v>
      </c>
    </row>
    <row r="526" spans="10:24" x14ac:dyDescent="0.2">
      <c r="K526">
        <v>520.67578700000001</v>
      </c>
      <c r="L526">
        <v>-8709.0895240000009</v>
      </c>
      <c r="M526">
        <v>38474.751300999997</v>
      </c>
      <c r="N526">
        <v>-0.96807600000000005</v>
      </c>
      <c r="O526">
        <v>95.462513999999999</v>
      </c>
      <c r="P526">
        <v>23.926763999999999</v>
      </c>
      <c r="Q526">
        <v>16.844571999999999</v>
      </c>
      <c r="R526">
        <v>1263</v>
      </c>
      <c r="S526">
        <v>537</v>
      </c>
      <c r="T526">
        <f>S526/(S526+R526)</f>
        <v>0.29833333333333334</v>
      </c>
      <c r="U526">
        <f>-4.142-2.4635*T526</f>
        <v>-4.8769441666666671</v>
      </c>
      <c r="V526">
        <f>L526-(SUM(R526:S526)*U526)</f>
        <v>69.409975999999006</v>
      </c>
      <c r="W526">
        <f>V526/(2*Q526*P526)</f>
        <v>8.6108882287630972E-2</v>
      </c>
      <c r="X526">
        <f>W526*16.02</f>
        <v>1.3794642942478481</v>
      </c>
    </row>
    <row r="527" spans="10:24" x14ac:dyDescent="0.2">
      <c r="K527">
        <v>520.63202899999999</v>
      </c>
      <c r="L527">
        <v>-8750.1546620000008</v>
      </c>
      <c r="M527">
        <v>38459.728760999998</v>
      </c>
      <c r="N527">
        <v>-1.0763990000000001</v>
      </c>
      <c r="O527">
        <v>95.523347999999999</v>
      </c>
      <c r="P527">
        <v>23.915512</v>
      </c>
      <c r="Q527">
        <v>16.835187999999999</v>
      </c>
      <c r="R527">
        <v>1244</v>
      </c>
      <c r="S527">
        <v>556</v>
      </c>
      <c r="T527">
        <f>S527/(S527+R527)</f>
        <v>0.30888888888888888</v>
      </c>
      <c r="U527">
        <f>-4.142-2.4635*T527</f>
        <v>-4.9029477777777783</v>
      </c>
      <c r="V527">
        <f>L527-(SUM(R527:S527)*U527)</f>
        <v>75.151337999999669</v>
      </c>
      <c r="W527">
        <f>V527/(2*Q527*P527)</f>
        <v>9.3327378719460716E-2</v>
      </c>
      <c r="X527">
        <f>W527*16.02</f>
        <v>1.4951046070857605</v>
      </c>
    </row>
    <row r="528" spans="10:24" x14ac:dyDescent="0.2">
      <c r="K528">
        <v>520.65459999999996</v>
      </c>
      <c r="L528">
        <v>-8776.3108680000005</v>
      </c>
      <c r="M528">
        <v>38380.508236000001</v>
      </c>
      <c r="N528">
        <v>-1.075758</v>
      </c>
      <c r="O528">
        <v>95.528266000000002</v>
      </c>
      <c r="P528">
        <v>23.875060999999999</v>
      </c>
      <c r="Q528">
        <v>16.828108</v>
      </c>
      <c r="R528">
        <v>1234</v>
      </c>
      <c r="S528">
        <v>566</v>
      </c>
      <c r="T528">
        <f>S528/(S528+R528)</f>
        <v>0.31444444444444447</v>
      </c>
      <c r="U528">
        <f>-4.142-2.4635*T528</f>
        <v>-4.9166338888888887</v>
      </c>
      <c r="V528">
        <f>L528-(SUM(R528:S528)*U528)</f>
        <v>73.630131999998412</v>
      </c>
      <c r="W528">
        <f>V528/(2*Q528*P528)</f>
        <v>9.1631712457146533E-2</v>
      </c>
      <c r="X528">
        <f>W528*16.02</f>
        <v>1.4679400335634873</v>
      </c>
    </row>
    <row r="529" spans="10:24" x14ac:dyDescent="0.2">
      <c r="X529" s="1">
        <f>AVERAGE(X524:X528)</f>
        <v>1.4810177147704797</v>
      </c>
    </row>
    <row r="530" spans="10:24" x14ac:dyDescent="0.2">
      <c r="J530">
        <v>111</v>
      </c>
      <c r="K530">
        <v>520.62976400000002</v>
      </c>
      <c r="L530">
        <v>-13186.124414</v>
      </c>
      <c r="M530">
        <v>59041.017626000001</v>
      </c>
      <c r="N530">
        <v>-0.76365000000000005</v>
      </c>
      <c r="O530">
        <v>93.476401999999993</v>
      </c>
      <c r="P530">
        <v>19.110226999999998</v>
      </c>
      <c r="Q530">
        <v>33.051146000000003</v>
      </c>
      <c r="R530">
        <v>1862</v>
      </c>
      <c r="S530">
        <v>849</v>
      </c>
      <c r="T530">
        <f>S530/(S530+R530)</f>
        <v>0.31316857248247881</v>
      </c>
      <c r="U530">
        <f>-4.142-2.4635*T530</f>
        <v>-4.913490778310587</v>
      </c>
      <c r="V530">
        <f>L530-(SUM(R530:S530)*U530)</f>
        <v>134.34908600000199</v>
      </c>
      <c r="W530">
        <f>V530/(2*P530*Q530)</f>
        <v>0.10635363845283206</v>
      </c>
      <c r="X530">
        <f>W530*16.02</f>
        <v>1.7037852880143696</v>
      </c>
    </row>
    <row r="531" spans="10:24" x14ac:dyDescent="0.2">
      <c r="K531">
        <v>520.48116000000005</v>
      </c>
      <c r="L531">
        <v>-13143.805847</v>
      </c>
      <c r="M531">
        <v>59213.496694000001</v>
      </c>
      <c r="N531">
        <v>-0.70090300000000005</v>
      </c>
      <c r="O531">
        <v>93.730484000000004</v>
      </c>
      <c r="P531">
        <v>19.107613000000001</v>
      </c>
      <c r="Q531">
        <v>33.062387999999999</v>
      </c>
      <c r="R531">
        <v>1875</v>
      </c>
      <c r="S531">
        <v>836</v>
      </c>
      <c r="T531">
        <f>S531/(S531+R531)</f>
        <v>0.3083732939874585</v>
      </c>
      <c r="U531">
        <f>-4.142-2.4635*T531</f>
        <v>-4.9016776097381047</v>
      </c>
      <c r="V531">
        <f>L531-(SUM(R531:S531)*U531)</f>
        <v>144.64215300000251</v>
      </c>
      <c r="W531">
        <f>V531/(2*P531*Q531)</f>
        <v>0.11447857826163775</v>
      </c>
      <c r="X531">
        <f>W531*16.02</f>
        <v>1.8339468237514367</v>
      </c>
    </row>
    <row r="532" spans="10:24" x14ac:dyDescent="0.2">
      <c r="K532">
        <v>520.42850999999996</v>
      </c>
      <c r="L532">
        <v>-13136.325881999999</v>
      </c>
      <c r="M532">
        <v>59191.230166000001</v>
      </c>
      <c r="N532">
        <v>-0.60309999999999997</v>
      </c>
      <c r="O532">
        <v>93.653568000000007</v>
      </c>
      <c r="P532">
        <v>19.112414999999999</v>
      </c>
      <c r="Q532">
        <v>33.068762999999997</v>
      </c>
      <c r="R532">
        <v>1876</v>
      </c>
      <c r="S532">
        <v>835</v>
      </c>
      <c r="T532">
        <f>S532/(S532+R532)</f>
        <v>0.30800442641091846</v>
      </c>
      <c r="U532">
        <f>-4.142-2.4635*T532</f>
        <v>-4.9007689044632983</v>
      </c>
      <c r="V532">
        <f>L532-(SUM(R532:S532)*U532)</f>
        <v>149.65861800000312</v>
      </c>
      <c r="W532">
        <f>V532/(2*P532*Q532)</f>
        <v>0.11839632393039765</v>
      </c>
      <c r="X532">
        <f>W532*16.02</f>
        <v>1.8967091093649702</v>
      </c>
    </row>
    <row r="533" spans="10:24" x14ac:dyDescent="0.2">
      <c r="K533">
        <v>520.60236899999995</v>
      </c>
      <c r="L533">
        <v>-13112.235237999999</v>
      </c>
      <c r="M533">
        <v>59240.608985999999</v>
      </c>
      <c r="N533">
        <v>-0.60708399999999996</v>
      </c>
      <c r="O533">
        <v>93.592679000000004</v>
      </c>
      <c r="P533">
        <v>19.111267000000002</v>
      </c>
      <c r="Q533">
        <v>33.119866000000002</v>
      </c>
      <c r="R533">
        <v>1889</v>
      </c>
      <c r="S533">
        <v>822</v>
      </c>
      <c r="T533">
        <f>S533/(S533+R533)</f>
        <v>0.3032091479158982</v>
      </c>
      <c r="U533">
        <f>-4.142-2.4635*T533</f>
        <v>-4.888955735890816</v>
      </c>
      <c r="V533">
        <f>L533-(SUM(R533:S533)*U533)</f>
        <v>141.72376200000326</v>
      </c>
      <c r="W533">
        <f>V533/(2*P533*Q533)</f>
        <v>0.11195271373303492</v>
      </c>
      <c r="X533">
        <f>W533*16.02</f>
        <v>1.7934824740032194</v>
      </c>
    </row>
    <row r="534" spans="10:24" x14ac:dyDescent="0.2">
      <c r="K534">
        <v>520.40942500000006</v>
      </c>
      <c r="L534">
        <v>-13104.606906000001</v>
      </c>
      <c r="M534">
        <v>59236.543414</v>
      </c>
      <c r="N534">
        <v>-0.74540799999999996</v>
      </c>
      <c r="O534">
        <v>93.567257999999995</v>
      </c>
      <c r="P534">
        <v>19.115238000000002</v>
      </c>
      <c r="Q534">
        <v>33.119714999999999</v>
      </c>
      <c r="R534">
        <v>1892</v>
      </c>
      <c r="S534">
        <v>819</v>
      </c>
      <c r="T534">
        <f>S534/(S534+R534)</f>
        <v>0.3021025451862781</v>
      </c>
      <c r="U534">
        <f>-4.142-2.4635*T534</f>
        <v>-4.8862296200663966</v>
      </c>
      <c r="V534">
        <f>L534-(SUM(R534:S534)*U534)</f>
        <v>141.96159400000033</v>
      </c>
      <c r="W534">
        <f>V534/(2*P534*Q534)</f>
        <v>0.11211780089122612</v>
      </c>
      <c r="X534">
        <f>W534*16.02</f>
        <v>1.7961271702774424</v>
      </c>
    </row>
    <row r="535" spans="10:24" x14ac:dyDescent="0.2">
      <c r="X535" s="1">
        <f>AVERAGE(X530:X534)</f>
        <v>1.8048101730822874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0760-5C66-5644-ABF3-94E67B42670C}">
  <dimension ref="B2:Y73"/>
  <sheetViews>
    <sheetView workbookViewId="0">
      <selection activeCell="Y17" sqref="Y17:Y26"/>
    </sheetView>
  </sheetViews>
  <sheetFormatPr baseColWidth="10" defaultRowHeight="16" x14ac:dyDescent="0.2"/>
  <sheetData>
    <row r="2" spans="2:22" x14ac:dyDescent="0.2">
      <c r="B2" t="s">
        <v>187</v>
      </c>
    </row>
    <row r="3" spans="2:22" x14ac:dyDescent="0.2">
      <c r="B3">
        <v>-56145.856281</v>
      </c>
      <c r="C3">
        <v>128433.010733</v>
      </c>
      <c r="D3">
        <f>B3/8192</f>
        <v>-6.8537422218017579</v>
      </c>
    </row>
    <row r="4" spans="2:22" x14ac:dyDescent="0.2">
      <c r="B4">
        <v>-56145.782738000002</v>
      </c>
      <c r="C4">
        <v>128433.32764600001</v>
      </c>
      <c r="D4">
        <f t="shared" ref="D4:D12" si="0">B4/8192</f>
        <v>-6.8537332443847658</v>
      </c>
    </row>
    <row r="5" spans="2:22" x14ac:dyDescent="0.2">
      <c r="B5">
        <v>-56145.840490000002</v>
      </c>
      <c r="C5">
        <v>128433.389258</v>
      </c>
      <c r="D5">
        <f t="shared" si="0"/>
        <v>-6.8537402941894534</v>
      </c>
    </row>
    <row r="6" spans="2:22" x14ac:dyDescent="0.2">
      <c r="B6">
        <v>-56145.760191000001</v>
      </c>
      <c r="C6">
        <v>128433.020741</v>
      </c>
      <c r="D6">
        <f t="shared" si="0"/>
        <v>-6.8537304920654298</v>
      </c>
    </row>
    <row r="7" spans="2:22" x14ac:dyDescent="0.2">
      <c r="B7">
        <v>-56146.017575999998</v>
      </c>
      <c r="C7">
        <v>128432.489631</v>
      </c>
      <c r="D7">
        <f t="shared" si="0"/>
        <v>-6.8537619111328123</v>
      </c>
    </row>
    <row r="8" spans="2:22" x14ac:dyDescent="0.2">
      <c r="B8">
        <v>-56146.052522999998</v>
      </c>
      <c r="C8">
        <v>128432.80095600001</v>
      </c>
      <c r="D8">
        <f t="shared" si="0"/>
        <v>-6.8537661771240233</v>
      </c>
    </row>
    <row r="9" spans="2:22" x14ac:dyDescent="0.2">
      <c r="B9">
        <v>-56145.766315000001</v>
      </c>
      <c r="C9">
        <v>128433.11771000001</v>
      </c>
      <c r="D9">
        <f t="shared" si="0"/>
        <v>-6.8537312396240235</v>
      </c>
    </row>
    <row r="10" spans="2:22" x14ac:dyDescent="0.2">
      <c r="B10">
        <v>-56145.831710999999</v>
      </c>
      <c r="C10">
        <v>128432.723226</v>
      </c>
      <c r="D10">
        <f t="shared" si="0"/>
        <v>-6.8537392225341796</v>
      </c>
    </row>
    <row r="11" spans="2:22" x14ac:dyDescent="0.2">
      <c r="B11">
        <v>-56145.685938000002</v>
      </c>
      <c r="C11">
        <v>128433.54932400001</v>
      </c>
      <c r="D11">
        <f t="shared" si="0"/>
        <v>-6.8537214279785159</v>
      </c>
      <c r="J11" t="s">
        <v>188</v>
      </c>
    </row>
    <row r="12" spans="2:22" x14ac:dyDescent="0.2">
      <c r="B12">
        <v>-56145.770780999999</v>
      </c>
      <c r="C12">
        <v>128433.225133</v>
      </c>
      <c r="D12">
        <f t="shared" si="0"/>
        <v>-6.853731784790039</v>
      </c>
      <c r="J12" t="s">
        <v>30</v>
      </c>
    </row>
    <row r="13" spans="2:22" x14ac:dyDescent="0.2">
      <c r="D13">
        <f>AVERAGE(D3:D12)</f>
        <v>-6.8537398015625</v>
      </c>
      <c r="K13" t="s">
        <v>176</v>
      </c>
      <c r="L13" t="s">
        <v>18</v>
      </c>
      <c r="M13" t="s">
        <v>5</v>
      </c>
      <c r="N13" t="s">
        <v>7</v>
      </c>
      <c r="O13" t="s">
        <v>19</v>
      </c>
      <c r="P13" t="s">
        <v>20</v>
      </c>
      <c r="Q13" t="s">
        <v>21</v>
      </c>
      <c r="R13" t="s">
        <v>22</v>
      </c>
      <c r="S13" t="s">
        <v>26</v>
      </c>
      <c r="T13" t="s">
        <v>12</v>
      </c>
      <c r="U13" t="s">
        <v>23</v>
      </c>
      <c r="V13" t="s">
        <v>23</v>
      </c>
    </row>
    <row r="14" spans="2:22" x14ac:dyDescent="0.2">
      <c r="J14" t="s">
        <v>55</v>
      </c>
      <c r="K14">
        <v>100000</v>
      </c>
      <c r="L14">
        <v>260.09753000000001</v>
      </c>
      <c r="M14">
        <v>-26688.696179999999</v>
      </c>
      <c r="N14">
        <v>61330.251350999999</v>
      </c>
      <c r="O14">
        <v>-0.27241199999999999</v>
      </c>
      <c r="P14">
        <v>28.544644999999999</v>
      </c>
      <c r="Q14">
        <v>170.39959999999999</v>
      </c>
      <c r="R14">
        <v>12.609026999999999</v>
      </c>
      <c r="S14">
        <f>$E$41</f>
        <v>-6.8537398015625</v>
      </c>
      <c r="T14">
        <f>M14-3904*S14</f>
        <v>68.304005300000426</v>
      </c>
      <c r="U14">
        <f>T14/(2*P14*R14)</f>
        <v>9.4887707598672738E-2</v>
      </c>
      <c r="V14">
        <f>U14*16.02</f>
        <v>1.5201010757307372</v>
      </c>
    </row>
    <row r="15" spans="2:22" x14ac:dyDescent="0.2">
      <c r="K15">
        <v>100000</v>
      </c>
      <c r="L15">
        <v>260.04048599999999</v>
      </c>
      <c r="M15">
        <v>-26687.494645999999</v>
      </c>
      <c r="N15">
        <v>61333.380987999997</v>
      </c>
      <c r="O15">
        <v>-0.26295200000000002</v>
      </c>
      <c r="P15">
        <v>28.544478000000002</v>
      </c>
      <c r="Q15">
        <v>170.408153</v>
      </c>
      <c r="R15">
        <v>12.609111</v>
      </c>
      <c r="S15">
        <f>$E$41</f>
        <v>-6.8537398015625</v>
      </c>
      <c r="T15">
        <f>M15-3904*S15</f>
        <v>69.505539300000237</v>
      </c>
      <c r="U15">
        <f>T15/(2*P15*R15)</f>
        <v>9.6556796478560039E-2</v>
      </c>
      <c r="V15">
        <f>U15*16.02</f>
        <v>1.5468398795865317</v>
      </c>
    </row>
    <row r="16" spans="2:22" x14ac:dyDescent="0.2">
      <c r="K16">
        <v>100000</v>
      </c>
      <c r="L16">
        <v>260.05578000000003</v>
      </c>
      <c r="M16">
        <v>-26687.680130000001</v>
      </c>
      <c r="N16">
        <v>61332.177050999999</v>
      </c>
      <c r="O16">
        <v>-0.22636000000000001</v>
      </c>
      <c r="P16">
        <v>28.544815</v>
      </c>
      <c r="Q16">
        <v>170.401678</v>
      </c>
      <c r="R16">
        <v>12.609192999999999</v>
      </c>
      <c r="S16">
        <f>$E$41</f>
        <v>-6.8537398015625</v>
      </c>
      <c r="T16">
        <f>M16-3904*S16</f>
        <v>69.320055299998785</v>
      </c>
      <c r="U16">
        <f>T16/(2*P16*R16)</f>
        <v>9.6297359751496614E-2</v>
      </c>
      <c r="V16" s="16">
        <f>U16*16.02</f>
        <v>1.5426837032189757</v>
      </c>
    </row>
    <row r="17" spans="10:25" x14ac:dyDescent="0.2">
      <c r="K17">
        <v>100000</v>
      </c>
      <c r="L17">
        <v>260.08799399999998</v>
      </c>
      <c r="M17">
        <v>-26688.991187</v>
      </c>
      <c r="N17">
        <v>61329.636662999997</v>
      </c>
      <c r="O17">
        <v>-0.21377599999999999</v>
      </c>
      <c r="P17">
        <v>28.544968000000001</v>
      </c>
      <c r="Q17">
        <v>170.39716999999999</v>
      </c>
      <c r="R17">
        <v>12.608936999999999</v>
      </c>
      <c r="S17">
        <f>$E$41</f>
        <v>-6.8537398015625</v>
      </c>
      <c r="T17">
        <f>M17-3904*S17</f>
        <v>68.008998299999803</v>
      </c>
      <c r="U17">
        <f>T17/(2*P17*R17)</f>
        <v>9.4477490103137565E-2</v>
      </c>
      <c r="V17">
        <f>U17*16.02</f>
        <v>1.5135293914522638</v>
      </c>
      <c r="Y17" s="1">
        <v>1.5265732261014335</v>
      </c>
    </row>
    <row r="18" spans="10:25" x14ac:dyDescent="0.2">
      <c r="K18">
        <v>100000</v>
      </c>
      <c r="L18">
        <v>260.01724300000001</v>
      </c>
      <c r="M18">
        <v>-26689.162356000001</v>
      </c>
      <c r="N18">
        <v>61329.003318000003</v>
      </c>
      <c r="O18">
        <v>-0.24934700000000001</v>
      </c>
      <c r="P18">
        <v>28.544958000000001</v>
      </c>
      <c r="Q18">
        <v>170.394509</v>
      </c>
      <c r="R18">
        <v>12.609007999999999</v>
      </c>
      <c r="S18">
        <f>$E$41</f>
        <v>-6.8537398015625</v>
      </c>
      <c r="T18">
        <f>M18-3904*S18</f>
        <v>67.837829299998702</v>
      </c>
      <c r="U18">
        <f>T18/(2*P18*R18)</f>
        <v>9.4239206024885114E-2</v>
      </c>
      <c r="V18">
        <f>U18*16.02</f>
        <v>1.5097120805186595</v>
      </c>
      <c r="Y18" s="1">
        <v>1.5892846252407735</v>
      </c>
    </row>
    <row r="19" spans="10:25" x14ac:dyDescent="0.2">
      <c r="V19" s="1">
        <f>AVERAGE(V14:V18)</f>
        <v>1.5265732261014335</v>
      </c>
      <c r="W19" s="1">
        <f>STDEV(V14:V18)</f>
        <v>1.7077860665048031E-2</v>
      </c>
      <c r="Y19" s="1">
        <v>1.5944039268314885</v>
      </c>
    </row>
    <row r="20" spans="10:25" x14ac:dyDescent="0.2">
      <c r="J20" t="s">
        <v>133</v>
      </c>
      <c r="K20">
        <v>100000</v>
      </c>
      <c r="L20">
        <v>278.87474600000002</v>
      </c>
      <c r="M20">
        <v>-21656.769213</v>
      </c>
      <c r="N20">
        <v>49774.679193999997</v>
      </c>
      <c r="O20">
        <v>-0.50034500000000004</v>
      </c>
      <c r="P20">
        <v>22.291160000000001</v>
      </c>
      <c r="Q20">
        <v>177.10561999999999</v>
      </c>
      <c r="R20">
        <v>12.607920999999999</v>
      </c>
      <c r="S20">
        <f>$E$41</f>
        <v>-6.8537398015625</v>
      </c>
      <c r="T20">
        <f>M20-3168*S20</f>
        <v>55.878478350001387</v>
      </c>
      <c r="U20">
        <f>T20/(2*P20*R20)</f>
        <v>9.9411912168999819E-2</v>
      </c>
      <c r="V20">
        <f>U20*16.02</f>
        <v>1.5925788329473771</v>
      </c>
      <c r="Y20" s="1">
        <v>1.8164651339086049</v>
      </c>
    </row>
    <row r="21" spans="10:25" x14ac:dyDescent="0.2">
      <c r="K21">
        <v>100000</v>
      </c>
      <c r="L21">
        <v>278.73728199999999</v>
      </c>
      <c r="M21">
        <v>-21656.950187999999</v>
      </c>
      <c r="N21">
        <v>49774.946659000001</v>
      </c>
      <c r="O21">
        <v>-0.48061999999999999</v>
      </c>
      <c r="P21">
        <v>22.290861</v>
      </c>
      <c r="Q21">
        <v>177.11139</v>
      </c>
      <c r="R21">
        <v>12.607748000000001</v>
      </c>
      <c r="S21">
        <f>$E$41</f>
        <v>-6.8537398015625</v>
      </c>
      <c r="T21">
        <f t="shared" ref="T21:T24" si="1">M21-3168*S21</f>
        <v>55.69750335000208</v>
      </c>
      <c r="U21">
        <f>T21/(2*P21*R21)</f>
        <v>9.9092633220473569E-2</v>
      </c>
      <c r="V21">
        <f>U21*16.02</f>
        <v>1.5874639841919866</v>
      </c>
      <c r="Y21" s="1">
        <v>1.5583332953230227</v>
      </c>
    </row>
    <row r="22" spans="10:25" x14ac:dyDescent="0.2">
      <c r="K22">
        <v>100000</v>
      </c>
      <c r="L22">
        <v>278.80284999999998</v>
      </c>
      <c r="M22">
        <v>-21656.816702</v>
      </c>
      <c r="N22">
        <v>49775.287880999997</v>
      </c>
      <c r="O22">
        <v>-0.38337100000000002</v>
      </c>
      <c r="P22">
        <v>22.290928000000001</v>
      </c>
      <c r="Q22">
        <v>177.11062899999999</v>
      </c>
      <c r="R22">
        <v>12.607849999999999</v>
      </c>
      <c r="S22">
        <f>$E$41</f>
        <v>-6.8537398015625</v>
      </c>
      <c r="T22">
        <f t="shared" si="1"/>
        <v>55.830989350000891</v>
      </c>
      <c r="U22">
        <f>T22/(2*P22*R22)</f>
        <v>9.9329018895872701E-2</v>
      </c>
      <c r="V22">
        <f>U22*16.02</f>
        <v>1.5912508827118805</v>
      </c>
      <c r="Y22" s="1">
        <v>1.8554436837538311</v>
      </c>
    </row>
    <row r="23" spans="10:25" x14ac:dyDescent="0.2">
      <c r="K23">
        <v>100000</v>
      </c>
      <c r="L23">
        <v>278.74600600000002</v>
      </c>
      <c r="M23">
        <v>-21656.807561000001</v>
      </c>
      <c r="N23">
        <v>49775.516717999999</v>
      </c>
      <c r="O23">
        <v>-0.44079400000000002</v>
      </c>
      <c r="P23">
        <v>22.290894000000002</v>
      </c>
      <c r="Q23">
        <v>177.113</v>
      </c>
      <c r="R23">
        <v>12.607759</v>
      </c>
      <c r="S23">
        <f>$E$41</f>
        <v>-6.8537398015625</v>
      </c>
      <c r="T23">
        <f t="shared" si="1"/>
        <v>55.840130349999527</v>
      </c>
      <c r="U23">
        <f>T23/(2*P23*R23)</f>
        <v>9.9346150249540036E-2</v>
      </c>
      <c r="V23">
        <f>U23*16.02</f>
        <v>1.5915253269976313</v>
      </c>
      <c r="Y23" s="1">
        <v>1.6110949477642926</v>
      </c>
    </row>
    <row r="24" spans="10:25" x14ac:dyDescent="0.2">
      <c r="K24">
        <v>100000</v>
      </c>
      <c r="L24">
        <v>278.86783100000002</v>
      </c>
      <c r="M24">
        <v>-21657.083140999999</v>
      </c>
      <c r="N24">
        <v>49773.365440000001</v>
      </c>
      <c r="O24">
        <v>-0.47982799999999998</v>
      </c>
      <c r="P24">
        <v>22.291447000000002</v>
      </c>
      <c r="Q24">
        <v>177.09786299999999</v>
      </c>
      <c r="R24">
        <v>12.607977999999999</v>
      </c>
      <c r="S24">
        <f>$E$41</f>
        <v>-6.8537398015625</v>
      </c>
      <c r="T24">
        <f t="shared" si="1"/>
        <v>55.564550350001809</v>
      </c>
      <c r="U24">
        <f>T24/(2*P24*R24)</f>
        <v>9.8851691595192998E-2</v>
      </c>
      <c r="V24">
        <f>U24*16.02</f>
        <v>1.5836040993549918</v>
      </c>
      <c r="Y24" s="1">
        <v>1.9962330463031317</v>
      </c>
    </row>
    <row r="25" spans="10:25" x14ac:dyDescent="0.2">
      <c r="V25" s="1">
        <f>AVERAGE(V20:V24)</f>
        <v>1.5892846252407735</v>
      </c>
      <c r="W25" s="1">
        <f>STDEV(V20:V24)</f>
        <v>3.7189321514273449E-3</v>
      </c>
      <c r="Y25" s="1">
        <v>1.7679337757048004</v>
      </c>
    </row>
    <row r="26" spans="10:25" x14ac:dyDescent="0.2">
      <c r="J26" t="s">
        <v>28</v>
      </c>
      <c r="K26">
        <v>100000</v>
      </c>
      <c r="L26">
        <v>278.78545000000003</v>
      </c>
      <c r="M26">
        <v>-50870.807473000001</v>
      </c>
      <c r="N26">
        <v>116874.743703</v>
      </c>
      <c r="O26">
        <v>-0.19573399999999999</v>
      </c>
      <c r="P26">
        <v>32.144584000000002</v>
      </c>
      <c r="Q26">
        <v>192.26352600000001</v>
      </c>
      <c r="R26">
        <v>18.911064</v>
      </c>
      <c r="S26">
        <f>$E$41</f>
        <v>-6.8537398015625</v>
      </c>
      <c r="T26">
        <f>M26-7440*S26</f>
        <v>121.01665062500251</v>
      </c>
      <c r="U26">
        <f>T26/(2*P26*R26)</f>
        <v>9.9538561242205295E-2</v>
      </c>
      <c r="V26">
        <f>U26*16.02</f>
        <v>1.5946077511001289</v>
      </c>
      <c r="Y26" s="1">
        <v>1.7503703602390011</v>
      </c>
    </row>
    <row r="27" spans="10:25" x14ac:dyDescent="0.2">
      <c r="K27">
        <v>100000</v>
      </c>
      <c r="L27">
        <v>278.87220300000001</v>
      </c>
      <c r="M27">
        <v>-50871.138139000002</v>
      </c>
      <c r="N27">
        <v>116874.515035</v>
      </c>
      <c r="O27">
        <v>-0.18578</v>
      </c>
      <c r="P27">
        <v>32.144416999999997</v>
      </c>
      <c r="Q27">
        <v>192.264512</v>
      </c>
      <c r="R27">
        <v>18.911028999999999</v>
      </c>
      <c r="S27">
        <f>$E$41</f>
        <v>-6.8537398015625</v>
      </c>
      <c r="T27">
        <f>M27-7440*S27</f>
        <v>120.68598462500086</v>
      </c>
      <c r="U27">
        <f>T27/(2*P27*R27)</f>
        <v>9.9267281432825344E-2</v>
      </c>
      <c r="V27">
        <f>U27*16.02</f>
        <v>1.590261848553862</v>
      </c>
    </row>
    <row r="28" spans="10:25" x14ac:dyDescent="0.2">
      <c r="K28">
        <v>100000</v>
      </c>
      <c r="L28">
        <v>278.80203799999998</v>
      </c>
      <c r="M28">
        <v>-50870.836857000002</v>
      </c>
      <c r="N28">
        <v>116875.038342</v>
      </c>
      <c r="O28">
        <v>-0.25426900000000002</v>
      </c>
      <c r="P28">
        <v>32.144528000000001</v>
      </c>
      <c r="Q28">
        <v>192.26468299999999</v>
      </c>
      <c r="R28">
        <v>18.911031000000001</v>
      </c>
      <c r="S28">
        <f>$E$41</f>
        <v>-6.8537398015625</v>
      </c>
      <c r="T28">
        <f>M28-7440*S28</f>
        <v>120.98726662500121</v>
      </c>
      <c r="U28">
        <f>T28/(2*P28*R28)</f>
        <v>9.9514739349102946E-2</v>
      </c>
      <c r="V28">
        <f>U28*16.02</f>
        <v>1.5942261243726292</v>
      </c>
    </row>
    <row r="29" spans="10:25" x14ac:dyDescent="0.2">
      <c r="K29">
        <v>100000</v>
      </c>
      <c r="L29">
        <v>278.89997099999999</v>
      </c>
      <c r="M29">
        <v>-50870.601617</v>
      </c>
      <c r="N29">
        <v>116875.67619699999</v>
      </c>
      <c r="O29">
        <v>-0.25740800000000003</v>
      </c>
      <c r="P29">
        <v>32.144699000000003</v>
      </c>
      <c r="Q29">
        <v>192.264668</v>
      </c>
      <c r="R29">
        <v>18.911034999999998</v>
      </c>
      <c r="S29">
        <f>$E$41</f>
        <v>-6.8537398015625</v>
      </c>
      <c r="T29">
        <f>M29-7440*S29</f>
        <v>121.22250662500301</v>
      </c>
      <c r="U29">
        <f>T29/(2*P29*R29)</f>
        <v>9.9707678015983472E-2</v>
      </c>
      <c r="V29">
        <f>U29*16.02</f>
        <v>1.5973170018160552</v>
      </c>
    </row>
    <row r="30" spans="10:25" x14ac:dyDescent="0.2">
      <c r="K30">
        <v>100000</v>
      </c>
      <c r="L30">
        <v>278.85548399999999</v>
      </c>
      <c r="M30">
        <v>-50870.732133999998</v>
      </c>
      <c r="N30">
        <v>116875.231434</v>
      </c>
      <c r="O30">
        <v>-0.1948</v>
      </c>
      <c r="P30">
        <v>32.144468000000003</v>
      </c>
      <c r="Q30">
        <v>192.26511099999999</v>
      </c>
      <c r="R30">
        <v>18.911055999999999</v>
      </c>
      <c r="S30">
        <f>$E$41</f>
        <v>-6.8537398015625</v>
      </c>
      <c r="T30">
        <f>M30-7440*S30</f>
        <v>121.09198962500523</v>
      </c>
      <c r="U30">
        <f>T30/(2*P30*R30)</f>
        <v>9.9600930606414964E-2</v>
      </c>
      <c r="V30">
        <f>U30*16.02</f>
        <v>1.5956069083147677</v>
      </c>
    </row>
    <row r="31" spans="10:25" x14ac:dyDescent="0.2">
      <c r="V31" s="1">
        <f>AVERAGE(V26:V30)</f>
        <v>1.5944039268314885</v>
      </c>
      <c r="W31" s="1">
        <f>STDEV(V26:V30)</f>
        <v>2.6059135067989779E-3</v>
      </c>
    </row>
    <row r="32" spans="10:25" x14ac:dyDescent="0.2">
      <c r="J32" t="s">
        <v>134</v>
      </c>
      <c r="K32">
        <v>100000</v>
      </c>
      <c r="L32">
        <v>278.80596600000001</v>
      </c>
      <c r="M32">
        <v>-22076.994649</v>
      </c>
      <c r="N32">
        <v>50806.845394000004</v>
      </c>
      <c r="O32">
        <v>-0.39750200000000002</v>
      </c>
      <c r="P32">
        <v>25.991387</v>
      </c>
      <c r="Q32">
        <v>155.083461</v>
      </c>
      <c r="R32">
        <v>12.60455</v>
      </c>
      <c r="S32">
        <f>$E$41</f>
        <v>-6.8537398015625</v>
      </c>
      <c r="T32">
        <f>M32-3232*S32</f>
        <v>74.292389649999677</v>
      </c>
      <c r="U32">
        <f>T32/(2*P32*R32)</f>
        <v>0.1133855030193123</v>
      </c>
      <c r="V32">
        <f>U32*16.02</f>
        <v>1.8164357583693831</v>
      </c>
    </row>
    <row r="33" spans="5:23" x14ac:dyDescent="0.2">
      <c r="K33">
        <v>100000</v>
      </c>
      <c r="L33">
        <v>278.79835000000003</v>
      </c>
      <c r="M33">
        <v>-22077.073896000002</v>
      </c>
      <c r="N33">
        <v>50806.400929000003</v>
      </c>
      <c r="O33">
        <v>-0.45682099999999998</v>
      </c>
      <c r="P33">
        <v>25.991344999999999</v>
      </c>
      <c r="Q33">
        <v>155.08156700000001</v>
      </c>
      <c r="R33">
        <v>12.604613000000001</v>
      </c>
      <c r="S33">
        <f>$E$41</f>
        <v>-6.8537398015625</v>
      </c>
      <c r="T33">
        <f t="shared" ref="T33:T36" si="2">M33-3232*S33</f>
        <v>74.21314264999819</v>
      </c>
      <c r="U33">
        <f>T33/(2*P33*R33)</f>
        <v>0.11326417266974972</v>
      </c>
      <c r="V33">
        <f>U33*16.02</f>
        <v>1.8144920461693905</v>
      </c>
    </row>
    <row r="34" spans="5:23" x14ac:dyDescent="0.2">
      <c r="K34">
        <v>100000</v>
      </c>
      <c r="L34">
        <v>278.84659099999999</v>
      </c>
      <c r="M34">
        <v>-22076.944961000001</v>
      </c>
      <c r="N34">
        <v>50807.766162</v>
      </c>
      <c r="O34">
        <v>-0.43255399999999999</v>
      </c>
      <c r="P34">
        <v>25.991098999999998</v>
      </c>
      <c r="Q34">
        <v>155.089381</v>
      </c>
      <c r="R34">
        <v>12.604436</v>
      </c>
      <c r="S34">
        <f>$E$41</f>
        <v>-6.8537398015625</v>
      </c>
      <c r="T34">
        <f t="shared" si="2"/>
        <v>74.342077649998828</v>
      </c>
      <c r="U34">
        <f>T34/(2*P34*R34)</f>
        <v>0.11346362058913945</v>
      </c>
      <c r="V34">
        <f>U34*16.02</f>
        <v>1.8176872018380139</v>
      </c>
    </row>
    <row r="35" spans="5:23" x14ac:dyDescent="0.2">
      <c r="K35">
        <v>100000</v>
      </c>
      <c r="L35">
        <v>278.74263500000001</v>
      </c>
      <c r="M35">
        <v>-22077.026066999999</v>
      </c>
      <c r="N35">
        <v>50807.462233999999</v>
      </c>
      <c r="O35">
        <v>-0.440882</v>
      </c>
      <c r="P35">
        <v>25.990977000000001</v>
      </c>
      <c r="Q35">
        <v>155.08902499999999</v>
      </c>
      <c r="R35">
        <v>12.604449000000001</v>
      </c>
      <c r="S35">
        <f>$E$41</f>
        <v>-6.8537398015625</v>
      </c>
      <c r="T35">
        <f t="shared" si="2"/>
        <v>74.260971650001011</v>
      </c>
      <c r="U35">
        <f>T35/(2*P35*R35)</f>
        <v>0.11334024873361916</v>
      </c>
      <c r="V35">
        <f>U35*16.02</f>
        <v>1.8157107847125789</v>
      </c>
    </row>
    <row r="36" spans="5:23" x14ac:dyDescent="0.2">
      <c r="K36">
        <v>100000</v>
      </c>
      <c r="L36">
        <v>278.91229299999998</v>
      </c>
      <c r="M36">
        <v>-22076.930465000001</v>
      </c>
      <c r="N36">
        <v>50807.257388999999</v>
      </c>
      <c r="O36">
        <v>-0.48630699999999999</v>
      </c>
      <c r="P36">
        <v>25.991465000000002</v>
      </c>
      <c r="Q36">
        <v>155.08426399999999</v>
      </c>
      <c r="R36">
        <v>12.604547999999999</v>
      </c>
      <c r="S36">
        <f>$E$41</f>
        <v>-6.8537398015625</v>
      </c>
      <c r="T36">
        <f t="shared" si="2"/>
        <v>74.356573649998609</v>
      </c>
      <c r="U36">
        <f>T36/(2*P36*R36)</f>
        <v>0.11348313848025339</v>
      </c>
      <c r="V36">
        <f>U36*16.02</f>
        <v>1.8179998784536593</v>
      </c>
    </row>
    <row r="37" spans="5:23" x14ac:dyDescent="0.2">
      <c r="V37" s="1">
        <f>AVERAGE(V32:V36)</f>
        <v>1.8164651339086049</v>
      </c>
      <c r="W37" s="1">
        <f>STDEV(V32:V36)</f>
        <v>1.4415158428848465E-3</v>
      </c>
    </row>
    <row r="38" spans="5:23" x14ac:dyDescent="0.2">
      <c r="J38" t="s">
        <v>27</v>
      </c>
      <c r="K38">
        <v>100000</v>
      </c>
      <c r="L38">
        <v>278.87658099999999</v>
      </c>
      <c r="M38">
        <v>-32824.790039</v>
      </c>
      <c r="N38">
        <v>75363.094465000002</v>
      </c>
      <c r="O38">
        <v>-0.34538999999999997</v>
      </c>
      <c r="P38">
        <v>29.902481000000002</v>
      </c>
      <c r="Q38">
        <v>199.924916</v>
      </c>
      <c r="R38">
        <v>12.606211999999999</v>
      </c>
      <c r="S38">
        <f>$E$41</f>
        <v>-6.8537398015625</v>
      </c>
      <c r="T38">
        <f>M38-4800*S38</f>
        <v>73.161008499999298</v>
      </c>
      <c r="U38">
        <f>T38/(2*P38*R38)</f>
        <v>9.7041579842322825E-2</v>
      </c>
      <c r="V38">
        <f>U38*16.02</f>
        <v>1.5546061090740115</v>
      </c>
    </row>
    <row r="39" spans="5:23" x14ac:dyDescent="0.2">
      <c r="K39">
        <v>100000</v>
      </c>
      <c r="L39">
        <v>278.80294800000001</v>
      </c>
      <c r="M39">
        <v>-32824.659185999997</v>
      </c>
      <c r="N39">
        <v>75363.010941999994</v>
      </c>
      <c r="O39">
        <v>-0.30280499999999999</v>
      </c>
      <c r="P39">
        <v>29.902533999999999</v>
      </c>
      <c r="Q39">
        <v>199.92444399999999</v>
      </c>
      <c r="R39">
        <v>12.606204999999999</v>
      </c>
      <c r="S39">
        <f>$E$41</f>
        <v>-6.8537398015625</v>
      </c>
      <c r="T39">
        <f>M39-4800*S39</f>
        <v>73.291861500001687</v>
      </c>
      <c r="U39">
        <f>T39/(2*P39*R39)</f>
        <v>9.7215026400047505E-2</v>
      </c>
      <c r="V39">
        <f>U39*16.02</f>
        <v>1.557384722928761</v>
      </c>
    </row>
    <row r="40" spans="5:23" x14ac:dyDescent="0.2">
      <c r="K40">
        <v>100000</v>
      </c>
      <c r="L40">
        <v>278.89516400000002</v>
      </c>
      <c r="M40">
        <v>-32824.555350000002</v>
      </c>
      <c r="N40">
        <v>75363.340402000002</v>
      </c>
      <c r="O40">
        <v>-0.31515300000000002</v>
      </c>
      <c r="P40">
        <v>29.90258</v>
      </c>
      <c r="Q40">
        <v>199.923925</v>
      </c>
      <c r="R40">
        <v>12.606273</v>
      </c>
      <c r="S40">
        <f>$E$41</f>
        <v>-6.8537398015625</v>
      </c>
      <c r="T40">
        <f>M40-4800*S40</f>
        <v>73.395697499996459</v>
      </c>
      <c r="U40">
        <f>T40/(2*P40*R40)</f>
        <v>9.7352080569893251E-2</v>
      </c>
      <c r="V40">
        <f>U40*16.02</f>
        <v>1.5595803307296898</v>
      </c>
    </row>
    <row r="41" spans="5:23" x14ac:dyDescent="0.2">
      <c r="E41">
        <v>-6.8537398015625</v>
      </c>
      <c r="K41">
        <v>100000</v>
      </c>
      <c r="L41">
        <v>278.827315</v>
      </c>
      <c r="M41">
        <v>-32824.560383000004</v>
      </c>
      <c r="N41">
        <v>75364.062032000002</v>
      </c>
      <c r="O41">
        <v>-0.32229000000000002</v>
      </c>
      <c r="P41">
        <v>29.902274999999999</v>
      </c>
      <c r="Q41">
        <v>199.92955900000001</v>
      </c>
      <c r="R41">
        <v>12.606168</v>
      </c>
      <c r="S41">
        <f>$E$41</f>
        <v>-6.8537398015625</v>
      </c>
      <c r="T41">
        <f>M41-4800*S41</f>
        <v>73.390664499995182</v>
      </c>
      <c r="U41">
        <f>T41/(2*P41*R41)</f>
        <v>9.7347208532571158E-2</v>
      </c>
      <c r="V41">
        <f>U41*16.02</f>
        <v>1.55950228069179</v>
      </c>
    </row>
    <row r="42" spans="5:23" x14ac:dyDescent="0.2">
      <c r="K42">
        <v>100000</v>
      </c>
      <c r="L42">
        <v>278.820898</v>
      </c>
      <c r="M42">
        <v>-32824.509098000002</v>
      </c>
      <c r="N42">
        <v>75364.036764999997</v>
      </c>
      <c r="O42">
        <v>-0.32235599999999998</v>
      </c>
      <c r="P42">
        <v>29.902222999999999</v>
      </c>
      <c r="Q42">
        <v>199.92961500000001</v>
      </c>
      <c r="R42">
        <v>12.606182</v>
      </c>
      <c r="S42">
        <f>$E$41</f>
        <v>-6.8537398015625</v>
      </c>
      <c r="T42">
        <f>M42-4800*S42</f>
        <v>73.441949499996554</v>
      </c>
      <c r="U42">
        <f>T42/(2*P42*R42)</f>
        <v>9.7415295455109907E-2</v>
      </c>
      <c r="V42">
        <f>U42*16.02</f>
        <v>1.5605930331908606</v>
      </c>
    </row>
    <row r="43" spans="5:23" x14ac:dyDescent="0.2">
      <c r="V43" s="1">
        <f>AVERAGE(V38:V42)</f>
        <v>1.5583332953230227</v>
      </c>
      <c r="W43" s="1">
        <f>STDEV(V38:V42)</f>
        <v>2.3885009028252156E-3</v>
      </c>
    </row>
    <row r="44" spans="5:23" x14ac:dyDescent="0.2">
      <c r="J44" t="s">
        <v>172</v>
      </c>
      <c r="K44">
        <v>100000</v>
      </c>
      <c r="L44">
        <v>278.84233999999998</v>
      </c>
      <c r="M44">
        <v>-25151.788604000001</v>
      </c>
      <c r="N44">
        <v>57834.526048</v>
      </c>
      <c r="O44">
        <v>-0.41566799999999998</v>
      </c>
      <c r="P44">
        <v>24.012360000000001</v>
      </c>
      <c r="Q44">
        <v>191.079748</v>
      </c>
      <c r="R44">
        <v>12.604851</v>
      </c>
      <c r="S44">
        <f>$E$41</f>
        <v>-6.8537398015625</v>
      </c>
      <c r="T44">
        <f>M44-3680*S44</f>
        <v>69.973865749998367</v>
      </c>
      <c r="U44">
        <f>T44/(2*P44*R44)</f>
        <v>0.11559347230417279</v>
      </c>
      <c r="V44">
        <f>U44*16.02</f>
        <v>1.8518074263128479</v>
      </c>
    </row>
    <row r="45" spans="5:23" x14ac:dyDescent="0.2">
      <c r="K45">
        <v>100000</v>
      </c>
      <c r="L45">
        <v>278.83224300000001</v>
      </c>
      <c r="M45">
        <v>-25151.735929999999</v>
      </c>
      <c r="N45">
        <v>57835.171762999998</v>
      </c>
      <c r="O45">
        <v>-0.37437999999999999</v>
      </c>
      <c r="P45">
        <v>24.012308999999998</v>
      </c>
      <c r="Q45">
        <v>191.08508599999999</v>
      </c>
      <c r="R45">
        <v>12.604666</v>
      </c>
      <c r="S45">
        <f>$E$41</f>
        <v>-6.8537398015625</v>
      </c>
      <c r="T45">
        <f t="shared" ref="T45:T48" si="3">M45-3680*S45</f>
        <v>70.026539750000666</v>
      </c>
      <c r="U45">
        <f>T45/(2*P45*R45)</f>
        <v>0.11568243078069064</v>
      </c>
      <c r="V45">
        <f>U45*16.02</f>
        <v>1.8532325411066639</v>
      </c>
    </row>
    <row r="46" spans="5:23" x14ac:dyDescent="0.2">
      <c r="K46">
        <v>100000</v>
      </c>
      <c r="L46">
        <v>278.76643100000001</v>
      </c>
      <c r="M46">
        <v>-25151.575711000001</v>
      </c>
      <c r="N46">
        <v>57835.326252999999</v>
      </c>
      <c r="O46">
        <v>-0.462287</v>
      </c>
      <c r="P46">
        <v>24.012264999999999</v>
      </c>
      <c r="Q46">
        <v>191.08373900000001</v>
      </c>
      <c r="R46">
        <v>12.604812000000001</v>
      </c>
      <c r="S46">
        <f>$E$41</f>
        <v>-6.8537398015625</v>
      </c>
      <c r="T46">
        <f t="shared" si="3"/>
        <v>70.186758749998262</v>
      </c>
      <c r="U46">
        <f>T46/(2*P46*R46)</f>
        <v>0.1159459787934751</v>
      </c>
      <c r="V46">
        <f>U46*16.02</f>
        <v>1.857454580271471</v>
      </c>
    </row>
    <row r="47" spans="5:23" x14ac:dyDescent="0.2">
      <c r="K47">
        <v>100000</v>
      </c>
      <c r="L47">
        <v>278.89469000000003</v>
      </c>
      <c r="M47">
        <v>-25151.640017999998</v>
      </c>
      <c r="N47">
        <v>57834.925091999998</v>
      </c>
      <c r="O47">
        <v>-0.397509</v>
      </c>
      <c r="P47">
        <v>24.012411</v>
      </c>
      <c r="Q47">
        <v>191.08037899999999</v>
      </c>
      <c r="R47">
        <v>12.604869000000001</v>
      </c>
      <c r="S47">
        <f>$E$41</f>
        <v>-6.8537398015625</v>
      </c>
      <c r="T47">
        <f t="shared" si="3"/>
        <v>70.122451750001346</v>
      </c>
      <c r="U47">
        <f>T47/(2*P47*R47)</f>
        <v>0.11583851780390118</v>
      </c>
      <c r="V47">
        <f>U47*16.02</f>
        <v>1.855733055218497</v>
      </c>
    </row>
    <row r="48" spans="5:23" x14ac:dyDescent="0.2">
      <c r="K48">
        <v>100000</v>
      </c>
      <c r="L48">
        <v>278.822498</v>
      </c>
      <c r="M48">
        <v>-25151.516833000001</v>
      </c>
      <c r="N48">
        <v>57834.761589000002</v>
      </c>
      <c r="O48">
        <v>-0.44277300000000003</v>
      </c>
      <c r="P48">
        <v>24.012556</v>
      </c>
      <c r="Q48">
        <v>191.07960499999999</v>
      </c>
      <c r="R48">
        <v>12.604808</v>
      </c>
      <c r="S48">
        <f>$E$41</f>
        <v>-6.8537398015625</v>
      </c>
      <c r="T48">
        <f t="shared" si="3"/>
        <v>70.245636749998084</v>
      </c>
      <c r="U48">
        <f>T48/(2*P48*R48)</f>
        <v>0.11604187364916825</v>
      </c>
      <c r="V48">
        <f>U48*16.02</f>
        <v>1.8589908158596753</v>
      </c>
    </row>
    <row r="49" spans="10:23" x14ac:dyDescent="0.2">
      <c r="V49" s="1">
        <f>AVERAGE(V44:V48)</f>
        <v>1.8554436837538311</v>
      </c>
      <c r="W49" s="1">
        <f>STDEV(V44:V48)</f>
        <v>2.9504705899549826E-3</v>
      </c>
    </row>
    <row r="50" spans="10:23" x14ac:dyDescent="0.2">
      <c r="J50" t="s">
        <v>17</v>
      </c>
      <c r="K50">
        <v>100000</v>
      </c>
      <c r="L50">
        <v>278.82535899999999</v>
      </c>
      <c r="M50">
        <v>-52055.208662999998</v>
      </c>
      <c r="N50">
        <v>119749.234125</v>
      </c>
      <c r="O50">
        <v>-0.187524</v>
      </c>
      <c r="P50">
        <v>28.203334999999999</v>
      </c>
      <c r="Q50">
        <v>168.460375</v>
      </c>
      <c r="R50">
        <v>25.204293</v>
      </c>
      <c r="S50">
        <f>$E$41</f>
        <v>-6.8537398015625</v>
      </c>
      <c r="T50">
        <f>M50-7616*S50</f>
        <v>142.87366570000449</v>
      </c>
      <c r="U50">
        <f>T50/(2*P50*R50)</f>
        <v>0.10049563674126855</v>
      </c>
      <c r="V50">
        <f>U50*16.02</f>
        <v>1.6099401005951222</v>
      </c>
    </row>
    <row r="51" spans="10:23" x14ac:dyDescent="0.2">
      <c r="K51">
        <v>100000</v>
      </c>
      <c r="L51">
        <v>278.82036199999999</v>
      </c>
      <c r="M51">
        <v>-52055.167602000001</v>
      </c>
      <c r="N51">
        <v>119748.93132800001</v>
      </c>
      <c r="O51">
        <v>-0.19297</v>
      </c>
      <c r="P51">
        <v>28.203455000000002</v>
      </c>
      <c r="Q51">
        <v>168.45822000000001</v>
      </c>
      <c r="R51">
        <v>25.204443999999999</v>
      </c>
      <c r="S51">
        <f>$E$41</f>
        <v>-6.8537398015625</v>
      </c>
      <c r="T51">
        <f>M51-7616*S51</f>
        <v>142.91472670000076</v>
      </c>
      <c r="U51">
        <f>T51/(2*P51*R51)</f>
        <v>0.10052348860814253</v>
      </c>
      <c r="V51">
        <f>U51*16.02</f>
        <v>1.6103862875024433</v>
      </c>
    </row>
    <row r="52" spans="10:23" x14ac:dyDescent="0.2">
      <c r="K52">
        <v>100000</v>
      </c>
      <c r="L52">
        <v>278.79549500000002</v>
      </c>
      <c r="M52">
        <v>-52055.232373999999</v>
      </c>
      <c r="N52">
        <v>119748.31995600001</v>
      </c>
      <c r="O52">
        <v>-0.17258799999999999</v>
      </c>
      <c r="P52">
        <v>28.203330999999999</v>
      </c>
      <c r="Q52">
        <v>168.458766</v>
      </c>
      <c r="R52">
        <v>25.204345</v>
      </c>
      <c r="S52">
        <f>$E$41</f>
        <v>-6.8537398015625</v>
      </c>
      <c r="T52">
        <f>M52-7616*S52</f>
        <v>142.84995470000285</v>
      </c>
      <c r="U52">
        <f>T52/(2*P52*R52)</f>
        <v>0.10047876565477903</v>
      </c>
      <c r="V52">
        <f>U52*16.02</f>
        <v>1.6096698257895601</v>
      </c>
    </row>
    <row r="53" spans="10:23" x14ac:dyDescent="0.2">
      <c r="K53">
        <v>100000</v>
      </c>
      <c r="L53">
        <v>278.81932799999998</v>
      </c>
      <c r="M53">
        <v>-52054.982457999999</v>
      </c>
      <c r="N53">
        <v>119749.16708299999</v>
      </c>
      <c r="O53">
        <v>-0.14674699999999999</v>
      </c>
      <c r="P53">
        <v>28.203544000000001</v>
      </c>
      <c r="Q53">
        <v>168.457922</v>
      </c>
      <c r="R53">
        <v>25.204459</v>
      </c>
      <c r="S53">
        <f>$E$41</f>
        <v>-6.8537398015625</v>
      </c>
      <c r="T53">
        <f>M53-7616*S53</f>
        <v>143.09987070000352</v>
      </c>
      <c r="U53">
        <f>T53/(2*P53*R53)</f>
        <v>0.10065333783266923</v>
      </c>
      <c r="V53">
        <f>U53*16.02</f>
        <v>1.6124664720793611</v>
      </c>
    </row>
    <row r="54" spans="10:23" x14ac:dyDescent="0.2">
      <c r="K54">
        <v>100000</v>
      </c>
      <c r="L54">
        <v>278.82929100000001</v>
      </c>
      <c r="M54">
        <v>-52054.93447</v>
      </c>
      <c r="N54">
        <v>119748.698103</v>
      </c>
      <c r="O54">
        <v>-0.166908</v>
      </c>
      <c r="P54">
        <v>28.203485000000001</v>
      </c>
      <c r="Q54">
        <v>168.45776799999999</v>
      </c>
      <c r="R54">
        <v>25.204436000000001</v>
      </c>
      <c r="S54">
        <f>$E$41</f>
        <v>-6.8537398015625</v>
      </c>
      <c r="T54">
        <f>M54-7616*S54</f>
        <v>143.14785870000196</v>
      </c>
      <c r="U54">
        <f>T54/(2*P54*R54)</f>
        <v>0.10068739406085993</v>
      </c>
      <c r="V54">
        <f>U54*16.02</f>
        <v>1.6130120528549761</v>
      </c>
    </row>
    <row r="55" spans="10:23" x14ac:dyDescent="0.2">
      <c r="V55" s="1">
        <f>AVERAGE(V50:V54)</f>
        <v>1.6110949477642926</v>
      </c>
      <c r="W55" s="1">
        <f>STDEV(V50:V54)</f>
        <v>1.5348627682369067E-3</v>
      </c>
    </row>
    <row r="56" spans="10:23" x14ac:dyDescent="0.2">
      <c r="J56" t="s">
        <v>173</v>
      </c>
      <c r="K56">
        <v>100000</v>
      </c>
      <c r="L56">
        <v>278.80614800000001</v>
      </c>
      <c r="M56">
        <v>-44345.877458000003</v>
      </c>
      <c r="N56">
        <v>101955.90921300001</v>
      </c>
      <c r="O56">
        <v>-0.27478399999999997</v>
      </c>
      <c r="P56">
        <v>36.779710999999999</v>
      </c>
      <c r="Q56">
        <v>219.95920699999999</v>
      </c>
      <c r="R56">
        <v>12.602653</v>
      </c>
      <c r="S56">
        <f>$E$41</f>
        <v>-6.8537398015625</v>
      </c>
      <c r="T56">
        <f>M56-6488*S56</f>
        <v>121.18637453749398</v>
      </c>
      <c r="U56">
        <f>T56/(2*P56*R56)</f>
        <v>0.13072345162283386</v>
      </c>
      <c r="V56">
        <f>U56*16.02</f>
        <v>2.0941896949977985</v>
      </c>
    </row>
    <row r="57" spans="10:23" x14ac:dyDescent="0.2">
      <c r="K57">
        <v>100000</v>
      </c>
      <c r="L57">
        <v>278.76575100000002</v>
      </c>
      <c r="M57">
        <v>-44355.224050999997</v>
      </c>
      <c r="N57">
        <v>101932.20335700001</v>
      </c>
      <c r="O57">
        <v>-0.21312600000000001</v>
      </c>
      <c r="P57">
        <v>36.783622999999999</v>
      </c>
      <c r="Q57">
        <v>219.87119300000001</v>
      </c>
      <c r="R57">
        <v>12.603425</v>
      </c>
      <c r="S57">
        <f>$E$41</f>
        <v>-6.8537398015625</v>
      </c>
      <c r="T57">
        <f t="shared" ref="T57:T60" si="4">M57-6488*S57</f>
        <v>111.83978153749922</v>
      </c>
      <c r="U57">
        <f>T57/(2*P57*R57)</f>
        <v>0.12062108488178291</v>
      </c>
      <c r="V57">
        <f>U57*16.02</f>
        <v>1.9323497798061622</v>
      </c>
    </row>
    <row r="58" spans="10:23" x14ac:dyDescent="0.2">
      <c r="K58">
        <v>100000</v>
      </c>
      <c r="L58">
        <v>278.80724500000002</v>
      </c>
      <c r="M58">
        <v>-44355.594097000001</v>
      </c>
      <c r="N58">
        <v>101931.433943</v>
      </c>
      <c r="O58">
        <v>-0.23482700000000001</v>
      </c>
      <c r="P58">
        <v>36.783853999999998</v>
      </c>
      <c r="Q58">
        <v>219.86595800000001</v>
      </c>
      <c r="R58">
        <v>12.603551</v>
      </c>
      <c r="S58">
        <f>$E$41</f>
        <v>-6.8537398015625</v>
      </c>
      <c r="T58">
        <f t="shared" si="4"/>
        <v>111.46973553749558</v>
      </c>
      <c r="U58">
        <f>T58/(2*P58*R58)</f>
        <v>0.12022002718963691</v>
      </c>
      <c r="V58">
        <f>U58*16.02</f>
        <v>1.9259248355779832</v>
      </c>
    </row>
    <row r="59" spans="10:23" x14ac:dyDescent="0.2">
      <c r="K59">
        <v>100000</v>
      </c>
      <c r="L59">
        <v>278.74175500000001</v>
      </c>
      <c r="M59">
        <v>-44354.987191</v>
      </c>
      <c r="N59">
        <v>101933.10249600001</v>
      </c>
      <c r="O59">
        <v>-0.23080200000000001</v>
      </c>
      <c r="P59">
        <v>36.782420000000002</v>
      </c>
      <c r="Q59">
        <v>219.87915000000001</v>
      </c>
      <c r="R59">
        <v>12.603491999999999</v>
      </c>
      <c r="S59">
        <f>$E$41</f>
        <v>-6.8537398015625</v>
      </c>
      <c r="T59">
        <f t="shared" si="4"/>
        <v>112.07664153749647</v>
      </c>
      <c r="U59">
        <f>T59/(2*P59*R59)</f>
        <v>0.12087985314427865</v>
      </c>
      <c r="V59">
        <f>U59*16.02</f>
        <v>1.9364952473713439</v>
      </c>
    </row>
    <row r="60" spans="10:23" x14ac:dyDescent="0.2">
      <c r="K60">
        <v>100000</v>
      </c>
      <c r="L60">
        <v>278.855144</v>
      </c>
      <c r="M60">
        <v>-44345.994475</v>
      </c>
      <c r="N60">
        <v>101958.465734</v>
      </c>
      <c r="O60">
        <v>-0.15978600000000001</v>
      </c>
      <c r="P60">
        <v>36.779072999999997</v>
      </c>
      <c r="Q60">
        <v>219.968716</v>
      </c>
      <c r="R60">
        <v>12.602641999999999</v>
      </c>
      <c r="S60">
        <f>$E$41</f>
        <v>-6.8537398015625</v>
      </c>
      <c r="T60">
        <f t="shared" si="4"/>
        <v>121.06935753749713</v>
      </c>
      <c r="U60">
        <f>T60/(2*P60*R60)</f>
        <v>0.13059960510376845</v>
      </c>
      <c r="V60">
        <f>U60*16.02</f>
        <v>2.0922056737623707</v>
      </c>
    </row>
    <row r="61" spans="10:23" x14ac:dyDescent="0.2">
      <c r="V61" s="1">
        <f>AVERAGE(V56:V60)</f>
        <v>1.9962330463031317</v>
      </c>
      <c r="W61" s="1">
        <f>STDEV(V56:V60)</f>
        <v>8.8599056287058789E-2</v>
      </c>
    </row>
    <row r="62" spans="10:23" x14ac:dyDescent="0.2">
      <c r="J62" t="s">
        <v>174</v>
      </c>
      <c r="K62">
        <v>100000</v>
      </c>
      <c r="L62">
        <v>278.81317000000001</v>
      </c>
      <c r="M62">
        <v>-22526.595453999998</v>
      </c>
      <c r="N62">
        <v>51807.235789999999</v>
      </c>
      <c r="O62">
        <v>-0.426068</v>
      </c>
      <c r="P62">
        <v>22.740801999999999</v>
      </c>
      <c r="Q62">
        <v>180.759623</v>
      </c>
      <c r="R62">
        <v>12.60327</v>
      </c>
      <c r="S62">
        <f>$E$41</f>
        <v>-6.8537398015625</v>
      </c>
      <c r="T62">
        <f>M62-3296*S62</f>
        <v>63.330931950000377</v>
      </c>
      <c r="U62">
        <f>T62/(2*P62*R62)</f>
        <v>0.11048335814245111</v>
      </c>
      <c r="V62">
        <f>U62*16.02</f>
        <v>1.7699433974420666</v>
      </c>
    </row>
    <row r="63" spans="10:23" x14ac:dyDescent="0.2">
      <c r="K63">
        <v>100000</v>
      </c>
      <c r="L63">
        <v>278.784423</v>
      </c>
      <c r="M63">
        <v>-22526.677223999999</v>
      </c>
      <c r="N63">
        <v>51808.344048999999</v>
      </c>
      <c r="O63">
        <v>-0.40989100000000001</v>
      </c>
      <c r="P63">
        <v>22.740248999999999</v>
      </c>
      <c r="Q63">
        <v>180.76630700000001</v>
      </c>
      <c r="R63">
        <v>12.60338</v>
      </c>
      <c r="S63">
        <f>$E$41</f>
        <v>-6.8537398015625</v>
      </c>
      <c r="T63">
        <f t="shared" ref="T63:T66" si="5">M63-3296*S63</f>
        <v>63.249161949999689</v>
      </c>
      <c r="U63">
        <f>T63/(2*P63*R63)</f>
        <v>0.11034242730950319</v>
      </c>
      <c r="V63">
        <f>U63*16.02</f>
        <v>1.767685685498241</v>
      </c>
    </row>
    <row r="64" spans="10:23" x14ac:dyDescent="0.2">
      <c r="K64">
        <v>100000</v>
      </c>
      <c r="L64">
        <v>278.91839599999997</v>
      </c>
      <c r="M64">
        <v>-22526.709139999999</v>
      </c>
      <c r="N64">
        <v>51808.036675000003</v>
      </c>
      <c r="O64">
        <v>-0.45307399999999998</v>
      </c>
      <c r="P64">
        <v>22.740300000000001</v>
      </c>
      <c r="Q64">
        <v>180.76376999999999</v>
      </c>
      <c r="R64">
        <v>12.603453999999999</v>
      </c>
      <c r="S64">
        <f>$E$41</f>
        <v>-6.8537398015625</v>
      </c>
      <c r="T64">
        <f t="shared" si="5"/>
        <v>63.217245949999779</v>
      </c>
      <c r="U64">
        <f>T64/(2*P64*R64)</f>
        <v>0.11028585281716646</v>
      </c>
      <c r="V64">
        <f>U64*16.02</f>
        <v>1.7667793621310066</v>
      </c>
    </row>
    <row r="65" spans="10:23" x14ac:dyDescent="0.2">
      <c r="K65">
        <v>100000</v>
      </c>
      <c r="L65">
        <v>278.86345999999998</v>
      </c>
      <c r="M65">
        <v>-22526.690692</v>
      </c>
      <c r="N65">
        <v>51808.653964999998</v>
      </c>
      <c r="O65">
        <v>-0.45753899999999997</v>
      </c>
      <c r="P65">
        <v>22.740603</v>
      </c>
      <c r="Q65">
        <v>180.765602</v>
      </c>
      <c r="R65">
        <v>12.603308</v>
      </c>
      <c r="S65">
        <f>$E$41</f>
        <v>-6.8537398015625</v>
      </c>
      <c r="T65">
        <f t="shared" si="5"/>
        <v>63.235693949998677</v>
      </c>
      <c r="U65">
        <f>T65/(2*P65*R65)</f>
        <v>0.11031784437369284</v>
      </c>
      <c r="V65">
        <f>U65*16.02</f>
        <v>1.7672918668665591</v>
      </c>
    </row>
    <row r="66" spans="10:23" x14ac:dyDescent="0.2">
      <c r="K66">
        <v>100000</v>
      </c>
      <c r="L66">
        <v>278.74936000000002</v>
      </c>
      <c r="M66">
        <v>-22526.666471</v>
      </c>
      <c r="N66">
        <v>51808.303924</v>
      </c>
      <c r="O66">
        <v>-0.45214799999999999</v>
      </c>
      <c r="P66">
        <v>22.740586</v>
      </c>
      <c r="Q66">
        <v>180.764375</v>
      </c>
      <c r="R66">
        <v>12.603319000000001</v>
      </c>
      <c r="S66">
        <f>$E$41</f>
        <v>-6.8537398015625</v>
      </c>
      <c r="T66">
        <f t="shared" si="5"/>
        <v>63.259914949998347</v>
      </c>
      <c r="U66">
        <f>T66/(2*P66*R66)</f>
        <v>0.11036008530500173</v>
      </c>
      <c r="V66">
        <f>U66*16.02</f>
        <v>1.7679685665861276</v>
      </c>
    </row>
    <row r="67" spans="10:23" x14ac:dyDescent="0.2">
      <c r="V67" s="1">
        <f>AVERAGE(V62:V66)</f>
        <v>1.7679337757048004</v>
      </c>
      <c r="W67" s="1">
        <f>STDEV(V62:V66)</f>
        <v>1.2089309677230061E-3</v>
      </c>
    </row>
    <row r="68" spans="10:23" x14ac:dyDescent="0.2">
      <c r="J68" t="s">
        <v>175</v>
      </c>
      <c r="K68">
        <v>100000</v>
      </c>
      <c r="L68">
        <v>278.88991600000003</v>
      </c>
      <c r="M68">
        <v>-32482.200442000001</v>
      </c>
      <c r="N68">
        <v>74673.735629000003</v>
      </c>
      <c r="O68">
        <v>-0.33287299999999997</v>
      </c>
      <c r="P68">
        <v>31.542842</v>
      </c>
      <c r="Q68">
        <v>187.822475</v>
      </c>
      <c r="R68">
        <v>12.604323000000001</v>
      </c>
      <c r="S68">
        <f>$E$41</f>
        <v>-6.8537398015625</v>
      </c>
      <c r="T68">
        <f>M68-4752*S68</f>
        <v>86.77109502500025</v>
      </c>
      <c r="U68">
        <f>T68/(2*P68*R68)</f>
        <v>0.10912512093440287</v>
      </c>
      <c r="V68">
        <f>U68*16.02</f>
        <v>1.748184437369134</v>
      </c>
    </row>
    <row r="69" spans="10:23" x14ac:dyDescent="0.2">
      <c r="K69">
        <v>100000</v>
      </c>
      <c r="L69">
        <v>278.754907</v>
      </c>
      <c r="M69">
        <v>-32482.045698999998</v>
      </c>
      <c r="N69">
        <v>74674.339118999997</v>
      </c>
      <c r="O69">
        <v>-0.31086599999999998</v>
      </c>
      <c r="P69">
        <v>31.542918</v>
      </c>
      <c r="Q69">
        <v>187.82549800000001</v>
      </c>
      <c r="R69">
        <v>12.604191</v>
      </c>
      <c r="S69">
        <f>$E$41</f>
        <v>-6.8537398015625</v>
      </c>
      <c r="T69">
        <f t="shared" ref="T69:T72" si="6">M69-4752*S69</f>
        <v>86.925838025003031</v>
      </c>
      <c r="U69">
        <f>T69/(2*P69*R69)</f>
        <v>0.10932061040073639</v>
      </c>
      <c r="V69">
        <f>U69*16.02</f>
        <v>1.7513161786197968</v>
      </c>
    </row>
    <row r="70" spans="10:23" x14ac:dyDescent="0.2">
      <c r="K70">
        <v>100000</v>
      </c>
      <c r="L70">
        <v>278.74343299999998</v>
      </c>
      <c r="M70">
        <v>-32481.988674</v>
      </c>
      <c r="N70">
        <v>74673.672177999993</v>
      </c>
      <c r="O70">
        <v>-0.201099</v>
      </c>
      <c r="P70">
        <v>31.543195999999998</v>
      </c>
      <c r="Q70">
        <v>187.82111699999999</v>
      </c>
      <c r="R70">
        <v>12.604260999999999</v>
      </c>
      <c r="S70">
        <f>$E$41</f>
        <v>-6.8537398015625</v>
      </c>
      <c r="T70">
        <f t="shared" si="6"/>
        <v>86.982863025001279</v>
      </c>
      <c r="U70">
        <f>T70/(2*P70*R70)</f>
        <v>0.10939075516361596</v>
      </c>
      <c r="V70">
        <f>U70*16.02</f>
        <v>1.7524398977211277</v>
      </c>
    </row>
    <row r="71" spans="10:23" x14ac:dyDescent="0.2">
      <c r="K71">
        <v>100000</v>
      </c>
      <c r="L71">
        <v>278.841882</v>
      </c>
      <c r="M71">
        <v>-32481.927540000001</v>
      </c>
      <c r="N71">
        <v>74674.796375000005</v>
      </c>
      <c r="O71">
        <v>-0.32997700000000002</v>
      </c>
      <c r="P71">
        <v>31.542911</v>
      </c>
      <c r="Q71">
        <v>187.824375</v>
      </c>
      <c r="R71">
        <v>12.604347000000001</v>
      </c>
      <c r="S71">
        <f>$E$41</f>
        <v>-6.8537398015625</v>
      </c>
      <c r="T71">
        <f t="shared" si="6"/>
        <v>87.043997025000863</v>
      </c>
      <c r="U71">
        <f>T71/(2*P71*R71)</f>
        <v>0.10946788022476202</v>
      </c>
      <c r="V71">
        <f>U71*16.02</f>
        <v>1.7536754412006874</v>
      </c>
    </row>
    <row r="72" spans="10:23" x14ac:dyDescent="0.2">
      <c r="K72">
        <v>100000</v>
      </c>
      <c r="L72">
        <v>278.85359799999998</v>
      </c>
      <c r="M72">
        <v>-32482.297092000001</v>
      </c>
      <c r="N72">
        <v>74672.956619000004</v>
      </c>
      <c r="O72">
        <v>-0.22989599999999999</v>
      </c>
      <c r="P72">
        <v>31.543016999999999</v>
      </c>
      <c r="Q72">
        <v>187.82036600000001</v>
      </c>
      <c r="R72">
        <v>12.604263</v>
      </c>
      <c r="S72">
        <f>$E$41</f>
        <v>-6.8537398015625</v>
      </c>
      <c r="T72">
        <f t="shared" si="6"/>
        <v>86.67444502500075</v>
      </c>
      <c r="U72">
        <f>T72/(2*P72*R72)</f>
        <v>0.10900348603522216</v>
      </c>
      <c r="V72">
        <f>U72*16.02</f>
        <v>1.7462358462842589</v>
      </c>
    </row>
    <row r="73" spans="10:23" x14ac:dyDescent="0.2">
      <c r="V73" s="1">
        <f>AVERAGE(V68:V72)</f>
        <v>1.7503703602390011</v>
      </c>
      <c r="W73" s="1">
        <f>STDEV(V68:V72)</f>
        <v>3.0811354399655059E-3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ADP500</vt:lpstr>
      <vt:lpstr>ADP600</vt:lpstr>
      <vt:lpstr>ADP800</vt:lpstr>
      <vt:lpstr>ADP1000</vt:lpstr>
      <vt:lpstr>ADP1200</vt:lpstr>
      <vt:lpstr>U5MoADP</vt:lpstr>
      <vt:lpstr>U10MoADP</vt:lpstr>
      <vt:lpstr>U15MoADP</vt:lpstr>
      <vt:lpstr>bccMo300</vt:lpstr>
      <vt:lpstr>U50MoADP</vt:lpstr>
      <vt:lpstr>ADP swelling 500K</vt:lpstr>
      <vt:lpstr>atom swap</vt:lpstr>
      <vt:lpstr>summary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2017-06-08T21:04:26Z</dcterms:created>
  <dcterms:modified xsi:type="dcterms:W3CDTF">2018-12-12T16:31:04Z</dcterms:modified>
</cp:coreProperties>
</file>