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6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Documents/USHPRR/"/>
    </mc:Choice>
  </mc:AlternateContent>
  <xr:revisionPtr revIDLastSave="0" documentId="12_ncr:500000_{8297AA3D-3573-DE4D-BE3B-16EE85DC8AB5}" xr6:coauthVersionLast="31" xr6:coauthVersionMax="31" xr10:uidLastSave="{00000000-0000-0000-0000-000000000000}"/>
  <bookViews>
    <workbookView xWindow="-39940" yWindow="3060" windowWidth="35720" windowHeight="19420" xr2:uid="{00000000-000D-0000-FFFF-FFFF00000000}"/>
  </bookViews>
  <sheets>
    <sheet name="summary (2)" sheetId="9" r:id="rId1"/>
    <sheet name="300K" sheetId="1" r:id="rId2"/>
    <sheet name="600K" sheetId="2" r:id="rId3"/>
    <sheet name="800K" sheetId="4" r:id="rId4"/>
    <sheet name="1000K" sheetId="5" r:id="rId5"/>
    <sheet name="1200K" sheetId="6" r:id="rId6"/>
    <sheet name="Sheet1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9" l="1"/>
  <c r="E19" i="9"/>
  <c r="F19" i="9"/>
  <c r="G19" i="9"/>
  <c r="D20" i="9"/>
  <c r="E20" i="9"/>
  <c r="F20" i="9"/>
  <c r="G20" i="9"/>
  <c r="D21" i="9"/>
  <c r="E21" i="9"/>
  <c r="F21" i="9"/>
  <c r="G21" i="9"/>
  <c r="D22" i="9"/>
  <c r="E22" i="9"/>
  <c r="F22" i="9"/>
  <c r="G22" i="9"/>
  <c r="AB288" i="5" l="1"/>
  <c r="AA288" i="5"/>
  <c r="AB287" i="5"/>
  <c r="AA287" i="5"/>
  <c r="AB286" i="5"/>
  <c r="AA286" i="5"/>
  <c r="AB285" i="5"/>
  <c r="AA285" i="5"/>
  <c r="AB284" i="5"/>
  <c r="AC288" i="5" s="1"/>
  <c r="AA284" i="5"/>
  <c r="AB282" i="5"/>
  <c r="AA282" i="5"/>
  <c r="AB281" i="5"/>
  <c r="AA281" i="5"/>
  <c r="AB280" i="5"/>
  <c r="AA280" i="5"/>
  <c r="AB279" i="5"/>
  <c r="AA279" i="5"/>
  <c r="AB278" i="5"/>
  <c r="AC282" i="5" s="1"/>
  <c r="AA278" i="5"/>
  <c r="AB276" i="5"/>
  <c r="AC276" i="5" s="1"/>
  <c r="AA276" i="5"/>
  <c r="AB275" i="5"/>
  <c r="AA275" i="5"/>
  <c r="AB274" i="5"/>
  <c r="AA274" i="5"/>
  <c r="AB273" i="5"/>
  <c r="AA273" i="5"/>
  <c r="AB272" i="5"/>
  <c r="AA272" i="5"/>
  <c r="AB270" i="5"/>
  <c r="AA270" i="5"/>
  <c r="AB269" i="5"/>
  <c r="AA269" i="5"/>
  <c r="AB268" i="5"/>
  <c r="AA268" i="5"/>
  <c r="AB267" i="5"/>
  <c r="AA267" i="5"/>
  <c r="AB266" i="5"/>
  <c r="AC270" i="5" s="1"/>
  <c r="AA266" i="5"/>
  <c r="AB264" i="5"/>
  <c r="AA264" i="5"/>
  <c r="AB263" i="5"/>
  <c r="AC264" i="5" s="1"/>
  <c r="AA263" i="5"/>
  <c r="AB262" i="5"/>
  <c r="AA262" i="5"/>
  <c r="AB261" i="5"/>
  <c r="AA261" i="5"/>
  <c r="AB260" i="5"/>
  <c r="AA260" i="5"/>
  <c r="AB258" i="5"/>
  <c r="AA258" i="5"/>
  <c r="AB257" i="5"/>
  <c r="AA257" i="5"/>
  <c r="AB256" i="5"/>
  <c r="AA256" i="5"/>
  <c r="AB255" i="5"/>
  <c r="AA255" i="5"/>
  <c r="AB254" i="5"/>
  <c r="AC258" i="5" s="1"/>
  <c r="AA254" i="5"/>
  <c r="AB252" i="5"/>
  <c r="AA252" i="5"/>
  <c r="AB251" i="5"/>
  <c r="AA251" i="5"/>
  <c r="AB250" i="5"/>
  <c r="AC252" i="5" s="1"/>
  <c r="AA250" i="5"/>
  <c r="AB249" i="5"/>
  <c r="AA249" i="5"/>
  <c r="AB248" i="5"/>
  <c r="AA248" i="5"/>
  <c r="AB246" i="5"/>
  <c r="AA246" i="5"/>
  <c r="AB245" i="5"/>
  <c r="AA245" i="5"/>
  <c r="AB244" i="5"/>
  <c r="AA244" i="5"/>
  <c r="AB243" i="5"/>
  <c r="AA243" i="5"/>
  <c r="AB242" i="5"/>
  <c r="AC246" i="5" s="1"/>
  <c r="AA242" i="5"/>
  <c r="AB240" i="5"/>
  <c r="AA240" i="5"/>
  <c r="AB239" i="5"/>
  <c r="AA239" i="5"/>
  <c r="AB238" i="5"/>
  <c r="AA238" i="5"/>
  <c r="AB237" i="5"/>
  <c r="AC240" i="5" s="1"/>
  <c r="AA237" i="5"/>
  <c r="AB236" i="5"/>
  <c r="AA236" i="5"/>
  <c r="AB234" i="5"/>
  <c r="AA234" i="5"/>
  <c r="AB233" i="5"/>
  <c r="AA233" i="5"/>
  <c r="AB232" i="5"/>
  <c r="AA232" i="5"/>
  <c r="AB231" i="5"/>
  <c r="AA231" i="5"/>
  <c r="AB230" i="5"/>
  <c r="AC234" i="5" s="1"/>
  <c r="AA230" i="5"/>
  <c r="AB225" i="5"/>
  <c r="AA225" i="5"/>
  <c r="AB224" i="5"/>
  <c r="AA224" i="5"/>
  <c r="AB223" i="5"/>
  <c r="AA223" i="5"/>
  <c r="AB222" i="5"/>
  <c r="AA222" i="5"/>
  <c r="AB221" i="5"/>
  <c r="AC225" i="5" s="1"/>
  <c r="AA221" i="5"/>
  <c r="AB219" i="5"/>
  <c r="AA219" i="5"/>
  <c r="AB218" i="5"/>
  <c r="AA218" i="5"/>
  <c r="AB217" i="5"/>
  <c r="AA217" i="5"/>
  <c r="AB216" i="5"/>
  <c r="AA216" i="5"/>
  <c r="AB215" i="5"/>
  <c r="AC219" i="5" s="1"/>
  <c r="AA215" i="5"/>
  <c r="AB213" i="5"/>
  <c r="AC213" i="5" s="1"/>
  <c r="AA213" i="5"/>
  <c r="AB212" i="5"/>
  <c r="AA212" i="5"/>
  <c r="AB211" i="5"/>
  <c r="AA211" i="5"/>
  <c r="AB210" i="5"/>
  <c r="AA210" i="5"/>
  <c r="AB209" i="5"/>
  <c r="AA209" i="5"/>
  <c r="AB207" i="5"/>
  <c r="AA207" i="5"/>
  <c r="AB206" i="5"/>
  <c r="AA206" i="5"/>
  <c r="AB205" i="5"/>
  <c r="AA205" i="5"/>
  <c r="AB204" i="5"/>
  <c r="AA204" i="5"/>
  <c r="AB203" i="5"/>
  <c r="AC207" i="5" s="1"/>
  <c r="AA203" i="5"/>
  <c r="AB201" i="5"/>
  <c r="AA201" i="5"/>
  <c r="AB200" i="5"/>
  <c r="AC201" i="5" s="1"/>
  <c r="AA200" i="5"/>
  <c r="AB199" i="5"/>
  <c r="AA199" i="5"/>
  <c r="AB198" i="5"/>
  <c r="AA198" i="5"/>
  <c r="AB197" i="5"/>
  <c r="AA197" i="5"/>
  <c r="AB195" i="5"/>
  <c r="AA195" i="5"/>
  <c r="AB194" i="5"/>
  <c r="AA194" i="5"/>
  <c r="AB193" i="5"/>
  <c r="AA193" i="5"/>
  <c r="AB192" i="5"/>
  <c r="AA192" i="5"/>
  <c r="AB191" i="5"/>
  <c r="AC195" i="5" s="1"/>
  <c r="AA191" i="5"/>
  <c r="AB189" i="5"/>
  <c r="AA189" i="5"/>
  <c r="AB188" i="5"/>
  <c r="AA188" i="5"/>
  <c r="AB187" i="5"/>
  <c r="AC189" i="5" s="1"/>
  <c r="AA187" i="5"/>
  <c r="AB186" i="5"/>
  <c r="AA186" i="5"/>
  <c r="AB185" i="5"/>
  <c r="AA185" i="5"/>
  <c r="AB183" i="5"/>
  <c r="AA183" i="5"/>
  <c r="AB182" i="5"/>
  <c r="AA182" i="5"/>
  <c r="AB181" i="5"/>
  <c r="AA181" i="5"/>
  <c r="AB180" i="5"/>
  <c r="AA180" i="5"/>
  <c r="AB179" i="5"/>
  <c r="AC183" i="5" s="1"/>
  <c r="AA179" i="5"/>
  <c r="AB177" i="5"/>
  <c r="AA177" i="5"/>
  <c r="AB176" i="5"/>
  <c r="AA176" i="5"/>
  <c r="AB175" i="5"/>
  <c r="AA175" i="5"/>
  <c r="AB174" i="5"/>
  <c r="AC177" i="5" s="1"/>
  <c r="AA174" i="5"/>
  <c r="AB173" i="5"/>
  <c r="AA173" i="5"/>
  <c r="AB171" i="5"/>
  <c r="AA171" i="5"/>
  <c r="AB170" i="5"/>
  <c r="AA170" i="5"/>
  <c r="AB169" i="5"/>
  <c r="AA169" i="5"/>
  <c r="AB168" i="5"/>
  <c r="AA168" i="5"/>
  <c r="AB167" i="5"/>
  <c r="AC171" i="5" s="1"/>
  <c r="AA167" i="5"/>
  <c r="D21" i="5" l="1"/>
  <c r="D22" i="5"/>
  <c r="D20" i="5"/>
  <c r="E14" i="5"/>
  <c r="E13" i="5"/>
  <c r="E12" i="5"/>
  <c r="E11" i="5"/>
  <c r="E10" i="5"/>
  <c r="E9" i="5"/>
  <c r="E8" i="5"/>
  <c r="D6" i="5"/>
  <c r="E6" i="5"/>
  <c r="D7" i="5"/>
  <c r="E7" i="5"/>
  <c r="D5" i="5"/>
  <c r="D15" i="5" s="1"/>
  <c r="E5" i="5"/>
  <c r="M286" i="6" l="1"/>
  <c r="M285" i="6"/>
  <c r="M284" i="6"/>
  <c r="M283" i="6"/>
  <c r="M282" i="6"/>
  <c r="M280" i="6"/>
  <c r="M279" i="6"/>
  <c r="M278" i="6"/>
  <c r="M277" i="6"/>
  <c r="M276" i="6"/>
  <c r="M274" i="6"/>
  <c r="M273" i="6"/>
  <c r="M272" i="6"/>
  <c r="M271" i="6"/>
  <c r="M270" i="6"/>
  <c r="M268" i="6"/>
  <c r="M267" i="6"/>
  <c r="M266" i="6"/>
  <c r="M265" i="6"/>
  <c r="N265" i="6" s="1"/>
  <c r="M264" i="6"/>
  <c r="M262" i="6"/>
  <c r="M261" i="6"/>
  <c r="M260" i="6"/>
  <c r="M259" i="6"/>
  <c r="M258" i="6"/>
  <c r="M256" i="6"/>
  <c r="M255" i="6"/>
  <c r="N255" i="6" s="1"/>
  <c r="M254" i="6"/>
  <c r="M253" i="6"/>
  <c r="M252" i="6"/>
  <c r="M250" i="6"/>
  <c r="M249" i="6"/>
  <c r="M248" i="6"/>
  <c r="M247" i="6"/>
  <c r="M246" i="6"/>
  <c r="M244" i="6"/>
  <c r="M243" i="6"/>
  <c r="M242" i="6"/>
  <c r="M241" i="6"/>
  <c r="M240" i="6"/>
  <c r="N240" i="6" s="1"/>
  <c r="M238" i="6"/>
  <c r="M237" i="6"/>
  <c r="M236" i="6"/>
  <c r="N236" i="6" s="1"/>
  <c r="M235" i="6"/>
  <c r="M234" i="6"/>
  <c r="N234" i="6" s="1"/>
  <c r="M232" i="6"/>
  <c r="M231" i="6"/>
  <c r="M230" i="6"/>
  <c r="M229" i="6"/>
  <c r="N229" i="6" s="1"/>
  <c r="M228" i="6"/>
  <c r="N286" i="6"/>
  <c r="N285" i="6"/>
  <c r="N284" i="6"/>
  <c r="N283" i="6"/>
  <c r="N282" i="6"/>
  <c r="N280" i="6"/>
  <c r="N279" i="6"/>
  <c r="N278" i="6"/>
  <c r="N277" i="6"/>
  <c r="N276" i="6"/>
  <c r="N272" i="6"/>
  <c r="N271" i="6"/>
  <c r="N270" i="6"/>
  <c r="N268" i="6"/>
  <c r="N267" i="6"/>
  <c r="N266" i="6"/>
  <c r="N264" i="6"/>
  <c r="N262" i="6"/>
  <c r="N261" i="6"/>
  <c r="N260" i="6"/>
  <c r="N259" i="6"/>
  <c r="N258" i="6"/>
  <c r="N256" i="6"/>
  <c r="N254" i="6"/>
  <c r="N253" i="6"/>
  <c r="N252" i="6"/>
  <c r="N250" i="6"/>
  <c r="N249" i="6"/>
  <c r="N248" i="6"/>
  <c r="N247" i="6"/>
  <c r="N246" i="6"/>
  <c r="N244" i="6"/>
  <c r="N243" i="6"/>
  <c r="N242" i="6"/>
  <c r="N241" i="6"/>
  <c r="N238" i="6"/>
  <c r="N237" i="6"/>
  <c r="N235" i="6"/>
  <c r="N230" i="6"/>
  <c r="N231" i="6"/>
  <c r="N232" i="6"/>
  <c r="N228" i="6"/>
  <c r="W26" i="6"/>
  <c r="W25" i="6"/>
  <c r="W24" i="6"/>
  <c r="W23" i="6"/>
  <c r="W22" i="6"/>
  <c r="W21" i="6"/>
  <c r="W20" i="6"/>
  <c r="W19" i="6"/>
  <c r="W18" i="6"/>
  <c r="W17" i="6"/>
  <c r="M162" i="6"/>
  <c r="M161" i="6"/>
  <c r="M160" i="6"/>
  <c r="M159" i="6"/>
  <c r="M158" i="6"/>
  <c r="M156" i="6"/>
  <c r="M155" i="6"/>
  <c r="M154" i="6"/>
  <c r="M153" i="6"/>
  <c r="M152" i="6"/>
  <c r="M150" i="6"/>
  <c r="M149" i="6"/>
  <c r="M148" i="6"/>
  <c r="M147" i="6"/>
  <c r="M146" i="6"/>
  <c r="M144" i="6"/>
  <c r="M143" i="6"/>
  <c r="M142" i="6"/>
  <c r="M141" i="6"/>
  <c r="M140" i="6"/>
  <c r="M138" i="6"/>
  <c r="M137" i="6"/>
  <c r="M136" i="6"/>
  <c r="M135" i="6"/>
  <c r="M134" i="6"/>
  <c r="M132" i="6"/>
  <c r="M131" i="6"/>
  <c r="M130" i="6"/>
  <c r="M129" i="6"/>
  <c r="M128" i="6"/>
  <c r="M126" i="6"/>
  <c r="M125" i="6"/>
  <c r="M124" i="6"/>
  <c r="M123" i="6"/>
  <c r="M122" i="6"/>
  <c r="M120" i="6"/>
  <c r="M119" i="6"/>
  <c r="M118" i="6"/>
  <c r="M117" i="6"/>
  <c r="M116" i="6"/>
  <c r="M114" i="6"/>
  <c r="M113" i="6"/>
  <c r="M112" i="6"/>
  <c r="M111" i="6"/>
  <c r="M110" i="6"/>
  <c r="M108" i="6"/>
  <c r="M107" i="6"/>
  <c r="M106" i="6"/>
  <c r="M105" i="6"/>
  <c r="M104" i="6"/>
  <c r="M288" i="5"/>
  <c r="O288" i="5" s="1"/>
  <c r="M287" i="5"/>
  <c r="O287" i="5" s="1"/>
  <c r="M286" i="5"/>
  <c r="O286" i="5" s="1"/>
  <c r="M285" i="5"/>
  <c r="O285" i="5" s="1"/>
  <c r="M284" i="5"/>
  <c r="O284" i="5" s="1"/>
  <c r="M282" i="5"/>
  <c r="O282" i="5" s="1"/>
  <c r="M281" i="5"/>
  <c r="O281" i="5" s="1"/>
  <c r="M280" i="5"/>
  <c r="O280" i="5" s="1"/>
  <c r="M279" i="5"/>
  <c r="O279" i="5" s="1"/>
  <c r="M278" i="5"/>
  <c r="O278" i="5" s="1"/>
  <c r="M276" i="5"/>
  <c r="O276" i="5" s="1"/>
  <c r="M275" i="5"/>
  <c r="O275" i="5" s="1"/>
  <c r="M274" i="5"/>
  <c r="O274" i="5" s="1"/>
  <c r="M273" i="5"/>
  <c r="O273" i="5" s="1"/>
  <c r="M272" i="5"/>
  <c r="O272" i="5" s="1"/>
  <c r="M270" i="5"/>
  <c r="O270" i="5" s="1"/>
  <c r="M269" i="5"/>
  <c r="O269" i="5" s="1"/>
  <c r="M268" i="5"/>
  <c r="O268" i="5" s="1"/>
  <c r="M267" i="5"/>
  <c r="O267" i="5" s="1"/>
  <c r="M266" i="5"/>
  <c r="O266" i="5" s="1"/>
  <c r="M258" i="5"/>
  <c r="M257" i="5"/>
  <c r="M256" i="5"/>
  <c r="M255" i="5"/>
  <c r="M254" i="5"/>
  <c r="O254" i="5" s="1"/>
  <c r="M264" i="5"/>
  <c r="O264" i="5" s="1"/>
  <c r="M263" i="5"/>
  <c r="M262" i="5"/>
  <c r="M261" i="5"/>
  <c r="M260" i="5"/>
  <c r="M252" i="5"/>
  <c r="O252" i="5" s="1"/>
  <c r="M251" i="5"/>
  <c r="O251" i="5" s="1"/>
  <c r="M250" i="5"/>
  <c r="O250" i="5" s="1"/>
  <c r="M249" i="5"/>
  <c r="O249" i="5" s="1"/>
  <c r="M248" i="5"/>
  <c r="O248" i="5" s="1"/>
  <c r="M246" i="5"/>
  <c r="O246" i="5" s="1"/>
  <c r="M245" i="5"/>
  <c r="O245" i="5" s="1"/>
  <c r="M244" i="5"/>
  <c r="O244" i="5" s="1"/>
  <c r="M243" i="5"/>
  <c r="O243" i="5" s="1"/>
  <c r="M242" i="5"/>
  <c r="O242" i="5" s="1"/>
  <c r="N282" i="5"/>
  <c r="P282" i="5" s="1"/>
  <c r="N281" i="5"/>
  <c r="P281" i="5" s="1"/>
  <c r="N280" i="5"/>
  <c r="P280" i="5" s="1"/>
  <c r="N279" i="5"/>
  <c r="P279" i="5" s="1"/>
  <c r="N278" i="5"/>
  <c r="P278" i="5" s="1"/>
  <c r="M240" i="5"/>
  <c r="M239" i="5"/>
  <c r="M238" i="5"/>
  <c r="M237" i="5"/>
  <c r="O237" i="5" s="1"/>
  <c r="M236" i="5"/>
  <c r="O236" i="5" s="1"/>
  <c r="M234" i="5"/>
  <c r="M233" i="5"/>
  <c r="O233" i="5" s="1"/>
  <c r="M232" i="5"/>
  <c r="O232" i="5" s="1"/>
  <c r="M231" i="5"/>
  <c r="O231" i="5" s="1"/>
  <c r="M230" i="5"/>
  <c r="V92" i="5"/>
  <c r="N288" i="5"/>
  <c r="N287" i="5"/>
  <c r="N286" i="5"/>
  <c r="N285" i="5"/>
  <c r="N284" i="5"/>
  <c r="N276" i="5"/>
  <c r="N275" i="5"/>
  <c r="N274" i="5"/>
  <c r="N273" i="5"/>
  <c r="N272" i="5"/>
  <c r="N270" i="5"/>
  <c r="N269" i="5"/>
  <c r="N268" i="5"/>
  <c r="N254" i="5"/>
  <c r="N237" i="5"/>
  <c r="N236" i="5"/>
  <c r="N231" i="5"/>
  <c r="N232" i="5"/>
  <c r="N233" i="5"/>
  <c r="W26" i="5"/>
  <c r="W25" i="5"/>
  <c r="W24" i="5"/>
  <c r="W23" i="5"/>
  <c r="W22" i="5"/>
  <c r="W21" i="5"/>
  <c r="W20" i="5"/>
  <c r="W19" i="5"/>
  <c r="W18" i="5"/>
  <c r="W17" i="5"/>
  <c r="N288" i="4"/>
  <c r="N287" i="4"/>
  <c r="N286" i="4"/>
  <c r="N285" i="4"/>
  <c r="N284" i="4"/>
  <c r="N282" i="4"/>
  <c r="N281" i="4"/>
  <c r="N280" i="4"/>
  <c r="N279" i="4"/>
  <c r="N278" i="4"/>
  <c r="N276" i="4"/>
  <c r="N275" i="4"/>
  <c r="N274" i="4"/>
  <c r="N273" i="4"/>
  <c r="N272" i="4"/>
  <c r="N270" i="4"/>
  <c r="N269" i="4"/>
  <c r="N268" i="4"/>
  <c r="N267" i="4"/>
  <c r="N266" i="4"/>
  <c r="N264" i="4"/>
  <c r="N263" i="4"/>
  <c r="N262" i="4"/>
  <c r="N261" i="4"/>
  <c r="N260" i="4"/>
  <c r="N258" i="4"/>
  <c r="N257" i="4"/>
  <c r="N256" i="4"/>
  <c r="N255" i="4"/>
  <c r="N254" i="4"/>
  <c r="N252" i="4"/>
  <c r="N251" i="4"/>
  <c r="N250" i="4"/>
  <c r="N249" i="4"/>
  <c r="N248" i="4"/>
  <c r="N246" i="4"/>
  <c r="N245" i="4"/>
  <c r="N244" i="4"/>
  <c r="N243" i="4"/>
  <c r="N242" i="4"/>
  <c r="N240" i="4"/>
  <c r="N239" i="4"/>
  <c r="N238" i="4"/>
  <c r="N237" i="4"/>
  <c r="N236" i="4"/>
  <c r="N231" i="4"/>
  <c r="N232" i="4"/>
  <c r="N233" i="4"/>
  <c r="N234" i="4"/>
  <c r="N230" i="4"/>
  <c r="W26" i="4"/>
  <c r="W25" i="4"/>
  <c r="W24" i="4"/>
  <c r="W23" i="4"/>
  <c r="W22" i="4"/>
  <c r="W21" i="4"/>
  <c r="W20" i="4"/>
  <c r="W19" i="4"/>
  <c r="W18" i="4"/>
  <c r="W17" i="4"/>
  <c r="N244" i="5" l="1"/>
  <c r="N248" i="5"/>
  <c r="N258" i="5"/>
  <c r="O258" i="5"/>
  <c r="N242" i="5"/>
  <c r="N243" i="5"/>
  <c r="N245" i="5"/>
  <c r="P245" i="5" s="1"/>
  <c r="Q245" i="5" s="1"/>
  <c r="R245" i="5" s="1"/>
  <c r="N246" i="5"/>
  <c r="P246" i="5" s="1"/>
  <c r="Q246" i="5" s="1"/>
  <c r="R246" i="5" s="1"/>
  <c r="N230" i="5"/>
  <c r="O230" i="5"/>
  <c r="N260" i="5"/>
  <c r="O260" i="5"/>
  <c r="N249" i="5"/>
  <c r="P249" i="5" s="1"/>
  <c r="Q249" i="5" s="1"/>
  <c r="R249" i="5" s="1"/>
  <c r="N261" i="5"/>
  <c r="O261" i="5"/>
  <c r="N250" i="5"/>
  <c r="P250" i="5" s="1"/>
  <c r="Q250" i="5" s="1"/>
  <c r="R250" i="5" s="1"/>
  <c r="N262" i="5"/>
  <c r="P262" i="5" s="1"/>
  <c r="Q262" i="5" s="1"/>
  <c r="R262" i="5" s="1"/>
  <c r="O262" i="5"/>
  <c r="N251" i="5"/>
  <c r="P251" i="5" s="1"/>
  <c r="Q251" i="5" s="1"/>
  <c r="R251" i="5" s="1"/>
  <c r="N234" i="5"/>
  <c r="P234" i="5" s="1"/>
  <c r="Q234" i="5" s="1"/>
  <c r="R234" i="5" s="1"/>
  <c r="O234" i="5"/>
  <c r="N263" i="5"/>
  <c r="P263" i="5" s="1"/>
  <c r="Q263" i="5" s="1"/>
  <c r="R263" i="5" s="1"/>
  <c r="O263" i="5"/>
  <c r="N252" i="5"/>
  <c r="P252" i="5" s="1"/>
  <c r="Q252" i="5" s="1"/>
  <c r="R252" i="5" s="1"/>
  <c r="N264" i="5"/>
  <c r="N238" i="5"/>
  <c r="O238" i="5"/>
  <c r="N255" i="5"/>
  <c r="O255" i="5"/>
  <c r="N266" i="5"/>
  <c r="N239" i="5"/>
  <c r="O239" i="5"/>
  <c r="N256" i="5"/>
  <c r="O256" i="5"/>
  <c r="N267" i="5"/>
  <c r="N240" i="5"/>
  <c r="P240" i="5" s="1"/>
  <c r="Q240" i="5" s="1"/>
  <c r="R240" i="5" s="1"/>
  <c r="O240" i="5"/>
  <c r="N257" i="5"/>
  <c r="O257" i="5"/>
  <c r="M288" i="4"/>
  <c r="M287" i="4"/>
  <c r="M286" i="4"/>
  <c r="M285" i="4"/>
  <c r="M284" i="4"/>
  <c r="M282" i="4"/>
  <c r="M281" i="4"/>
  <c r="M280" i="4"/>
  <c r="M279" i="4"/>
  <c r="M278" i="4"/>
  <c r="M276" i="4"/>
  <c r="M275" i="4"/>
  <c r="M274" i="4"/>
  <c r="M273" i="4"/>
  <c r="M272" i="4"/>
  <c r="M270" i="4"/>
  <c r="M269" i="4"/>
  <c r="M268" i="4"/>
  <c r="M267" i="4"/>
  <c r="M266" i="4"/>
  <c r="M264" i="4"/>
  <c r="M263" i="4"/>
  <c r="M262" i="4"/>
  <c r="M261" i="4"/>
  <c r="M260" i="4"/>
  <c r="M258" i="4"/>
  <c r="M257" i="4"/>
  <c r="M256" i="4"/>
  <c r="M255" i="4"/>
  <c r="M254" i="4"/>
  <c r="M252" i="4"/>
  <c r="M251" i="4"/>
  <c r="M250" i="4"/>
  <c r="M249" i="4"/>
  <c r="M248" i="4"/>
  <c r="M246" i="4"/>
  <c r="M245" i="4"/>
  <c r="M244" i="4"/>
  <c r="M243" i="4"/>
  <c r="M242" i="4"/>
  <c r="M240" i="4"/>
  <c r="M239" i="4"/>
  <c r="M238" i="4"/>
  <c r="M237" i="4"/>
  <c r="M236" i="4"/>
  <c r="M234" i="4"/>
  <c r="M233" i="4"/>
  <c r="M232" i="4"/>
  <c r="M231" i="4"/>
  <c r="M230" i="4"/>
  <c r="U93" i="2"/>
  <c r="M288" i="2"/>
  <c r="M287" i="2"/>
  <c r="M286" i="2"/>
  <c r="M285" i="2"/>
  <c r="M284" i="2"/>
  <c r="M282" i="2"/>
  <c r="M281" i="2"/>
  <c r="M280" i="2"/>
  <c r="M279" i="2"/>
  <c r="M278" i="2"/>
  <c r="M276" i="2"/>
  <c r="M275" i="2"/>
  <c r="M274" i="2"/>
  <c r="M273" i="2"/>
  <c r="M272" i="2"/>
  <c r="M270" i="2"/>
  <c r="M269" i="2"/>
  <c r="M268" i="2"/>
  <c r="M267" i="2"/>
  <c r="M266" i="2"/>
  <c r="M264" i="2"/>
  <c r="M263" i="2"/>
  <c r="M262" i="2"/>
  <c r="M261" i="2"/>
  <c r="M260" i="2"/>
  <c r="M258" i="2"/>
  <c r="M257" i="2"/>
  <c r="M256" i="2"/>
  <c r="M255" i="2"/>
  <c r="M254" i="2"/>
  <c r="M252" i="2"/>
  <c r="M251" i="2"/>
  <c r="M250" i="2"/>
  <c r="M249" i="2"/>
  <c r="M248" i="2"/>
  <c r="M246" i="2"/>
  <c r="M245" i="2"/>
  <c r="M244" i="2"/>
  <c r="M243" i="2"/>
  <c r="M242" i="2"/>
  <c r="M240" i="2"/>
  <c r="M239" i="2"/>
  <c r="M238" i="2"/>
  <c r="M237" i="2"/>
  <c r="M236" i="2"/>
  <c r="M234" i="2"/>
  <c r="M233" i="2"/>
  <c r="M232" i="2"/>
  <c r="M231" i="2"/>
  <c r="N231" i="2" s="1"/>
  <c r="O231" i="2" s="1"/>
  <c r="P231" i="2" s="1"/>
  <c r="Q231" i="2" s="1"/>
  <c r="M230" i="2"/>
  <c r="N162" i="6"/>
  <c r="O162" i="6" s="1"/>
  <c r="P162" i="6" s="1"/>
  <c r="Q162" i="6" s="1"/>
  <c r="N161" i="6"/>
  <c r="N160" i="6"/>
  <c r="N159" i="6"/>
  <c r="N158" i="6"/>
  <c r="N156" i="6"/>
  <c r="O156" i="6" s="1"/>
  <c r="P156" i="6" s="1"/>
  <c r="Q156" i="6" s="1"/>
  <c r="N155" i="6"/>
  <c r="N154" i="6"/>
  <c r="N153" i="6"/>
  <c r="N152" i="6"/>
  <c r="N150" i="6"/>
  <c r="O150" i="6" s="1"/>
  <c r="P150" i="6" s="1"/>
  <c r="Q150" i="6" s="1"/>
  <c r="N149" i="6"/>
  <c r="N148" i="6"/>
  <c r="N147" i="6"/>
  <c r="N146" i="6"/>
  <c r="N144" i="6"/>
  <c r="O144" i="6" s="1"/>
  <c r="P144" i="6" s="1"/>
  <c r="Q144" i="6" s="1"/>
  <c r="N143" i="6"/>
  <c r="N142" i="6"/>
  <c r="N141" i="6"/>
  <c r="N140" i="6"/>
  <c r="N138" i="6"/>
  <c r="O138" i="6" s="1"/>
  <c r="P138" i="6" s="1"/>
  <c r="Q138" i="6" s="1"/>
  <c r="N137" i="6"/>
  <c r="O137" i="6" s="1"/>
  <c r="P137" i="6" s="1"/>
  <c r="Q137" i="6" s="1"/>
  <c r="N136" i="6"/>
  <c r="N135" i="6"/>
  <c r="N134" i="6"/>
  <c r="N132" i="6"/>
  <c r="O132" i="6" s="1"/>
  <c r="P132" i="6" s="1"/>
  <c r="Q132" i="6" s="1"/>
  <c r="N131" i="6"/>
  <c r="N130" i="6"/>
  <c r="N129" i="6"/>
  <c r="N128" i="6"/>
  <c r="N126" i="6"/>
  <c r="O126" i="6" s="1"/>
  <c r="P126" i="6" s="1"/>
  <c r="Q126" i="6" s="1"/>
  <c r="N125" i="6"/>
  <c r="N124" i="6"/>
  <c r="N123" i="6"/>
  <c r="N122" i="6"/>
  <c r="N120" i="6"/>
  <c r="O120" i="6" s="1"/>
  <c r="P120" i="6" s="1"/>
  <c r="Q120" i="6" s="1"/>
  <c r="N119" i="6"/>
  <c r="N118" i="6"/>
  <c r="N117" i="6"/>
  <c r="N116" i="6"/>
  <c r="N114" i="6"/>
  <c r="O114" i="6" s="1"/>
  <c r="P114" i="6" s="1"/>
  <c r="Q114" i="6" s="1"/>
  <c r="N113" i="6"/>
  <c r="N112" i="6"/>
  <c r="N111" i="6"/>
  <c r="N110" i="6"/>
  <c r="N105" i="6"/>
  <c r="O105" i="6" s="1"/>
  <c r="P105" i="6" s="1"/>
  <c r="Q105" i="6" s="1"/>
  <c r="N106" i="6"/>
  <c r="O106" i="6" s="1"/>
  <c r="P106" i="6" s="1"/>
  <c r="Q106" i="6" s="1"/>
  <c r="N107" i="6"/>
  <c r="N108" i="6"/>
  <c r="O108" i="6" s="1"/>
  <c r="P108" i="6" s="1"/>
  <c r="Q108" i="6" s="1"/>
  <c r="N104" i="6"/>
  <c r="O104" i="6" s="1"/>
  <c r="P104" i="6" s="1"/>
  <c r="Q104" i="6" s="1"/>
  <c r="L26" i="6"/>
  <c r="L25" i="6"/>
  <c r="L24" i="6"/>
  <c r="L23" i="6"/>
  <c r="L22" i="6"/>
  <c r="L21" i="6"/>
  <c r="L20" i="6"/>
  <c r="L19" i="6"/>
  <c r="L18" i="6"/>
  <c r="L17" i="6"/>
  <c r="U90" i="6"/>
  <c r="U76" i="6"/>
  <c r="U62" i="6"/>
  <c r="M224" i="6"/>
  <c r="M223" i="6"/>
  <c r="M222" i="6"/>
  <c r="M221" i="6"/>
  <c r="M220" i="6"/>
  <c r="M218" i="6"/>
  <c r="M217" i="6"/>
  <c r="M216" i="6"/>
  <c r="M215" i="6"/>
  <c r="M214" i="6"/>
  <c r="M212" i="6"/>
  <c r="M211" i="6"/>
  <c r="M210" i="6"/>
  <c r="M209" i="6"/>
  <c r="M208" i="6"/>
  <c r="M206" i="6"/>
  <c r="M205" i="6"/>
  <c r="M204" i="6"/>
  <c r="M203" i="6"/>
  <c r="M202" i="6"/>
  <c r="M200" i="6"/>
  <c r="M199" i="6"/>
  <c r="M198" i="6"/>
  <c r="M197" i="6"/>
  <c r="M196" i="6"/>
  <c r="M194" i="6"/>
  <c r="M193" i="6"/>
  <c r="M192" i="6"/>
  <c r="M191" i="6"/>
  <c r="M190" i="6"/>
  <c r="M188" i="6"/>
  <c r="M187" i="6"/>
  <c r="M186" i="6"/>
  <c r="M185" i="6"/>
  <c r="M184" i="6"/>
  <c r="M182" i="6"/>
  <c r="M181" i="6"/>
  <c r="M180" i="6"/>
  <c r="M179" i="6"/>
  <c r="M178" i="6"/>
  <c r="M176" i="6"/>
  <c r="M175" i="6"/>
  <c r="M174" i="6"/>
  <c r="M173" i="6"/>
  <c r="M172" i="6"/>
  <c r="M170" i="6"/>
  <c r="M169" i="6"/>
  <c r="M168" i="6"/>
  <c r="M167" i="6"/>
  <c r="N167" i="6" s="1"/>
  <c r="O167" i="6" s="1"/>
  <c r="P167" i="6" s="1"/>
  <c r="Q167" i="6" s="1"/>
  <c r="M166" i="6"/>
  <c r="N224" i="6"/>
  <c r="N223" i="6"/>
  <c r="N222" i="6"/>
  <c r="N221" i="6"/>
  <c r="N220" i="6"/>
  <c r="N218" i="6"/>
  <c r="N217" i="6"/>
  <c r="O217" i="6" s="1"/>
  <c r="P217" i="6" s="1"/>
  <c r="Q217" i="6" s="1"/>
  <c r="N216" i="6"/>
  <c r="O216" i="6" s="1"/>
  <c r="P216" i="6" s="1"/>
  <c r="Q216" i="6" s="1"/>
  <c r="N215" i="6"/>
  <c r="O215" i="6" s="1"/>
  <c r="P215" i="6" s="1"/>
  <c r="Q215" i="6" s="1"/>
  <c r="N214" i="6"/>
  <c r="O214" i="6" s="1"/>
  <c r="P214" i="6" s="1"/>
  <c r="Q214" i="6" s="1"/>
  <c r="N212" i="6"/>
  <c r="O212" i="6" s="1"/>
  <c r="P212" i="6" s="1"/>
  <c r="Q212" i="6" s="1"/>
  <c r="N211" i="6"/>
  <c r="O211" i="6" s="1"/>
  <c r="P211" i="6" s="1"/>
  <c r="Q211" i="6" s="1"/>
  <c r="N210" i="6"/>
  <c r="O210" i="6" s="1"/>
  <c r="P210" i="6" s="1"/>
  <c r="Q210" i="6" s="1"/>
  <c r="N209" i="6"/>
  <c r="O209" i="6" s="1"/>
  <c r="P209" i="6" s="1"/>
  <c r="Q209" i="6" s="1"/>
  <c r="N208" i="6"/>
  <c r="O208" i="6" s="1"/>
  <c r="P208" i="6" s="1"/>
  <c r="Q208" i="6" s="1"/>
  <c r="N206" i="6"/>
  <c r="O206" i="6" s="1"/>
  <c r="P206" i="6" s="1"/>
  <c r="Q206" i="6" s="1"/>
  <c r="N205" i="6"/>
  <c r="O205" i="6" s="1"/>
  <c r="P205" i="6" s="1"/>
  <c r="Q205" i="6" s="1"/>
  <c r="N204" i="6"/>
  <c r="O204" i="6" s="1"/>
  <c r="P204" i="6" s="1"/>
  <c r="Q204" i="6" s="1"/>
  <c r="N203" i="6"/>
  <c r="O203" i="6" s="1"/>
  <c r="P203" i="6" s="1"/>
  <c r="Q203" i="6" s="1"/>
  <c r="N202" i="6"/>
  <c r="O202" i="6" s="1"/>
  <c r="P202" i="6" s="1"/>
  <c r="Q202" i="6" s="1"/>
  <c r="N200" i="6"/>
  <c r="N199" i="6"/>
  <c r="N198" i="6"/>
  <c r="O198" i="6" s="1"/>
  <c r="P198" i="6" s="1"/>
  <c r="Q198" i="6" s="1"/>
  <c r="N197" i="6"/>
  <c r="N196" i="6"/>
  <c r="N194" i="6"/>
  <c r="O194" i="6" s="1"/>
  <c r="P194" i="6" s="1"/>
  <c r="Q194" i="6" s="1"/>
  <c r="N193" i="6"/>
  <c r="N192" i="6"/>
  <c r="O192" i="6" s="1"/>
  <c r="P192" i="6" s="1"/>
  <c r="Q192" i="6" s="1"/>
  <c r="N191" i="6"/>
  <c r="N190" i="6"/>
  <c r="N188" i="6"/>
  <c r="O188" i="6" s="1"/>
  <c r="P188" i="6" s="1"/>
  <c r="Q188" i="6" s="1"/>
  <c r="N187" i="6"/>
  <c r="O187" i="6" s="1"/>
  <c r="P187" i="6" s="1"/>
  <c r="Q187" i="6" s="1"/>
  <c r="N186" i="6"/>
  <c r="O186" i="6" s="1"/>
  <c r="P186" i="6" s="1"/>
  <c r="Q186" i="6" s="1"/>
  <c r="N185" i="6"/>
  <c r="O185" i="6" s="1"/>
  <c r="P185" i="6" s="1"/>
  <c r="Q185" i="6" s="1"/>
  <c r="N184" i="6"/>
  <c r="O184" i="6" s="1"/>
  <c r="P184" i="6" s="1"/>
  <c r="Q184" i="6" s="1"/>
  <c r="N182" i="6"/>
  <c r="O182" i="6" s="1"/>
  <c r="P182" i="6" s="1"/>
  <c r="Q182" i="6" s="1"/>
  <c r="N181" i="6"/>
  <c r="O181" i="6" s="1"/>
  <c r="P181" i="6" s="1"/>
  <c r="Q181" i="6" s="1"/>
  <c r="N180" i="6"/>
  <c r="O180" i="6" s="1"/>
  <c r="P180" i="6" s="1"/>
  <c r="Q180" i="6" s="1"/>
  <c r="N179" i="6"/>
  <c r="O179" i="6" s="1"/>
  <c r="P179" i="6" s="1"/>
  <c r="Q179" i="6" s="1"/>
  <c r="N178" i="6"/>
  <c r="O178" i="6" s="1"/>
  <c r="P178" i="6" s="1"/>
  <c r="Q178" i="6" s="1"/>
  <c r="N176" i="6"/>
  <c r="O176" i="6" s="1"/>
  <c r="P176" i="6" s="1"/>
  <c r="Q176" i="6" s="1"/>
  <c r="N175" i="6"/>
  <c r="O175" i="6" s="1"/>
  <c r="P175" i="6" s="1"/>
  <c r="Q175" i="6" s="1"/>
  <c r="N174" i="6"/>
  <c r="O174" i="6" s="1"/>
  <c r="P174" i="6" s="1"/>
  <c r="Q174" i="6" s="1"/>
  <c r="N173" i="6"/>
  <c r="N172" i="6"/>
  <c r="N168" i="6"/>
  <c r="O168" i="6" s="1"/>
  <c r="P168" i="6" s="1"/>
  <c r="Q168" i="6" s="1"/>
  <c r="N169" i="6"/>
  <c r="O169" i="6" s="1"/>
  <c r="P169" i="6" s="1"/>
  <c r="Q169" i="6" s="1"/>
  <c r="N170" i="6"/>
  <c r="N166" i="6"/>
  <c r="W14" i="6"/>
  <c r="W13" i="6"/>
  <c r="W12" i="6"/>
  <c r="W11" i="6"/>
  <c r="W10" i="6"/>
  <c r="W9" i="6"/>
  <c r="W8" i="6"/>
  <c r="W7" i="6"/>
  <c r="W6" i="6"/>
  <c r="W5" i="6"/>
  <c r="O286" i="6"/>
  <c r="P286" i="6" s="1"/>
  <c r="Q286" i="6" s="1"/>
  <c r="O285" i="6"/>
  <c r="P285" i="6" s="1"/>
  <c r="Q285" i="6" s="1"/>
  <c r="O284" i="6"/>
  <c r="P284" i="6" s="1"/>
  <c r="Q284" i="6" s="1"/>
  <c r="O283" i="6"/>
  <c r="P283" i="6" s="1"/>
  <c r="Q283" i="6" s="1"/>
  <c r="O282" i="6"/>
  <c r="P282" i="6" s="1"/>
  <c r="Q282" i="6" s="1"/>
  <c r="O280" i="6"/>
  <c r="P280" i="6" s="1"/>
  <c r="Q280" i="6" s="1"/>
  <c r="O279" i="6"/>
  <c r="P279" i="6" s="1"/>
  <c r="Q279" i="6" s="1"/>
  <c r="O278" i="6"/>
  <c r="P278" i="6" s="1"/>
  <c r="Q278" i="6" s="1"/>
  <c r="O277" i="6"/>
  <c r="P277" i="6" s="1"/>
  <c r="Q277" i="6" s="1"/>
  <c r="O276" i="6"/>
  <c r="P276" i="6" s="1"/>
  <c r="Q276" i="6" s="1"/>
  <c r="O272" i="6"/>
  <c r="P272" i="6" s="1"/>
  <c r="Q272" i="6" s="1"/>
  <c r="O271" i="6"/>
  <c r="P271" i="6" s="1"/>
  <c r="Q271" i="6" s="1"/>
  <c r="O270" i="6"/>
  <c r="P270" i="6" s="1"/>
  <c r="Q270" i="6" s="1"/>
  <c r="O268" i="6"/>
  <c r="P268" i="6" s="1"/>
  <c r="Q268" i="6" s="1"/>
  <c r="O267" i="6"/>
  <c r="P267" i="6" s="1"/>
  <c r="Q267" i="6" s="1"/>
  <c r="O266" i="6"/>
  <c r="P266" i="6" s="1"/>
  <c r="Q266" i="6" s="1"/>
  <c r="O265" i="6"/>
  <c r="P265" i="6" s="1"/>
  <c r="Q265" i="6" s="1"/>
  <c r="O264" i="6"/>
  <c r="P264" i="6" s="1"/>
  <c r="Q264" i="6" s="1"/>
  <c r="O262" i="6"/>
  <c r="P262" i="6" s="1"/>
  <c r="Q262" i="6" s="1"/>
  <c r="O261" i="6"/>
  <c r="P261" i="6" s="1"/>
  <c r="Q261" i="6" s="1"/>
  <c r="O260" i="6"/>
  <c r="P260" i="6" s="1"/>
  <c r="Q260" i="6" s="1"/>
  <c r="O259" i="6"/>
  <c r="P259" i="6" s="1"/>
  <c r="Q259" i="6" s="1"/>
  <c r="O258" i="6"/>
  <c r="P258" i="6" s="1"/>
  <c r="Q258" i="6" s="1"/>
  <c r="O256" i="6"/>
  <c r="P256" i="6" s="1"/>
  <c r="Q256" i="6" s="1"/>
  <c r="O255" i="6"/>
  <c r="P255" i="6" s="1"/>
  <c r="Q255" i="6" s="1"/>
  <c r="O254" i="6"/>
  <c r="P254" i="6" s="1"/>
  <c r="Q254" i="6" s="1"/>
  <c r="O253" i="6"/>
  <c r="P253" i="6" s="1"/>
  <c r="Q253" i="6" s="1"/>
  <c r="O252" i="6"/>
  <c r="P252" i="6" s="1"/>
  <c r="Q252" i="6" s="1"/>
  <c r="O250" i="6"/>
  <c r="P250" i="6" s="1"/>
  <c r="Q250" i="6" s="1"/>
  <c r="O249" i="6"/>
  <c r="P249" i="6" s="1"/>
  <c r="Q249" i="6" s="1"/>
  <c r="O248" i="6"/>
  <c r="P248" i="6" s="1"/>
  <c r="Q248" i="6" s="1"/>
  <c r="O247" i="6"/>
  <c r="P247" i="6" s="1"/>
  <c r="Q247" i="6" s="1"/>
  <c r="O246" i="6"/>
  <c r="P246" i="6" s="1"/>
  <c r="Q246" i="6" s="1"/>
  <c r="O244" i="6"/>
  <c r="P244" i="6" s="1"/>
  <c r="Q244" i="6" s="1"/>
  <c r="O243" i="6"/>
  <c r="P243" i="6" s="1"/>
  <c r="Q243" i="6" s="1"/>
  <c r="O242" i="6"/>
  <c r="P242" i="6" s="1"/>
  <c r="Q242" i="6" s="1"/>
  <c r="O241" i="6"/>
  <c r="P241" i="6" s="1"/>
  <c r="Q241" i="6" s="1"/>
  <c r="O240" i="6"/>
  <c r="P240" i="6" s="1"/>
  <c r="Q240" i="6" s="1"/>
  <c r="O238" i="6"/>
  <c r="P238" i="6" s="1"/>
  <c r="Q238" i="6" s="1"/>
  <c r="O237" i="6"/>
  <c r="P237" i="6" s="1"/>
  <c r="Q237" i="6" s="1"/>
  <c r="O236" i="6"/>
  <c r="P236" i="6" s="1"/>
  <c r="Q236" i="6" s="1"/>
  <c r="O235" i="6"/>
  <c r="P235" i="6" s="1"/>
  <c r="Q235" i="6" s="1"/>
  <c r="O234" i="6"/>
  <c r="P234" i="6" s="1"/>
  <c r="Q234" i="6" s="1"/>
  <c r="O232" i="6"/>
  <c r="P232" i="6" s="1"/>
  <c r="Q232" i="6" s="1"/>
  <c r="O231" i="6"/>
  <c r="P231" i="6" s="1"/>
  <c r="Q231" i="6" s="1"/>
  <c r="O230" i="6"/>
  <c r="P230" i="6" s="1"/>
  <c r="Q230" i="6" s="1"/>
  <c r="O229" i="6"/>
  <c r="P229" i="6" s="1"/>
  <c r="Q229" i="6" s="1"/>
  <c r="O228" i="6"/>
  <c r="P228" i="6" s="1"/>
  <c r="Q228" i="6" s="1"/>
  <c r="O224" i="6"/>
  <c r="P224" i="6" s="1"/>
  <c r="Q224" i="6" s="1"/>
  <c r="O223" i="6"/>
  <c r="P223" i="6" s="1"/>
  <c r="Q223" i="6" s="1"/>
  <c r="O222" i="6"/>
  <c r="P222" i="6" s="1"/>
  <c r="Q222" i="6" s="1"/>
  <c r="O221" i="6"/>
  <c r="P221" i="6" s="1"/>
  <c r="Q221" i="6" s="1"/>
  <c r="O220" i="6"/>
  <c r="P220" i="6" s="1"/>
  <c r="Q220" i="6" s="1"/>
  <c r="O218" i="6"/>
  <c r="P218" i="6" s="1"/>
  <c r="Q218" i="6" s="1"/>
  <c r="O200" i="6"/>
  <c r="P200" i="6" s="1"/>
  <c r="Q200" i="6" s="1"/>
  <c r="O199" i="6"/>
  <c r="P199" i="6" s="1"/>
  <c r="Q199" i="6" s="1"/>
  <c r="O197" i="6"/>
  <c r="P197" i="6" s="1"/>
  <c r="Q197" i="6" s="1"/>
  <c r="O196" i="6"/>
  <c r="P196" i="6" s="1"/>
  <c r="Q196" i="6" s="1"/>
  <c r="O193" i="6"/>
  <c r="P193" i="6" s="1"/>
  <c r="Q193" i="6" s="1"/>
  <c r="O191" i="6"/>
  <c r="P191" i="6" s="1"/>
  <c r="Q191" i="6" s="1"/>
  <c r="O190" i="6"/>
  <c r="P190" i="6" s="1"/>
  <c r="Q190" i="6" s="1"/>
  <c r="O173" i="6"/>
  <c r="P173" i="6" s="1"/>
  <c r="Q173" i="6" s="1"/>
  <c r="O172" i="6"/>
  <c r="P172" i="6" s="1"/>
  <c r="Q172" i="6" s="1"/>
  <c r="O170" i="6"/>
  <c r="P170" i="6" s="1"/>
  <c r="Q170" i="6" s="1"/>
  <c r="O166" i="6"/>
  <c r="P166" i="6" s="1"/>
  <c r="Q166" i="6" s="1"/>
  <c r="P288" i="5"/>
  <c r="Q288" i="5" s="1"/>
  <c r="R288" i="5" s="1"/>
  <c r="P287" i="5"/>
  <c r="Q287" i="5" s="1"/>
  <c r="R287" i="5" s="1"/>
  <c r="P286" i="5"/>
  <c r="Q286" i="5" s="1"/>
  <c r="R286" i="5" s="1"/>
  <c r="P285" i="5"/>
  <c r="Q285" i="5" s="1"/>
  <c r="R285" i="5" s="1"/>
  <c r="P284" i="5"/>
  <c r="Q284" i="5" s="1"/>
  <c r="R284" i="5" s="1"/>
  <c r="Q282" i="5"/>
  <c r="R282" i="5" s="1"/>
  <c r="Q281" i="5"/>
  <c r="R281" i="5" s="1"/>
  <c r="Q280" i="5"/>
  <c r="R280" i="5" s="1"/>
  <c r="Q279" i="5"/>
  <c r="R279" i="5" s="1"/>
  <c r="Q278" i="5"/>
  <c r="R278" i="5" s="1"/>
  <c r="P276" i="5"/>
  <c r="Q276" i="5" s="1"/>
  <c r="R276" i="5" s="1"/>
  <c r="P275" i="5"/>
  <c r="Q275" i="5" s="1"/>
  <c r="R275" i="5" s="1"/>
  <c r="P274" i="5"/>
  <c r="Q274" i="5" s="1"/>
  <c r="R274" i="5" s="1"/>
  <c r="P273" i="5"/>
  <c r="Q273" i="5" s="1"/>
  <c r="R273" i="5" s="1"/>
  <c r="P272" i="5"/>
  <c r="Q272" i="5" s="1"/>
  <c r="R272" i="5" s="1"/>
  <c r="P270" i="5"/>
  <c r="Q270" i="5" s="1"/>
  <c r="R270" i="5" s="1"/>
  <c r="P269" i="5"/>
  <c r="Q269" i="5" s="1"/>
  <c r="R269" i="5" s="1"/>
  <c r="P268" i="5"/>
  <c r="Q268" i="5" s="1"/>
  <c r="R268" i="5" s="1"/>
  <c r="P267" i="5"/>
  <c r="Q267" i="5" s="1"/>
  <c r="R267" i="5" s="1"/>
  <c r="P266" i="5"/>
  <c r="Q266" i="5" s="1"/>
  <c r="R266" i="5" s="1"/>
  <c r="P264" i="5"/>
  <c r="Q264" i="5" s="1"/>
  <c r="R264" i="5" s="1"/>
  <c r="P261" i="5"/>
  <c r="Q261" i="5" s="1"/>
  <c r="R261" i="5" s="1"/>
  <c r="P260" i="5"/>
  <c r="Q260" i="5" s="1"/>
  <c r="R260" i="5" s="1"/>
  <c r="P258" i="5"/>
  <c r="Q258" i="5" s="1"/>
  <c r="R258" i="5" s="1"/>
  <c r="P257" i="5"/>
  <c r="Q257" i="5" s="1"/>
  <c r="R257" i="5" s="1"/>
  <c r="P256" i="5"/>
  <c r="Q256" i="5" s="1"/>
  <c r="R256" i="5" s="1"/>
  <c r="P255" i="5"/>
  <c r="Q255" i="5" s="1"/>
  <c r="R255" i="5" s="1"/>
  <c r="P254" i="5"/>
  <c r="Q254" i="5" s="1"/>
  <c r="R254" i="5" s="1"/>
  <c r="P248" i="5"/>
  <c r="Q248" i="5" s="1"/>
  <c r="R248" i="5" s="1"/>
  <c r="P244" i="5"/>
  <c r="Q244" i="5" s="1"/>
  <c r="R244" i="5" s="1"/>
  <c r="P243" i="5"/>
  <c r="Q243" i="5" s="1"/>
  <c r="R243" i="5" s="1"/>
  <c r="P242" i="5"/>
  <c r="Q242" i="5" s="1"/>
  <c r="R242" i="5" s="1"/>
  <c r="P239" i="5"/>
  <c r="Q239" i="5" s="1"/>
  <c r="R239" i="5" s="1"/>
  <c r="P238" i="5"/>
  <c r="Q238" i="5" s="1"/>
  <c r="R238" i="5" s="1"/>
  <c r="P237" i="5"/>
  <c r="Q237" i="5" s="1"/>
  <c r="R237" i="5" s="1"/>
  <c r="P236" i="5"/>
  <c r="Q236" i="5" s="1"/>
  <c r="R236" i="5" s="1"/>
  <c r="P233" i="5"/>
  <c r="Q233" i="5" s="1"/>
  <c r="R233" i="5" s="1"/>
  <c r="P232" i="5"/>
  <c r="Q232" i="5" s="1"/>
  <c r="R232" i="5" s="1"/>
  <c r="P231" i="5"/>
  <c r="Q231" i="5" s="1"/>
  <c r="R231" i="5" s="1"/>
  <c r="P230" i="5"/>
  <c r="Q230" i="5" s="1"/>
  <c r="R230" i="5" s="1"/>
  <c r="M167" i="5"/>
  <c r="V77" i="5"/>
  <c r="M225" i="5"/>
  <c r="O225" i="5" s="1"/>
  <c r="M224" i="5"/>
  <c r="O224" i="5" s="1"/>
  <c r="M223" i="5"/>
  <c r="O223" i="5" s="1"/>
  <c r="M222" i="5"/>
  <c r="O222" i="5" s="1"/>
  <c r="M221" i="5"/>
  <c r="O221" i="5" s="1"/>
  <c r="M219" i="5"/>
  <c r="O219" i="5" s="1"/>
  <c r="M218" i="5"/>
  <c r="O218" i="5" s="1"/>
  <c r="M217" i="5"/>
  <c r="O217" i="5" s="1"/>
  <c r="M216" i="5"/>
  <c r="O216" i="5" s="1"/>
  <c r="M215" i="5"/>
  <c r="O215" i="5" s="1"/>
  <c r="M213" i="5"/>
  <c r="O213" i="5" s="1"/>
  <c r="M212" i="5"/>
  <c r="O212" i="5" s="1"/>
  <c r="M211" i="5"/>
  <c r="O211" i="5" s="1"/>
  <c r="M210" i="5"/>
  <c r="O210" i="5" s="1"/>
  <c r="M209" i="5"/>
  <c r="M207" i="5"/>
  <c r="O207" i="5" s="1"/>
  <c r="M206" i="5"/>
  <c r="O206" i="5" s="1"/>
  <c r="M205" i="5"/>
  <c r="O205" i="5" s="1"/>
  <c r="M204" i="5"/>
  <c r="O204" i="5" s="1"/>
  <c r="M203" i="5"/>
  <c r="O203" i="5" s="1"/>
  <c r="M201" i="5"/>
  <c r="O201" i="5" s="1"/>
  <c r="M200" i="5"/>
  <c r="O200" i="5" s="1"/>
  <c r="M199" i="5"/>
  <c r="O199" i="5" s="1"/>
  <c r="M198" i="5"/>
  <c r="O198" i="5" s="1"/>
  <c r="M197" i="5"/>
  <c r="O197" i="5" s="1"/>
  <c r="M195" i="5"/>
  <c r="O195" i="5" s="1"/>
  <c r="M194" i="5"/>
  <c r="O194" i="5" s="1"/>
  <c r="M193" i="5"/>
  <c r="O193" i="5" s="1"/>
  <c r="M192" i="5"/>
  <c r="O192" i="5" s="1"/>
  <c r="M191" i="5"/>
  <c r="O191" i="5" s="1"/>
  <c r="M189" i="5"/>
  <c r="O189" i="5" s="1"/>
  <c r="M188" i="5"/>
  <c r="O188" i="5" s="1"/>
  <c r="M187" i="5"/>
  <c r="O187" i="5" s="1"/>
  <c r="M186" i="5"/>
  <c r="O186" i="5" s="1"/>
  <c r="M185" i="5"/>
  <c r="O185" i="5" s="1"/>
  <c r="M183" i="5"/>
  <c r="O183" i="5" s="1"/>
  <c r="M182" i="5"/>
  <c r="O182" i="5" s="1"/>
  <c r="M181" i="5"/>
  <c r="O181" i="5" s="1"/>
  <c r="M180" i="5"/>
  <c r="M179" i="5"/>
  <c r="O179" i="5" s="1"/>
  <c r="M177" i="5"/>
  <c r="O177" i="5" s="1"/>
  <c r="M176" i="5"/>
  <c r="O176" i="5" s="1"/>
  <c r="M175" i="5"/>
  <c r="O175" i="5" s="1"/>
  <c r="M174" i="5"/>
  <c r="O174" i="5" s="1"/>
  <c r="M173" i="5"/>
  <c r="O173" i="5" s="1"/>
  <c r="M171" i="5"/>
  <c r="O171" i="5" s="1"/>
  <c r="M170" i="5"/>
  <c r="O170" i="5" s="1"/>
  <c r="M169" i="5"/>
  <c r="M168" i="5"/>
  <c r="N225" i="5"/>
  <c r="P225" i="5" s="1"/>
  <c r="Q225" i="5" s="1"/>
  <c r="R225" i="5" s="1"/>
  <c r="N224" i="5"/>
  <c r="P224" i="5" s="1"/>
  <c r="Q224" i="5" s="1"/>
  <c r="R224" i="5" s="1"/>
  <c r="N222" i="5"/>
  <c r="N221" i="5"/>
  <c r="N219" i="5"/>
  <c r="P219" i="5" s="1"/>
  <c r="Q219" i="5" s="1"/>
  <c r="R219" i="5" s="1"/>
  <c r="N218" i="5"/>
  <c r="P218" i="5" s="1"/>
  <c r="Q218" i="5" s="1"/>
  <c r="R218" i="5" s="1"/>
  <c r="N217" i="5"/>
  <c r="P217" i="5" s="1"/>
  <c r="Q217" i="5" s="1"/>
  <c r="R217" i="5" s="1"/>
  <c r="N216" i="5"/>
  <c r="P216" i="5" s="1"/>
  <c r="Q216" i="5" s="1"/>
  <c r="R216" i="5" s="1"/>
  <c r="N215" i="5"/>
  <c r="P215" i="5" s="1"/>
  <c r="Q215" i="5" s="1"/>
  <c r="R215" i="5" s="1"/>
  <c r="N213" i="5"/>
  <c r="P213" i="5" s="1"/>
  <c r="Q213" i="5" s="1"/>
  <c r="R213" i="5" s="1"/>
  <c r="N212" i="5"/>
  <c r="P212" i="5" s="1"/>
  <c r="Q212" i="5" s="1"/>
  <c r="R212" i="5" s="1"/>
  <c r="N211" i="5"/>
  <c r="P211" i="5" s="1"/>
  <c r="Q211" i="5" s="1"/>
  <c r="R211" i="5" s="1"/>
  <c r="N210" i="5"/>
  <c r="P210" i="5" s="1"/>
  <c r="Q210" i="5" s="1"/>
  <c r="R210" i="5" s="1"/>
  <c r="N207" i="5"/>
  <c r="P207" i="5" s="1"/>
  <c r="Q207" i="5" s="1"/>
  <c r="R207" i="5" s="1"/>
  <c r="N206" i="5"/>
  <c r="P206" i="5" s="1"/>
  <c r="Q206" i="5" s="1"/>
  <c r="R206" i="5" s="1"/>
  <c r="N204" i="5"/>
  <c r="P204" i="5" s="1"/>
  <c r="Q204" i="5" s="1"/>
  <c r="R204" i="5" s="1"/>
  <c r="N200" i="5"/>
  <c r="P200" i="5" s="1"/>
  <c r="Q200" i="5" s="1"/>
  <c r="R200" i="5" s="1"/>
  <c r="N198" i="5"/>
  <c r="P198" i="5" s="1"/>
  <c r="Q198" i="5" s="1"/>
  <c r="R198" i="5" s="1"/>
  <c r="N197" i="5"/>
  <c r="P197" i="5" s="1"/>
  <c r="Q197" i="5" s="1"/>
  <c r="R197" i="5" s="1"/>
  <c r="N193" i="5"/>
  <c r="P193" i="5" s="1"/>
  <c r="Q193" i="5" s="1"/>
  <c r="R193" i="5" s="1"/>
  <c r="N192" i="5"/>
  <c r="P192" i="5" s="1"/>
  <c r="Q192" i="5" s="1"/>
  <c r="R192" i="5" s="1"/>
  <c r="N191" i="5"/>
  <c r="P191" i="5" s="1"/>
  <c r="Q191" i="5" s="1"/>
  <c r="R191" i="5" s="1"/>
  <c r="N189" i="5"/>
  <c r="P189" i="5" s="1"/>
  <c r="Q189" i="5" s="1"/>
  <c r="R189" i="5" s="1"/>
  <c r="N186" i="5"/>
  <c r="P186" i="5" s="1"/>
  <c r="Q186" i="5" s="1"/>
  <c r="R186" i="5" s="1"/>
  <c r="N185" i="5"/>
  <c r="P185" i="5" s="1"/>
  <c r="Q185" i="5" s="1"/>
  <c r="R185" i="5" s="1"/>
  <c r="N183" i="5"/>
  <c r="P183" i="5" s="1"/>
  <c r="Q183" i="5" s="1"/>
  <c r="R183" i="5" s="1"/>
  <c r="N182" i="5"/>
  <c r="P182" i="5" s="1"/>
  <c r="Q182" i="5" s="1"/>
  <c r="R182" i="5" s="1"/>
  <c r="N181" i="5"/>
  <c r="P181" i="5" s="1"/>
  <c r="Q181" i="5" s="1"/>
  <c r="R181" i="5" s="1"/>
  <c r="N171" i="5"/>
  <c r="P222" i="5"/>
  <c r="Q222" i="5" s="1"/>
  <c r="R222" i="5" s="1"/>
  <c r="P221" i="5"/>
  <c r="W14" i="5"/>
  <c r="W13" i="5"/>
  <c r="W12" i="5"/>
  <c r="W11" i="5"/>
  <c r="W10" i="5"/>
  <c r="W9" i="5"/>
  <c r="W8" i="5"/>
  <c r="W7" i="5"/>
  <c r="W6" i="5"/>
  <c r="W5" i="5"/>
  <c r="U90" i="4"/>
  <c r="U76" i="4"/>
  <c r="U62" i="4"/>
  <c r="M225" i="4"/>
  <c r="M224" i="4"/>
  <c r="M223" i="4"/>
  <c r="M222" i="4"/>
  <c r="M221" i="4"/>
  <c r="M219" i="4"/>
  <c r="M218" i="4"/>
  <c r="M217" i="4"/>
  <c r="M216" i="4"/>
  <c r="M215" i="4"/>
  <c r="M213" i="4"/>
  <c r="M212" i="4"/>
  <c r="M211" i="4"/>
  <c r="M210" i="4"/>
  <c r="M209" i="4"/>
  <c r="M207" i="4"/>
  <c r="M206" i="4"/>
  <c r="M205" i="4"/>
  <c r="M204" i="4"/>
  <c r="M203" i="4"/>
  <c r="M201" i="4"/>
  <c r="M200" i="4"/>
  <c r="M199" i="4"/>
  <c r="M198" i="4"/>
  <c r="M197" i="4"/>
  <c r="M195" i="4"/>
  <c r="M194" i="4"/>
  <c r="M193" i="4"/>
  <c r="M192" i="4"/>
  <c r="M191" i="4"/>
  <c r="M189" i="4"/>
  <c r="M188" i="4"/>
  <c r="M187" i="4"/>
  <c r="M186" i="4"/>
  <c r="M185" i="4"/>
  <c r="M183" i="4"/>
  <c r="M182" i="4"/>
  <c r="M181" i="4"/>
  <c r="M180" i="4"/>
  <c r="M179" i="4"/>
  <c r="M177" i="4"/>
  <c r="M176" i="4"/>
  <c r="M175" i="4"/>
  <c r="M174" i="4"/>
  <c r="M173" i="4"/>
  <c r="M171" i="4"/>
  <c r="M170" i="4"/>
  <c r="M169" i="4"/>
  <c r="M168" i="4"/>
  <c r="N168" i="4" s="1"/>
  <c r="O168" i="4" s="1"/>
  <c r="P168" i="4" s="1"/>
  <c r="Q168" i="4" s="1"/>
  <c r="M167" i="4"/>
  <c r="N225" i="4"/>
  <c r="O225" i="4" s="1"/>
  <c r="P225" i="4" s="1"/>
  <c r="Q225" i="4" s="1"/>
  <c r="N224" i="4"/>
  <c r="O224" i="4" s="1"/>
  <c r="P224" i="4" s="1"/>
  <c r="Q224" i="4" s="1"/>
  <c r="N223" i="4"/>
  <c r="O223" i="4" s="1"/>
  <c r="P223" i="4" s="1"/>
  <c r="Q223" i="4" s="1"/>
  <c r="N222" i="4"/>
  <c r="O222" i="4" s="1"/>
  <c r="P222" i="4" s="1"/>
  <c r="Q222" i="4" s="1"/>
  <c r="N221" i="4"/>
  <c r="O221" i="4" s="1"/>
  <c r="P221" i="4" s="1"/>
  <c r="Q221" i="4" s="1"/>
  <c r="N219" i="4"/>
  <c r="O219" i="4" s="1"/>
  <c r="P219" i="4" s="1"/>
  <c r="Q219" i="4" s="1"/>
  <c r="N218" i="4"/>
  <c r="O218" i="4" s="1"/>
  <c r="P218" i="4" s="1"/>
  <c r="Q218" i="4" s="1"/>
  <c r="N217" i="4"/>
  <c r="O217" i="4" s="1"/>
  <c r="P217" i="4" s="1"/>
  <c r="Q217" i="4" s="1"/>
  <c r="N216" i="4"/>
  <c r="O216" i="4" s="1"/>
  <c r="P216" i="4" s="1"/>
  <c r="Q216" i="4" s="1"/>
  <c r="N215" i="4"/>
  <c r="O215" i="4" s="1"/>
  <c r="P215" i="4" s="1"/>
  <c r="Q215" i="4" s="1"/>
  <c r="N213" i="4"/>
  <c r="N212" i="4"/>
  <c r="N211" i="4"/>
  <c r="N210" i="4"/>
  <c r="N209" i="4"/>
  <c r="N207" i="4"/>
  <c r="N206" i="4"/>
  <c r="N205" i="4"/>
  <c r="N204" i="4"/>
  <c r="N203" i="4"/>
  <c r="N201" i="4"/>
  <c r="N200" i="4"/>
  <c r="N199" i="4"/>
  <c r="N198" i="4"/>
  <c r="N197" i="4"/>
  <c r="N195" i="4"/>
  <c r="O195" i="4" s="1"/>
  <c r="P195" i="4" s="1"/>
  <c r="Q195" i="4" s="1"/>
  <c r="N194" i="4"/>
  <c r="N193" i="4"/>
  <c r="N192" i="4"/>
  <c r="N191" i="4"/>
  <c r="N189" i="4"/>
  <c r="N188" i="4"/>
  <c r="N187" i="4"/>
  <c r="N186" i="4"/>
  <c r="N185" i="4"/>
  <c r="N183" i="4"/>
  <c r="N182" i="4"/>
  <c r="N181" i="4"/>
  <c r="O181" i="4" s="1"/>
  <c r="P181" i="4" s="1"/>
  <c r="Q181" i="4" s="1"/>
  <c r="N180" i="4"/>
  <c r="N179" i="4"/>
  <c r="N177" i="4"/>
  <c r="N176" i="4"/>
  <c r="N175" i="4"/>
  <c r="N174" i="4"/>
  <c r="N173" i="4"/>
  <c r="N169" i="4"/>
  <c r="O169" i="4" s="1"/>
  <c r="P169" i="4" s="1"/>
  <c r="Q169" i="4" s="1"/>
  <c r="N170" i="4"/>
  <c r="N171" i="4"/>
  <c r="N167" i="4"/>
  <c r="O167" i="4" s="1"/>
  <c r="P167" i="4" s="1"/>
  <c r="Q167" i="4" s="1"/>
  <c r="W14" i="4"/>
  <c r="W13" i="4"/>
  <c r="W12" i="4"/>
  <c r="W11" i="4"/>
  <c r="W10" i="4"/>
  <c r="W9" i="4"/>
  <c r="W8" i="4"/>
  <c r="W7" i="4"/>
  <c r="W6" i="4"/>
  <c r="W5" i="4"/>
  <c r="N288" i="2"/>
  <c r="N287" i="2"/>
  <c r="N286" i="2"/>
  <c r="O286" i="2" s="1"/>
  <c r="P286" i="2" s="1"/>
  <c r="Q286" i="2" s="1"/>
  <c r="N285" i="2"/>
  <c r="O285" i="2" s="1"/>
  <c r="P285" i="2" s="1"/>
  <c r="Q285" i="2" s="1"/>
  <c r="N284" i="2"/>
  <c r="O284" i="2" s="1"/>
  <c r="P284" i="2" s="1"/>
  <c r="Q284" i="2" s="1"/>
  <c r="N282" i="2"/>
  <c r="O282" i="2" s="1"/>
  <c r="P282" i="2" s="1"/>
  <c r="Q282" i="2" s="1"/>
  <c r="N281" i="2"/>
  <c r="O281" i="2" s="1"/>
  <c r="P281" i="2" s="1"/>
  <c r="Q281" i="2" s="1"/>
  <c r="N280" i="2"/>
  <c r="O280" i="2" s="1"/>
  <c r="P280" i="2" s="1"/>
  <c r="Q280" i="2" s="1"/>
  <c r="N279" i="2"/>
  <c r="O279" i="2" s="1"/>
  <c r="P279" i="2" s="1"/>
  <c r="Q279" i="2" s="1"/>
  <c r="N278" i="2"/>
  <c r="O278" i="2" s="1"/>
  <c r="P278" i="2" s="1"/>
  <c r="Q278" i="2" s="1"/>
  <c r="N276" i="2"/>
  <c r="O276" i="2" s="1"/>
  <c r="P276" i="2" s="1"/>
  <c r="Q276" i="2" s="1"/>
  <c r="N275" i="2"/>
  <c r="O275" i="2" s="1"/>
  <c r="P275" i="2" s="1"/>
  <c r="Q275" i="2" s="1"/>
  <c r="N274" i="2"/>
  <c r="O274" i="2" s="1"/>
  <c r="P274" i="2" s="1"/>
  <c r="Q274" i="2" s="1"/>
  <c r="N273" i="2"/>
  <c r="O273" i="2" s="1"/>
  <c r="P273" i="2" s="1"/>
  <c r="Q273" i="2" s="1"/>
  <c r="N272" i="2"/>
  <c r="O272" i="2" s="1"/>
  <c r="P272" i="2" s="1"/>
  <c r="Q272" i="2" s="1"/>
  <c r="N270" i="2"/>
  <c r="N269" i="2"/>
  <c r="O269" i="2" s="1"/>
  <c r="P269" i="2" s="1"/>
  <c r="Q269" i="2" s="1"/>
  <c r="N268" i="2"/>
  <c r="N267" i="2"/>
  <c r="O267" i="2" s="1"/>
  <c r="P267" i="2" s="1"/>
  <c r="Q267" i="2" s="1"/>
  <c r="N266" i="2"/>
  <c r="O266" i="2" s="1"/>
  <c r="P266" i="2" s="1"/>
  <c r="Q266" i="2" s="1"/>
  <c r="N264" i="2"/>
  <c r="N263" i="2"/>
  <c r="N262" i="2"/>
  <c r="N261" i="2"/>
  <c r="N260" i="2"/>
  <c r="O260" i="2" s="1"/>
  <c r="P260" i="2" s="1"/>
  <c r="Q260" i="2" s="1"/>
  <c r="N258" i="2"/>
  <c r="N257" i="2"/>
  <c r="N256" i="2"/>
  <c r="N255" i="2"/>
  <c r="O255" i="2" s="1"/>
  <c r="P255" i="2" s="1"/>
  <c r="Q255" i="2" s="1"/>
  <c r="N254" i="2"/>
  <c r="N252" i="2"/>
  <c r="N251" i="2"/>
  <c r="N250" i="2"/>
  <c r="O250" i="2" s="1"/>
  <c r="P250" i="2" s="1"/>
  <c r="Q250" i="2" s="1"/>
  <c r="N249" i="2"/>
  <c r="O249" i="2" s="1"/>
  <c r="P249" i="2" s="1"/>
  <c r="Q249" i="2" s="1"/>
  <c r="N248" i="2"/>
  <c r="N246" i="2"/>
  <c r="N245" i="2"/>
  <c r="N244" i="2"/>
  <c r="N243" i="2"/>
  <c r="N242" i="2"/>
  <c r="N240" i="2"/>
  <c r="O240" i="2" s="1"/>
  <c r="P240" i="2" s="1"/>
  <c r="Q240" i="2" s="1"/>
  <c r="N239" i="2"/>
  <c r="N238" i="2"/>
  <c r="N237" i="2"/>
  <c r="N236" i="2"/>
  <c r="N232" i="2"/>
  <c r="N233" i="2"/>
  <c r="O233" i="2" s="1"/>
  <c r="P233" i="2" s="1"/>
  <c r="Q233" i="2" s="1"/>
  <c r="N234" i="2"/>
  <c r="N230" i="2"/>
  <c r="O230" i="2" s="1"/>
  <c r="P230" i="2" s="1"/>
  <c r="Q230" i="2" s="1"/>
  <c r="W26" i="2"/>
  <c r="W25" i="2"/>
  <c r="W24" i="2"/>
  <c r="W23" i="2"/>
  <c r="W22" i="2"/>
  <c r="W21" i="2"/>
  <c r="W20" i="2"/>
  <c r="W19" i="2"/>
  <c r="W18" i="2"/>
  <c r="W17" i="2"/>
  <c r="U78" i="2"/>
  <c r="N225" i="2"/>
  <c r="N224" i="2"/>
  <c r="N223" i="2"/>
  <c r="N222" i="2"/>
  <c r="N221" i="2"/>
  <c r="N219" i="2"/>
  <c r="N218" i="2"/>
  <c r="N217" i="2"/>
  <c r="N216" i="2"/>
  <c r="N215" i="2"/>
  <c r="N213" i="2"/>
  <c r="N212" i="2"/>
  <c r="N211" i="2"/>
  <c r="N210" i="2"/>
  <c r="N209" i="2"/>
  <c r="N207" i="2"/>
  <c r="N206" i="2"/>
  <c r="N205" i="2"/>
  <c r="N204" i="2"/>
  <c r="N203" i="2"/>
  <c r="N201" i="2"/>
  <c r="N200" i="2"/>
  <c r="N199" i="2"/>
  <c r="N198" i="2"/>
  <c r="N197" i="2"/>
  <c r="N195" i="2"/>
  <c r="N194" i="2"/>
  <c r="N193" i="2"/>
  <c r="N192" i="2"/>
  <c r="N191" i="2"/>
  <c r="N189" i="2"/>
  <c r="N188" i="2"/>
  <c r="N187" i="2"/>
  <c r="N186" i="2"/>
  <c r="N185" i="2"/>
  <c r="N183" i="2"/>
  <c r="N182" i="2"/>
  <c r="N181" i="2"/>
  <c r="N180" i="2"/>
  <c r="N179" i="2"/>
  <c r="N177" i="2"/>
  <c r="N176" i="2"/>
  <c r="N175" i="2"/>
  <c r="N174" i="2"/>
  <c r="N173" i="2"/>
  <c r="N168" i="2"/>
  <c r="N169" i="2"/>
  <c r="N170" i="2"/>
  <c r="N171" i="2"/>
  <c r="N167" i="2"/>
  <c r="W14" i="2"/>
  <c r="W13" i="2"/>
  <c r="W12" i="2"/>
  <c r="W11" i="2"/>
  <c r="W10" i="2"/>
  <c r="W9" i="2"/>
  <c r="W8" i="2"/>
  <c r="W7" i="2"/>
  <c r="W6" i="2"/>
  <c r="W5" i="2"/>
  <c r="O288" i="2"/>
  <c r="P288" i="2" s="1"/>
  <c r="Q288" i="2" s="1"/>
  <c r="O287" i="2"/>
  <c r="P287" i="2" s="1"/>
  <c r="Q287" i="2" s="1"/>
  <c r="O270" i="2"/>
  <c r="P270" i="2" s="1"/>
  <c r="Q270" i="2" s="1"/>
  <c r="O268" i="2"/>
  <c r="P268" i="2" s="1"/>
  <c r="Q268" i="2" s="1"/>
  <c r="O264" i="2"/>
  <c r="P264" i="2" s="1"/>
  <c r="Q264" i="2" s="1"/>
  <c r="O263" i="2"/>
  <c r="P263" i="2" s="1"/>
  <c r="Q263" i="2" s="1"/>
  <c r="O262" i="2"/>
  <c r="P262" i="2" s="1"/>
  <c r="Q262" i="2" s="1"/>
  <c r="O261" i="2"/>
  <c r="P261" i="2" s="1"/>
  <c r="Q261" i="2" s="1"/>
  <c r="O258" i="2"/>
  <c r="P258" i="2" s="1"/>
  <c r="Q258" i="2" s="1"/>
  <c r="O257" i="2"/>
  <c r="P257" i="2" s="1"/>
  <c r="Q257" i="2" s="1"/>
  <c r="O256" i="2"/>
  <c r="P256" i="2" s="1"/>
  <c r="Q256" i="2" s="1"/>
  <c r="O254" i="2"/>
  <c r="P254" i="2" s="1"/>
  <c r="Q254" i="2" s="1"/>
  <c r="O252" i="2"/>
  <c r="P252" i="2" s="1"/>
  <c r="Q252" i="2" s="1"/>
  <c r="O251" i="2"/>
  <c r="P251" i="2" s="1"/>
  <c r="Q251" i="2" s="1"/>
  <c r="O248" i="2"/>
  <c r="P248" i="2" s="1"/>
  <c r="Q248" i="2" s="1"/>
  <c r="O246" i="2"/>
  <c r="P246" i="2" s="1"/>
  <c r="Q246" i="2" s="1"/>
  <c r="O245" i="2"/>
  <c r="P245" i="2" s="1"/>
  <c r="Q245" i="2" s="1"/>
  <c r="O244" i="2"/>
  <c r="P244" i="2" s="1"/>
  <c r="Q244" i="2" s="1"/>
  <c r="O243" i="2"/>
  <c r="P243" i="2" s="1"/>
  <c r="Q243" i="2" s="1"/>
  <c r="O242" i="2"/>
  <c r="P242" i="2" s="1"/>
  <c r="Q242" i="2" s="1"/>
  <c r="O239" i="2"/>
  <c r="P239" i="2" s="1"/>
  <c r="Q239" i="2" s="1"/>
  <c r="O238" i="2"/>
  <c r="P238" i="2" s="1"/>
  <c r="Q238" i="2" s="1"/>
  <c r="O237" i="2"/>
  <c r="P237" i="2" s="1"/>
  <c r="Q237" i="2" s="1"/>
  <c r="O236" i="2"/>
  <c r="P236" i="2" s="1"/>
  <c r="Q236" i="2" s="1"/>
  <c r="O232" i="2"/>
  <c r="P232" i="2" s="1"/>
  <c r="Q232" i="2" s="1"/>
  <c r="V62" i="5"/>
  <c r="M162" i="5"/>
  <c r="O162" i="5" s="1"/>
  <c r="M161" i="5"/>
  <c r="O161" i="5" s="1"/>
  <c r="M160" i="5"/>
  <c r="O160" i="5" s="1"/>
  <c r="M159" i="5"/>
  <c r="O159" i="5" s="1"/>
  <c r="M158" i="5"/>
  <c r="O158" i="5" s="1"/>
  <c r="M156" i="5"/>
  <c r="O156" i="5" s="1"/>
  <c r="M155" i="5"/>
  <c r="O155" i="5" s="1"/>
  <c r="M154" i="5"/>
  <c r="O154" i="5" s="1"/>
  <c r="M153" i="5"/>
  <c r="O153" i="5" s="1"/>
  <c r="M152" i="5"/>
  <c r="O152" i="5" s="1"/>
  <c r="M150" i="5"/>
  <c r="O150" i="5" s="1"/>
  <c r="M149" i="5"/>
  <c r="O149" i="5" s="1"/>
  <c r="M148" i="5"/>
  <c r="O148" i="5" s="1"/>
  <c r="M147" i="5"/>
  <c r="O147" i="5" s="1"/>
  <c r="M146" i="5"/>
  <c r="O146" i="5" s="1"/>
  <c r="M144" i="5"/>
  <c r="O144" i="5" s="1"/>
  <c r="M143" i="5"/>
  <c r="O143" i="5" s="1"/>
  <c r="M142" i="5"/>
  <c r="O142" i="5" s="1"/>
  <c r="M141" i="5"/>
  <c r="O141" i="5" s="1"/>
  <c r="M140" i="5"/>
  <c r="O140" i="5" s="1"/>
  <c r="M138" i="5"/>
  <c r="M137" i="5"/>
  <c r="O137" i="5" s="1"/>
  <c r="M136" i="5"/>
  <c r="M135" i="5"/>
  <c r="O135" i="5" s="1"/>
  <c r="M134" i="5"/>
  <c r="O134" i="5" s="1"/>
  <c r="M132" i="5"/>
  <c r="O132" i="5" s="1"/>
  <c r="M131" i="5"/>
  <c r="O131" i="5" s="1"/>
  <c r="M130" i="5"/>
  <c r="O130" i="5" s="1"/>
  <c r="M129" i="5"/>
  <c r="O129" i="5" s="1"/>
  <c r="M128" i="5"/>
  <c r="O128" i="5" s="1"/>
  <c r="M126" i="5"/>
  <c r="O126" i="5" s="1"/>
  <c r="M125" i="5"/>
  <c r="O125" i="5" s="1"/>
  <c r="M124" i="5"/>
  <c r="O124" i="5" s="1"/>
  <c r="M123" i="5"/>
  <c r="O123" i="5" s="1"/>
  <c r="M122" i="5"/>
  <c r="O122" i="5" s="1"/>
  <c r="M120" i="5"/>
  <c r="O120" i="5" s="1"/>
  <c r="M119" i="5"/>
  <c r="O119" i="5" s="1"/>
  <c r="M118" i="5"/>
  <c r="O118" i="5" s="1"/>
  <c r="M117" i="5"/>
  <c r="O117" i="5" s="1"/>
  <c r="M116" i="5"/>
  <c r="O116" i="5" s="1"/>
  <c r="M114" i="5"/>
  <c r="O114" i="5" s="1"/>
  <c r="M113" i="5"/>
  <c r="O113" i="5" s="1"/>
  <c r="M112" i="5"/>
  <c r="O112" i="5" s="1"/>
  <c r="M111" i="5"/>
  <c r="O111" i="5" s="1"/>
  <c r="M110" i="5"/>
  <c r="O110" i="5" s="1"/>
  <c r="M108" i="5"/>
  <c r="M107" i="5"/>
  <c r="M106" i="5"/>
  <c r="O106" i="5" s="1"/>
  <c r="M105" i="5"/>
  <c r="M104" i="5"/>
  <c r="O104" i="5" s="1"/>
  <c r="N162" i="5"/>
  <c r="P162" i="5" s="1"/>
  <c r="Q162" i="5" s="1"/>
  <c r="R162" i="5" s="1"/>
  <c r="N159" i="5"/>
  <c r="P159" i="5" s="1"/>
  <c r="Q159" i="5" s="1"/>
  <c r="R159" i="5" s="1"/>
  <c r="N158" i="5"/>
  <c r="P158" i="5" s="1"/>
  <c r="Q158" i="5" s="1"/>
  <c r="R158" i="5" s="1"/>
  <c r="N156" i="5"/>
  <c r="P156" i="5" s="1"/>
  <c r="Q156" i="5" s="1"/>
  <c r="R156" i="5" s="1"/>
  <c r="N155" i="5"/>
  <c r="P155" i="5" s="1"/>
  <c r="Q155" i="5" s="1"/>
  <c r="R155" i="5" s="1"/>
  <c r="N154" i="5"/>
  <c r="P154" i="5" s="1"/>
  <c r="Q154" i="5" s="1"/>
  <c r="R154" i="5" s="1"/>
  <c r="N153" i="5"/>
  <c r="P153" i="5" s="1"/>
  <c r="Q153" i="5" s="1"/>
  <c r="R153" i="5" s="1"/>
  <c r="N152" i="5"/>
  <c r="P152" i="5" s="1"/>
  <c r="Q152" i="5" s="1"/>
  <c r="R152" i="5" s="1"/>
  <c r="N150" i="5"/>
  <c r="P150" i="5" s="1"/>
  <c r="Q150" i="5" s="1"/>
  <c r="R150" i="5" s="1"/>
  <c r="N149" i="5"/>
  <c r="P149" i="5" s="1"/>
  <c r="Q149" i="5" s="1"/>
  <c r="R149" i="5" s="1"/>
  <c r="N148" i="5"/>
  <c r="P148" i="5" s="1"/>
  <c r="Q148" i="5" s="1"/>
  <c r="R148" i="5" s="1"/>
  <c r="N147" i="5"/>
  <c r="P147" i="5" s="1"/>
  <c r="Q147" i="5" s="1"/>
  <c r="R147" i="5" s="1"/>
  <c r="N146" i="5"/>
  <c r="P146" i="5" s="1"/>
  <c r="Q146" i="5" s="1"/>
  <c r="R146" i="5" s="1"/>
  <c r="N144" i="5"/>
  <c r="P144" i="5" s="1"/>
  <c r="Q144" i="5" s="1"/>
  <c r="R144" i="5" s="1"/>
  <c r="N143" i="5"/>
  <c r="P143" i="5" s="1"/>
  <c r="Q143" i="5" s="1"/>
  <c r="R143" i="5" s="1"/>
  <c r="N142" i="5"/>
  <c r="P142" i="5" s="1"/>
  <c r="Q142" i="5" s="1"/>
  <c r="R142" i="5" s="1"/>
  <c r="N141" i="5"/>
  <c r="P141" i="5" s="1"/>
  <c r="Q141" i="5" s="1"/>
  <c r="R141" i="5" s="1"/>
  <c r="N140" i="5"/>
  <c r="P140" i="5" s="1"/>
  <c r="Q140" i="5" s="1"/>
  <c r="R140" i="5" s="1"/>
  <c r="N137" i="5"/>
  <c r="P137" i="5" s="1"/>
  <c r="Q137" i="5" s="1"/>
  <c r="R137" i="5" s="1"/>
  <c r="N135" i="5"/>
  <c r="P135" i="5" s="1"/>
  <c r="Q135" i="5" s="1"/>
  <c r="R135" i="5" s="1"/>
  <c r="N134" i="5"/>
  <c r="P134" i="5" s="1"/>
  <c r="Q134" i="5" s="1"/>
  <c r="R134" i="5" s="1"/>
  <c r="N132" i="5"/>
  <c r="N130" i="5"/>
  <c r="N129" i="5"/>
  <c r="N128" i="5"/>
  <c r="P128" i="5" s="1"/>
  <c r="Q128" i="5" s="1"/>
  <c r="R128" i="5" s="1"/>
  <c r="N126" i="5"/>
  <c r="P126" i="5" s="1"/>
  <c r="Q126" i="5" s="1"/>
  <c r="R126" i="5" s="1"/>
  <c r="N125" i="5"/>
  <c r="N124" i="5"/>
  <c r="N120" i="5"/>
  <c r="N119" i="5"/>
  <c r="P119" i="5" s="1"/>
  <c r="Q119" i="5" s="1"/>
  <c r="R119" i="5" s="1"/>
  <c r="N118" i="5"/>
  <c r="P118" i="5" s="1"/>
  <c r="Q118" i="5" s="1"/>
  <c r="R118" i="5" s="1"/>
  <c r="N117" i="5"/>
  <c r="N116" i="5"/>
  <c r="P116" i="5" s="1"/>
  <c r="Q116" i="5" s="1"/>
  <c r="R116" i="5" s="1"/>
  <c r="N114" i="5"/>
  <c r="P114" i="5" s="1"/>
  <c r="Q114" i="5" s="1"/>
  <c r="R114" i="5" s="1"/>
  <c r="N113" i="5"/>
  <c r="P113" i="5" s="1"/>
  <c r="Q113" i="5" s="1"/>
  <c r="R113" i="5" s="1"/>
  <c r="P132" i="5"/>
  <c r="Q132" i="5" s="1"/>
  <c r="R132" i="5" s="1"/>
  <c r="P130" i="5"/>
  <c r="Q130" i="5" s="1"/>
  <c r="R130" i="5" s="1"/>
  <c r="P129" i="5"/>
  <c r="Q129" i="5" s="1"/>
  <c r="R129" i="5" s="1"/>
  <c r="P125" i="5"/>
  <c r="Q125" i="5" s="1"/>
  <c r="R125" i="5" s="1"/>
  <c r="P124" i="5"/>
  <c r="Q124" i="5" s="1"/>
  <c r="R124" i="5" s="1"/>
  <c r="P120" i="5"/>
  <c r="Q120" i="5" s="1"/>
  <c r="R120" i="5" s="1"/>
  <c r="P117" i="5"/>
  <c r="Q117" i="5" s="1"/>
  <c r="R117" i="5" s="1"/>
  <c r="L26" i="5"/>
  <c r="L25" i="5"/>
  <c r="L24" i="5"/>
  <c r="L23" i="5"/>
  <c r="L22" i="5"/>
  <c r="L21" i="5"/>
  <c r="L20" i="5"/>
  <c r="L19" i="5"/>
  <c r="L18" i="5"/>
  <c r="L17" i="5"/>
  <c r="M162" i="4"/>
  <c r="M161" i="4"/>
  <c r="M160" i="4"/>
  <c r="M159" i="4"/>
  <c r="N159" i="4" s="1"/>
  <c r="O159" i="4" s="1"/>
  <c r="P159" i="4" s="1"/>
  <c r="Q159" i="4" s="1"/>
  <c r="M158" i="4"/>
  <c r="N158" i="4" s="1"/>
  <c r="M156" i="4"/>
  <c r="M155" i="4"/>
  <c r="M154" i="4"/>
  <c r="M153" i="4"/>
  <c r="N153" i="4" s="1"/>
  <c r="O153" i="4" s="1"/>
  <c r="P153" i="4" s="1"/>
  <c r="Q153" i="4" s="1"/>
  <c r="M152" i="4"/>
  <c r="N152" i="4" s="1"/>
  <c r="M150" i="4"/>
  <c r="M149" i="4"/>
  <c r="M148" i="4"/>
  <c r="M147" i="4"/>
  <c r="N147" i="4" s="1"/>
  <c r="O147" i="4" s="1"/>
  <c r="P147" i="4" s="1"/>
  <c r="Q147" i="4" s="1"/>
  <c r="M146" i="4"/>
  <c r="N146" i="4" s="1"/>
  <c r="M144" i="4"/>
  <c r="M143" i="4"/>
  <c r="M142" i="4"/>
  <c r="M141" i="4"/>
  <c r="N141" i="4" s="1"/>
  <c r="O141" i="4" s="1"/>
  <c r="P141" i="4" s="1"/>
  <c r="Q141" i="4" s="1"/>
  <c r="M140" i="4"/>
  <c r="N140" i="4" s="1"/>
  <c r="M138" i="4"/>
  <c r="M137" i="4"/>
  <c r="M136" i="4"/>
  <c r="M135" i="4"/>
  <c r="N135" i="4" s="1"/>
  <c r="O135" i="4" s="1"/>
  <c r="P135" i="4" s="1"/>
  <c r="Q135" i="4" s="1"/>
  <c r="M134" i="4"/>
  <c r="N134" i="4" s="1"/>
  <c r="M132" i="4"/>
  <c r="M131" i="4"/>
  <c r="M130" i="4"/>
  <c r="M129" i="4"/>
  <c r="N129" i="4" s="1"/>
  <c r="O129" i="4" s="1"/>
  <c r="P129" i="4" s="1"/>
  <c r="Q129" i="4" s="1"/>
  <c r="M128" i="4"/>
  <c r="N128" i="4" s="1"/>
  <c r="M126" i="4"/>
  <c r="M125" i="4"/>
  <c r="M124" i="4"/>
  <c r="M123" i="4"/>
  <c r="N123" i="4" s="1"/>
  <c r="O123" i="4" s="1"/>
  <c r="P123" i="4" s="1"/>
  <c r="Q123" i="4" s="1"/>
  <c r="M122" i="4"/>
  <c r="N122" i="4" s="1"/>
  <c r="M120" i="4"/>
  <c r="M119" i="4"/>
  <c r="M118" i="4"/>
  <c r="M117" i="4"/>
  <c r="N117" i="4" s="1"/>
  <c r="O117" i="4" s="1"/>
  <c r="P117" i="4" s="1"/>
  <c r="Q117" i="4" s="1"/>
  <c r="M116" i="4"/>
  <c r="N116" i="4" s="1"/>
  <c r="M114" i="4"/>
  <c r="M113" i="4"/>
  <c r="M112" i="4"/>
  <c r="M111" i="4"/>
  <c r="N111" i="4" s="1"/>
  <c r="O111" i="4" s="1"/>
  <c r="P111" i="4" s="1"/>
  <c r="Q111" i="4" s="1"/>
  <c r="M110" i="4"/>
  <c r="N110" i="4" s="1"/>
  <c r="N162" i="4"/>
  <c r="O162" i="4" s="1"/>
  <c r="P162" i="4" s="1"/>
  <c r="Q162" i="4" s="1"/>
  <c r="N161" i="4"/>
  <c r="O161" i="4" s="1"/>
  <c r="P161" i="4" s="1"/>
  <c r="Q161" i="4" s="1"/>
  <c r="N160" i="4"/>
  <c r="O160" i="4" s="1"/>
  <c r="P160" i="4" s="1"/>
  <c r="Q160" i="4" s="1"/>
  <c r="N156" i="4"/>
  <c r="O156" i="4" s="1"/>
  <c r="P156" i="4" s="1"/>
  <c r="Q156" i="4" s="1"/>
  <c r="N155" i="4"/>
  <c r="O155" i="4" s="1"/>
  <c r="P155" i="4" s="1"/>
  <c r="Q155" i="4" s="1"/>
  <c r="N154" i="4"/>
  <c r="O154" i="4" s="1"/>
  <c r="P154" i="4" s="1"/>
  <c r="Q154" i="4" s="1"/>
  <c r="N150" i="4"/>
  <c r="O150" i="4" s="1"/>
  <c r="P150" i="4" s="1"/>
  <c r="Q150" i="4" s="1"/>
  <c r="N149" i="4"/>
  <c r="O149" i="4" s="1"/>
  <c r="P149" i="4" s="1"/>
  <c r="Q149" i="4" s="1"/>
  <c r="N148" i="4"/>
  <c r="O148" i="4" s="1"/>
  <c r="P148" i="4" s="1"/>
  <c r="Q148" i="4" s="1"/>
  <c r="N144" i="4"/>
  <c r="O144" i="4" s="1"/>
  <c r="P144" i="4" s="1"/>
  <c r="Q144" i="4" s="1"/>
  <c r="N143" i="4"/>
  <c r="O143" i="4" s="1"/>
  <c r="P143" i="4" s="1"/>
  <c r="Q143" i="4" s="1"/>
  <c r="N142" i="4"/>
  <c r="O142" i="4" s="1"/>
  <c r="P142" i="4" s="1"/>
  <c r="Q142" i="4" s="1"/>
  <c r="N138" i="4"/>
  <c r="N137" i="4"/>
  <c r="N136" i="4"/>
  <c r="O136" i="4" s="1"/>
  <c r="P136" i="4" s="1"/>
  <c r="Q136" i="4" s="1"/>
  <c r="N132" i="4"/>
  <c r="O132" i="4" s="1"/>
  <c r="P132" i="4" s="1"/>
  <c r="Q132" i="4" s="1"/>
  <c r="N131" i="4"/>
  <c r="O131" i="4" s="1"/>
  <c r="P131" i="4" s="1"/>
  <c r="Q131" i="4" s="1"/>
  <c r="N130" i="4"/>
  <c r="O130" i="4" s="1"/>
  <c r="P130" i="4" s="1"/>
  <c r="Q130" i="4" s="1"/>
  <c r="N126" i="4"/>
  <c r="O126" i="4" s="1"/>
  <c r="P126" i="4" s="1"/>
  <c r="Q126" i="4" s="1"/>
  <c r="N125" i="4"/>
  <c r="O125" i="4" s="1"/>
  <c r="P125" i="4" s="1"/>
  <c r="Q125" i="4" s="1"/>
  <c r="N124" i="4"/>
  <c r="O124" i="4" s="1"/>
  <c r="P124" i="4" s="1"/>
  <c r="Q124" i="4" s="1"/>
  <c r="N120" i="4"/>
  <c r="O120" i="4" s="1"/>
  <c r="P120" i="4" s="1"/>
  <c r="Q120" i="4" s="1"/>
  <c r="N119" i="4"/>
  <c r="O119" i="4" s="1"/>
  <c r="P119" i="4" s="1"/>
  <c r="Q119" i="4" s="1"/>
  <c r="N118" i="4"/>
  <c r="O118" i="4" s="1"/>
  <c r="P118" i="4" s="1"/>
  <c r="Q118" i="4" s="1"/>
  <c r="N114" i="4"/>
  <c r="O114" i="4" s="1"/>
  <c r="P114" i="4" s="1"/>
  <c r="Q114" i="4" s="1"/>
  <c r="N113" i="4"/>
  <c r="O113" i="4" s="1"/>
  <c r="P113" i="4" s="1"/>
  <c r="Q113" i="4" s="1"/>
  <c r="N112" i="4"/>
  <c r="O112" i="4" s="1"/>
  <c r="P112" i="4" s="1"/>
  <c r="Q112" i="4" s="1"/>
  <c r="N105" i="4"/>
  <c r="N106" i="4"/>
  <c r="N107" i="4"/>
  <c r="N108" i="4"/>
  <c r="N104" i="4"/>
  <c r="L26" i="4"/>
  <c r="L25" i="4"/>
  <c r="L24" i="4"/>
  <c r="L23" i="4"/>
  <c r="L22" i="4"/>
  <c r="L21" i="4"/>
  <c r="L20" i="4"/>
  <c r="L19" i="4"/>
  <c r="L18" i="4"/>
  <c r="L17" i="4"/>
  <c r="M108" i="4"/>
  <c r="M107" i="4"/>
  <c r="M106" i="4"/>
  <c r="M105" i="4"/>
  <c r="M104" i="4"/>
  <c r="O288" i="4"/>
  <c r="P288" i="4" s="1"/>
  <c r="Q288" i="4" s="1"/>
  <c r="O287" i="4"/>
  <c r="P287" i="4" s="1"/>
  <c r="Q287" i="4" s="1"/>
  <c r="O286" i="4"/>
  <c r="P286" i="4" s="1"/>
  <c r="Q286" i="4" s="1"/>
  <c r="O285" i="4"/>
  <c r="P285" i="4" s="1"/>
  <c r="Q285" i="4" s="1"/>
  <c r="O284" i="4"/>
  <c r="P284" i="4" s="1"/>
  <c r="Q284" i="4" s="1"/>
  <c r="O282" i="4"/>
  <c r="P282" i="4" s="1"/>
  <c r="Q282" i="4" s="1"/>
  <c r="O281" i="4"/>
  <c r="P281" i="4" s="1"/>
  <c r="Q281" i="4" s="1"/>
  <c r="O280" i="4"/>
  <c r="P280" i="4" s="1"/>
  <c r="Q280" i="4" s="1"/>
  <c r="O279" i="4"/>
  <c r="P279" i="4" s="1"/>
  <c r="Q279" i="4" s="1"/>
  <c r="O278" i="4"/>
  <c r="P278" i="4" s="1"/>
  <c r="Q278" i="4" s="1"/>
  <c r="O276" i="4"/>
  <c r="P276" i="4" s="1"/>
  <c r="Q276" i="4" s="1"/>
  <c r="O275" i="4"/>
  <c r="P275" i="4" s="1"/>
  <c r="Q275" i="4" s="1"/>
  <c r="O274" i="4"/>
  <c r="P274" i="4" s="1"/>
  <c r="Q274" i="4" s="1"/>
  <c r="O273" i="4"/>
  <c r="P273" i="4" s="1"/>
  <c r="Q273" i="4" s="1"/>
  <c r="O272" i="4"/>
  <c r="P272" i="4" s="1"/>
  <c r="Q272" i="4" s="1"/>
  <c r="O270" i="4"/>
  <c r="P270" i="4" s="1"/>
  <c r="Q270" i="4" s="1"/>
  <c r="O269" i="4"/>
  <c r="P269" i="4" s="1"/>
  <c r="Q269" i="4" s="1"/>
  <c r="O268" i="4"/>
  <c r="P268" i="4" s="1"/>
  <c r="Q268" i="4" s="1"/>
  <c r="O267" i="4"/>
  <c r="P267" i="4" s="1"/>
  <c r="Q267" i="4" s="1"/>
  <c r="O266" i="4"/>
  <c r="P266" i="4" s="1"/>
  <c r="Q266" i="4" s="1"/>
  <c r="O264" i="4"/>
  <c r="P264" i="4" s="1"/>
  <c r="Q264" i="4" s="1"/>
  <c r="O263" i="4"/>
  <c r="P263" i="4" s="1"/>
  <c r="Q263" i="4" s="1"/>
  <c r="O262" i="4"/>
  <c r="P262" i="4" s="1"/>
  <c r="Q262" i="4" s="1"/>
  <c r="O261" i="4"/>
  <c r="P261" i="4" s="1"/>
  <c r="Q261" i="4" s="1"/>
  <c r="O260" i="4"/>
  <c r="P260" i="4" s="1"/>
  <c r="Q260" i="4" s="1"/>
  <c r="O258" i="4"/>
  <c r="P258" i="4" s="1"/>
  <c r="Q258" i="4" s="1"/>
  <c r="O257" i="4"/>
  <c r="P257" i="4" s="1"/>
  <c r="Q257" i="4" s="1"/>
  <c r="O256" i="4"/>
  <c r="P256" i="4" s="1"/>
  <c r="Q256" i="4" s="1"/>
  <c r="O255" i="4"/>
  <c r="P255" i="4" s="1"/>
  <c r="Q255" i="4" s="1"/>
  <c r="O254" i="4"/>
  <c r="P254" i="4" s="1"/>
  <c r="Q254" i="4" s="1"/>
  <c r="O252" i="4"/>
  <c r="P252" i="4" s="1"/>
  <c r="Q252" i="4" s="1"/>
  <c r="O251" i="4"/>
  <c r="P251" i="4" s="1"/>
  <c r="Q251" i="4" s="1"/>
  <c r="O250" i="4"/>
  <c r="P250" i="4" s="1"/>
  <c r="Q250" i="4" s="1"/>
  <c r="O249" i="4"/>
  <c r="P249" i="4" s="1"/>
  <c r="Q249" i="4" s="1"/>
  <c r="O248" i="4"/>
  <c r="P248" i="4" s="1"/>
  <c r="Q248" i="4" s="1"/>
  <c r="O246" i="4"/>
  <c r="P246" i="4" s="1"/>
  <c r="Q246" i="4" s="1"/>
  <c r="O245" i="4"/>
  <c r="P245" i="4" s="1"/>
  <c r="Q245" i="4" s="1"/>
  <c r="O244" i="4"/>
  <c r="P244" i="4" s="1"/>
  <c r="Q244" i="4" s="1"/>
  <c r="O243" i="4"/>
  <c r="P243" i="4" s="1"/>
  <c r="Q243" i="4" s="1"/>
  <c r="O242" i="4"/>
  <c r="P242" i="4" s="1"/>
  <c r="Q242" i="4" s="1"/>
  <c r="O240" i="4"/>
  <c r="P240" i="4" s="1"/>
  <c r="Q240" i="4" s="1"/>
  <c r="O239" i="4"/>
  <c r="P239" i="4" s="1"/>
  <c r="Q239" i="4" s="1"/>
  <c r="O238" i="4"/>
  <c r="P238" i="4" s="1"/>
  <c r="Q238" i="4" s="1"/>
  <c r="O237" i="4"/>
  <c r="P237" i="4" s="1"/>
  <c r="Q237" i="4" s="1"/>
  <c r="O236" i="4"/>
  <c r="P236" i="4" s="1"/>
  <c r="Q236" i="4" s="1"/>
  <c r="O234" i="4"/>
  <c r="P234" i="4" s="1"/>
  <c r="Q234" i="4" s="1"/>
  <c r="O233" i="4"/>
  <c r="P233" i="4" s="1"/>
  <c r="Q233" i="4" s="1"/>
  <c r="O232" i="4"/>
  <c r="P232" i="4" s="1"/>
  <c r="Q232" i="4" s="1"/>
  <c r="O231" i="4"/>
  <c r="P231" i="4" s="1"/>
  <c r="Q231" i="4" s="1"/>
  <c r="O230" i="4"/>
  <c r="P230" i="4" s="1"/>
  <c r="Q230" i="4" s="1"/>
  <c r="O213" i="4"/>
  <c r="P213" i="4" s="1"/>
  <c r="Q213" i="4" s="1"/>
  <c r="O212" i="4"/>
  <c r="P212" i="4" s="1"/>
  <c r="Q212" i="4" s="1"/>
  <c r="O211" i="4"/>
  <c r="P211" i="4" s="1"/>
  <c r="Q211" i="4" s="1"/>
  <c r="O210" i="4"/>
  <c r="P210" i="4" s="1"/>
  <c r="Q210" i="4" s="1"/>
  <c r="O209" i="4"/>
  <c r="P209" i="4" s="1"/>
  <c r="Q209" i="4" s="1"/>
  <c r="O207" i="4"/>
  <c r="P207" i="4" s="1"/>
  <c r="Q207" i="4" s="1"/>
  <c r="O206" i="4"/>
  <c r="P206" i="4" s="1"/>
  <c r="Q206" i="4" s="1"/>
  <c r="O205" i="4"/>
  <c r="P205" i="4" s="1"/>
  <c r="Q205" i="4" s="1"/>
  <c r="O204" i="4"/>
  <c r="P204" i="4" s="1"/>
  <c r="Q204" i="4" s="1"/>
  <c r="O203" i="4"/>
  <c r="P203" i="4" s="1"/>
  <c r="Q203" i="4" s="1"/>
  <c r="O201" i="4"/>
  <c r="P201" i="4" s="1"/>
  <c r="Q201" i="4" s="1"/>
  <c r="O200" i="4"/>
  <c r="P200" i="4" s="1"/>
  <c r="Q200" i="4" s="1"/>
  <c r="O199" i="4"/>
  <c r="P199" i="4" s="1"/>
  <c r="Q199" i="4" s="1"/>
  <c r="O198" i="4"/>
  <c r="P198" i="4" s="1"/>
  <c r="Q198" i="4" s="1"/>
  <c r="O197" i="4"/>
  <c r="P197" i="4" s="1"/>
  <c r="Q197" i="4" s="1"/>
  <c r="O194" i="4"/>
  <c r="P194" i="4" s="1"/>
  <c r="Q194" i="4" s="1"/>
  <c r="O193" i="4"/>
  <c r="P193" i="4" s="1"/>
  <c r="Q193" i="4" s="1"/>
  <c r="O192" i="4"/>
  <c r="P192" i="4" s="1"/>
  <c r="Q192" i="4" s="1"/>
  <c r="O191" i="4"/>
  <c r="P191" i="4" s="1"/>
  <c r="Q191" i="4" s="1"/>
  <c r="O189" i="4"/>
  <c r="P189" i="4" s="1"/>
  <c r="Q189" i="4" s="1"/>
  <c r="O188" i="4"/>
  <c r="P188" i="4" s="1"/>
  <c r="Q188" i="4" s="1"/>
  <c r="O187" i="4"/>
  <c r="P187" i="4" s="1"/>
  <c r="Q187" i="4" s="1"/>
  <c r="O186" i="4"/>
  <c r="P186" i="4" s="1"/>
  <c r="Q186" i="4" s="1"/>
  <c r="O185" i="4"/>
  <c r="P185" i="4" s="1"/>
  <c r="Q185" i="4" s="1"/>
  <c r="O183" i="4"/>
  <c r="P183" i="4" s="1"/>
  <c r="Q183" i="4" s="1"/>
  <c r="O182" i="4"/>
  <c r="P182" i="4" s="1"/>
  <c r="Q182" i="4" s="1"/>
  <c r="O180" i="4"/>
  <c r="P180" i="4" s="1"/>
  <c r="Q180" i="4" s="1"/>
  <c r="O179" i="4"/>
  <c r="P179" i="4" s="1"/>
  <c r="Q179" i="4" s="1"/>
  <c r="O177" i="4"/>
  <c r="P177" i="4" s="1"/>
  <c r="Q177" i="4" s="1"/>
  <c r="O176" i="4"/>
  <c r="P176" i="4" s="1"/>
  <c r="Q176" i="4" s="1"/>
  <c r="O175" i="4"/>
  <c r="P175" i="4" s="1"/>
  <c r="Q175" i="4" s="1"/>
  <c r="O174" i="4"/>
  <c r="P174" i="4" s="1"/>
  <c r="Q174" i="4" s="1"/>
  <c r="O173" i="4"/>
  <c r="P173" i="4" s="1"/>
  <c r="Q173" i="4" s="1"/>
  <c r="O170" i="4"/>
  <c r="P170" i="4" s="1"/>
  <c r="Q170" i="4" s="1"/>
  <c r="O108" i="4"/>
  <c r="P108" i="4" s="1"/>
  <c r="Q108" i="4" s="1"/>
  <c r="O107" i="4"/>
  <c r="P107" i="4" s="1"/>
  <c r="Q107" i="4" s="1"/>
  <c r="O106" i="4"/>
  <c r="P106" i="4" s="1"/>
  <c r="Q106" i="4" s="1"/>
  <c r="O105" i="4"/>
  <c r="P105" i="4" s="1"/>
  <c r="Q105" i="4" s="1"/>
  <c r="O104" i="4"/>
  <c r="P104" i="4" s="1"/>
  <c r="Q104" i="4" s="1"/>
  <c r="M225" i="2"/>
  <c r="M224" i="2"/>
  <c r="M223" i="2"/>
  <c r="M222" i="2"/>
  <c r="M221" i="2"/>
  <c r="M219" i="2"/>
  <c r="M218" i="2"/>
  <c r="M217" i="2"/>
  <c r="M216" i="2"/>
  <c r="M215" i="2"/>
  <c r="M213" i="2"/>
  <c r="M212" i="2"/>
  <c r="M211" i="2"/>
  <c r="M210" i="2"/>
  <c r="M209" i="2"/>
  <c r="M207" i="2"/>
  <c r="M206" i="2"/>
  <c r="M205" i="2"/>
  <c r="M204" i="2"/>
  <c r="M203" i="2"/>
  <c r="M201" i="2"/>
  <c r="M200" i="2"/>
  <c r="M199" i="2"/>
  <c r="M198" i="2"/>
  <c r="M197" i="2"/>
  <c r="M195" i="2"/>
  <c r="M194" i="2"/>
  <c r="M193" i="2"/>
  <c r="M192" i="2"/>
  <c r="M191" i="2"/>
  <c r="M189" i="2"/>
  <c r="M188" i="2"/>
  <c r="M187" i="2"/>
  <c r="M186" i="2"/>
  <c r="M185" i="2"/>
  <c r="M177" i="2"/>
  <c r="M176" i="2"/>
  <c r="M175" i="2"/>
  <c r="M174" i="2"/>
  <c r="M173" i="2"/>
  <c r="M179" i="2"/>
  <c r="M180" i="2"/>
  <c r="M181" i="2"/>
  <c r="M171" i="2"/>
  <c r="M170" i="2"/>
  <c r="M169" i="2"/>
  <c r="M168" i="2"/>
  <c r="M167" i="2"/>
  <c r="O225" i="2"/>
  <c r="P225" i="2" s="1"/>
  <c r="Q225" i="2" s="1"/>
  <c r="O224" i="2"/>
  <c r="P224" i="2" s="1"/>
  <c r="Q224" i="2" s="1"/>
  <c r="O223" i="2"/>
  <c r="P223" i="2" s="1"/>
  <c r="Q223" i="2" s="1"/>
  <c r="O222" i="2"/>
  <c r="P222" i="2" s="1"/>
  <c r="Q222" i="2" s="1"/>
  <c r="O221" i="2"/>
  <c r="P221" i="2" s="1"/>
  <c r="Q221" i="2" s="1"/>
  <c r="O219" i="2"/>
  <c r="P219" i="2" s="1"/>
  <c r="Q219" i="2" s="1"/>
  <c r="O218" i="2"/>
  <c r="P218" i="2" s="1"/>
  <c r="Q218" i="2" s="1"/>
  <c r="O217" i="2"/>
  <c r="P217" i="2" s="1"/>
  <c r="Q217" i="2" s="1"/>
  <c r="O216" i="2"/>
  <c r="P216" i="2" s="1"/>
  <c r="Q216" i="2" s="1"/>
  <c r="O215" i="2"/>
  <c r="P215" i="2" s="1"/>
  <c r="Q215" i="2" s="1"/>
  <c r="O213" i="2"/>
  <c r="P213" i="2" s="1"/>
  <c r="Q213" i="2" s="1"/>
  <c r="O212" i="2"/>
  <c r="P212" i="2" s="1"/>
  <c r="Q212" i="2" s="1"/>
  <c r="O211" i="2"/>
  <c r="P211" i="2" s="1"/>
  <c r="Q211" i="2" s="1"/>
  <c r="O210" i="2"/>
  <c r="P210" i="2" s="1"/>
  <c r="Q210" i="2" s="1"/>
  <c r="O209" i="2"/>
  <c r="P209" i="2" s="1"/>
  <c r="Q209" i="2" s="1"/>
  <c r="O207" i="2"/>
  <c r="P207" i="2" s="1"/>
  <c r="Q207" i="2" s="1"/>
  <c r="O206" i="2"/>
  <c r="P206" i="2" s="1"/>
  <c r="Q206" i="2" s="1"/>
  <c r="O205" i="2"/>
  <c r="P205" i="2" s="1"/>
  <c r="Q205" i="2" s="1"/>
  <c r="O204" i="2"/>
  <c r="P204" i="2" s="1"/>
  <c r="Q204" i="2" s="1"/>
  <c r="O203" i="2"/>
  <c r="P203" i="2" s="1"/>
  <c r="Q203" i="2" s="1"/>
  <c r="O201" i="2"/>
  <c r="P201" i="2" s="1"/>
  <c r="Q201" i="2" s="1"/>
  <c r="O200" i="2"/>
  <c r="P200" i="2" s="1"/>
  <c r="Q200" i="2" s="1"/>
  <c r="O199" i="2"/>
  <c r="P199" i="2" s="1"/>
  <c r="Q199" i="2" s="1"/>
  <c r="O198" i="2"/>
  <c r="P198" i="2" s="1"/>
  <c r="Q198" i="2" s="1"/>
  <c r="O197" i="2"/>
  <c r="P197" i="2" s="1"/>
  <c r="Q197" i="2" s="1"/>
  <c r="O195" i="2"/>
  <c r="P195" i="2" s="1"/>
  <c r="Q195" i="2" s="1"/>
  <c r="O194" i="2"/>
  <c r="P194" i="2" s="1"/>
  <c r="Q194" i="2" s="1"/>
  <c r="O193" i="2"/>
  <c r="P193" i="2" s="1"/>
  <c r="Q193" i="2" s="1"/>
  <c r="O192" i="2"/>
  <c r="P192" i="2" s="1"/>
  <c r="Q192" i="2" s="1"/>
  <c r="O191" i="2"/>
  <c r="P191" i="2" s="1"/>
  <c r="Q191" i="2" s="1"/>
  <c r="O189" i="2"/>
  <c r="P189" i="2" s="1"/>
  <c r="Q189" i="2" s="1"/>
  <c r="O188" i="2"/>
  <c r="P188" i="2" s="1"/>
  <c r="Q188" i="2" s="1"/>
  <c r="O187" i="2"/>
  <c r="P187" i="2" s="1"/>
  <c r="Q187" i="2" s="1"/>
  <c r="O186" i="2"/>
  <c r="P186" i="2" s="1"/>
  <c r="Q186" i="2" s="1"/>
  <c r="O185" i="2"/>
  <c r="P185" i="2" s="1"/>
  <c r="Q185" i="2" s="1"/>
  <c r="M183" i="2"/>
  <c r="O183" i="2" s="1"/>
  <c r="P183" i="2" s="1"/>
  <c r="Q183" i="2" s="1"/>
  <c r="M182" i="2"/>
  <c r="O182" i="2" s="1"/>
  <c r="P182" i="2" s="1"/>
  <c r="Q182" i="2" s="1"/>
  <c r="O181" i="2"/>
  <c r="P181" i="2" s="1"/>
  <c r="Q181" i="2" s="1"/>
  <c r="O180" i="2"/>
  <c r="P180" i="2" s="1"/>
  <c r="Q180" i="2" s="1"/>
  <c r="O179" i="2"/>
  <c r="P179" i="2" s="1"/>
  <c r="Q179" i="2" s="1"/>
  <c r="O177" i="2"/>
  <c r="P177" i="2" s="1"/>
  <c r="Q177" i="2" s="1"/>
  <c r="O176" i="2"/>
  <c r="P176" i="2" s="1"/>
  <c r="Q176" i="2" s="1"/>
  <c r="O175" i="2"/>
  <c r="P175" i="2" s="1"/>
  <c r="Q175" i="2" s="1"/>
  <c r="O174" i="2"/>
  <c r="P174" i="2" s="1"/>
  <c r="Q174" i="2" s="1"/>
  <c r="O173" i="2"/>
  <c r="P173" i="2" s="1"/>
  <c r="Q173" i="2" s="1"/>
  <c r="O171" i="2"/>
  <c r="P171" i="2" s="1"/>
  <c r="Q171" i="2" s="1"/>
  <c r="O170" i="2"/>
  <c r="P170" i="2" s="1"/>
  <c r="Q170" i="2" s="1"/>
  <c r="O169" i="2"/>
  <c r="P169" i="2" s="1"/>
  <c r="Q169" i="2" s="1"/>
  <c r="O168" i="2"/>
  <c r="P168" i="2" s="1"/>
  <c r="Q168" i="2" s="1"/>
  <c r="O167" i="2"/>
  <c r="P167" i="2" s="1"/>
  <c r="Q167" i="2" s="1"/>
  <c r="U63" i="2"/>
  <c r="N162" i="2"/>
  <c r="N161" i="2"/>
  <c r="N160" i="2"/>
  <c r="N159" i="2"/>
  <c r="N158" i="2"/>
  <c r="N156" i="2"/>
  <c r="N155" i="2"/>
  <c r="N154" i="2"/>
  <c r="N153" i="2"/>
  <c r="N152" i="2"/>
  <c r="N150" i="2"/>
  <c r="N149" i="2"/>
  <c r="N148" i="2"/>
  <c r="N147" i="2"/>
  <c r="N146" i="2"/>
  <c r="N144" i="2"/>
  <c r="N143" i="2"/>
  <c r="N142" i="2"/>
  <c r="N141" i="2"/>
  <c r="N140" i="2"/>
  <c r="N138" i="2"/>
  <c r="N137" i="2"/>
  <c r="N136" i="2"/>
  <c r="N135" i="2"/>
  <c r="N134" i="2"/>
  <c r="N132" i="2"/>
  <c r="N131" i="2"/>
  <c r="N130" i="2"/>
  <c r="N129" i="2"/>
  <c r="N128" i="2"/>
  <c r="N126" i="2"/>
  <c r="N125" i="2"/>
  <c r="N124" i="2"/>
  <c r="N123" i="2"/>
  <c r="N122" i="2"/>
  <c r="N120" i="2"/>
  <c r="N119" i="2"/>
  <c r="N118" i="2"/>
  <c r="N117" i="2"/>
  <c r="N116" i="2"/>
  <c r="N114" i="2"/>
  <c r="N113" i="2"/>
  <c r="N112" i="2"/>
  <c r="N111" i="2"/>
  <c r="N110" i="2"/>
  <c r="N105" i="2"/>
  <c r="N106" i="2"/>
  <c r="N107" i="2"/>
  <c r="O107" i="2" s="1"/>
  <c r="P107" i="2" s="1"/>
  <c r="Q107" i="2" s="1"/>
  <c r="N108" i="2"/>
  <c r="O108" i="2" s="1"/>
  <c r="P108" i="2" s="1"/>
  <c r="Q108" i="2" s="1"/>
  <c r="N104" i="2"/>
  <c r="M162" i="2"/>
  <c r="M161" i="2"/>
  <c r="M160" i="2"/>
  <c r="M159" i="2"/>
  <c r="M158" i="2"/>
  <c r="M156" i="2"/>
  <c r="M155" i="2"/>
  <c r="M154" i="2"/>
  <c r="M153" i="2"/>
  <c r="M152" i="2"/>
  <c r="M150" i="2"/>
  <c r="M149" i="2"/>
  <c r="O149" i="2" s="1"/>
  <c r="P149" i="2" s="1"/>
  <c r="Q149" i="2" s="1"/>
  <c r="M148" i="2"/>
  <c r="M147" i="2"/>
  <c r="M146" i="2"/>
  <c r="M144" i="2"/>
  <c r="M143" i="2"/>
  <c r="M142" i="2"/>
  <c r="M141" i="2"/>
  <c r="M140" i="2"/>
  <c r="M136" i="2"/>
  <c r="M137" i="2"/>
  <c r="M138" i="2"/>
  <c r="O138" i="2" s="1"/>
  <c r="P138" i="2" s="1"/>
  <c r="Q138" i="2" s="1"/>
  <c r="M132" i="2"/>
  <c r="M131" i="2"/>
  <c r="M130" i="2"/>
  <c r="M129" i="2"/>
  <c r="M128" i="2"/>
  <c r="M126" i="2"/>
  <c r="M125" i="2"/>
  <c r="M124" i="2"/>
  <c r="M123" i="2"/>
  <c r="M122" i="2"/>
  <c r="M120" i="2"/>
  <c r="M119" i="2"/>
  <c r="M118" i="2"/>
  <c r="M117" i="2"/>
  <c r="M116" i="2"/>
  <c r="M114" i="2"/>
  <c r="M113" i="2"/>
  <c r="M112" i="2"/>
  <c r="M111" i="2"/>
  <c r="M110" i="2"/>
  <c r="M108" i="2"/>
  <c r="M107" i="2"/>
  <c r="M106" i="2"/>
  <c r="M105" i="2"/>
  <c r="M104" i="2"/>
  <c r="O162" i="2"/>
  <c r="P162" i="2" s="1"/>
  <c r="Q162" i="2" s="1"/>
  <c r="O161" i="2"/>
  <c r="P161" i="2" s="1"/>
  <c r="Q161" i="2" s="1"/>
  <c r="O160" i="2"/>
  <c r="P160" i="2" s="1"/>
  <c r="Q160" i="2" s="1"/>
  <c r="O159" i="2"/>
  <c r="P159" i="2" s="1"/>
  <c r="Q159" i="2" s="1"/>
  <c r="O158" i="2"/>
  <c r="P158" i="2" s="1"/>
  <c r="Q158" i="2" s="1"/>
  <c r="O156" i="2"/>
  <c r="P156" i="2" s="1"/>
  <c r="Q156" i="2" s="1"/>
  <c r="O155" i="2"/>
  <c r="P155" i="2" s="1"/>
  <c r="Q155" i="2" s="1"/>
  <c r="O154" i="2"/>
  <c r="P154" i="2" s="1"/>
  <c r="Q154" i="2" s="1"/>
  <c r="O153" i="2"/>
  <c r="P153" i="2" s="1"/>
  <c r="Q153" i="2" s="1"/>
  <c r="O152" i="2"/>
  <c r="P152" i="2" s="1"/>
  <c r="Q152" i="2" s="1"/>
  <c r="O150" i="2"/>
  <c r="P150" i="2" s="1"/>
  <c r="Q150" i="2" s="1"/>
  <c r="O148" i="2"/>
  <c r="P148" i="2" s="1"/>
  <c r="Q148" i="2" s="1"/>
  <c r="O147" i="2"/>
  <c r="P147" i="2" s="1"/>
  <c r="Q147" i="2" s="1"/>
  <c r="O146" i="2"/>
  <c r="P146" i="2" s="1"/>
  <c r="Q146" i="2" s="1"/>
  <c r="O144" i="2"/>
  <c r="P144" i="2" s="1"/>
  <c r="Q144" i="2" s="1"/>
  <c r="O143" i="2"/>
  <c r="P143" i="2" s="1"/>
  <c r="Q143" i="2" s="1"/>
  <c r="O142" i="2"/>
  <c r="P142" i="2" s="1"/>
  <c r="Q142" i="2" s="1"/>
  <c r="O141" i="2"/>
  <c r="P141" i="2" s="1"/>
  <c r="Q141" i="2" s="1"/>
  <c r="O140" i="2"/>
  <c r="P140" i="2" s="1"/>
  <c r="Q140" i="2" s="1"/>
  <c r="O137" i="2"/>
  <c r="P137" i="2" s="1"/>
  <c r="Q137" i="2" s="1"/>
  <c r="O136" i="2"/>
  <c r="P136" i="2" s="1"/>
  <c r="Q136" i="2" s="1"/>
  <c r="M135" i="2"/>
  <c r="O135" i="2" s="1"/>
  <c r="P135" i="2" s="1"/>
  <c r="Q135" i="2" s="1"/>
  <c r="M134" i="2"/>
  <c r="O134" i="2" s="1"/>
  <c r="P134" i="2" s="1"/>
  <c r="Q134" i="2" s="1"/>
  <c r="O132" i="2"/>
  <c r="P132" i="2" s="1"/>
  <c r="Q132" i="2" s="1"/>
  <c r="O131" i="2"/>
  <c r="P131" i="2" s="1"/>
  <c r="Q131" i="2" s="1"/>
  <c r="O130" i="2"/>
  <c r="P130" i="2" s="1"/>
  <c r="Q130" i="2" s="1"/>
  <c r="O129" i="2"/>
  <c r="P129" i="2" s="1"/>
  <c r="Q129" i="2" s="1"/>
  <c r="O128" i="2"/>
  <c r="P128" i="2" s="1"/>
  <c r="Q128" i="2" s="1"/>
  <c r="O126" i="2"/>
  <c r="P126" i="2" s="1"/>
  <c r="Q126" i="2" s="1"/>
  <c r="O125" i="2"/>
  <c r="P125" i="2" s="1"/>
  <c r="Q125" i="2" s="1"/>
  <c r="O124" i="2"/>
  <c r="P124" i="2" s="1"/>
  <c r="Q124" i="2" s="1"/>
  <c r="O123" i="2"/>
  <c r="P123" i="2" s="1"/>
  <c r="Q123" i="2" s="1"/>
  <c r="O122" i="2"/>
  <c r="P122" i="2" s="1"/>
  <c r="Q122" i="2" s="1"/>
  <c r="O120" i="2"/>
  <c r="P120" i="2" s="1"/>
  <c r="Q120" i="2" s="1"/>
  <c r="O119" i="2"/>
  <c r="P119" i="2" s="1"/>
  <c r="Q119" i="2" s="1"/>
  <c r="O118" i="2"/>
  <c r="P118" i="2" s="1"/>
  <c r="Q118" i="2" s="1"/>
  <c r="O117" i="2"/>
  <c r="P117" i="2" s="1"/>
  <c r="Q117" i="2" s="1"/>
  <c r="O116" i="2"/>
  <c r="P116" i="2" s="1"/>
  <c r="Q116" i="2" s="1"/>
  <c r="O114" i="2"/>
  <c r="P114" i="2" s="1"/>
  <c r="Q114" i="2" s="1"/>
  <c r="O113" i="2"/>
  <c r="P113" i="2" s="1"/>
  <c r="Q113" i="2" s="1"/>
  <c r="O112" i="2"/>
  <c r="P112" i="2" s="1"/>
  <c r="Q112" i="2" s="1"/>
  <c r="O111" i="2"/>
  <c r="P111" i="2" s="1"/>
  <c r="Q111" i="2" s="1"/>
  <c r="O110" i="2"/>
  <c r="P110" i="2" s="1"/>
  <c r="Q110" i="2" s="1"/>
  <c r="O106" i="2"/>
  <c r="P106" i="2" s="1"/>
  <c r="Q106" i="2" s="1"/>
  <c r="O105" i="2"/>
  <c r="P105" i="2" s="1"/>
  <c r="Q105" i="2" s="1"/>
  <c r="O104" i="2"/>
  <c r="P104" i="2" s="1"/>
  <c r="Q104" i="2" s="1"/>
  <c r="L26" i="2"/>
  <c r="L25" i="2"/>
  <c r="L24" i="2"/>
  <c r="L23" i="2"/>
  <c r="L22" i="2"/>
  <c r="L21" i="2"/>
  <c r="L20" i="2"/>
  <c r="L19" i="2"/>
  <c r="L18" i="2"/>
  <c r="L17" i="2"/>
  <c r="AB131" i="5" l="1"/>
  <c r="AB162" i="5"/>
  <c r="AA162" i="5"/>
  <c r="AB134" i="5"/>
  <c r="AA134" i="5"/>
  <c r="AB106" i="5"/>
  <c r="N107" i="5"/>
  <c r="P107" i="5" s="1"/>
  <c r="Q107" i="5" s="1"/>
  <c r="R107" i="5" s="1"/>
  <c r="O107" i="5"/>
  <c r="N108" i="5"/>
  <c r="O108" i="5"/>
  <c r="N174" i="5"/>
  <c r="P174" i="5" s="1"/>
  <c r="Q174" i="5" s="1"/>
  <c r="R174" i="5" s="1"/>
  <c r="N106" i="5"/>
  <c r="P106" i="5" s="1"/>
  <c r="Q106" i="5" s="1"/>
  <c r="R106" i="5" s="1"/>
  <c r="N110" i="5"/>
  <c r="P110" i="5" s="1"/>
  <c r="Q110" i="5" s="1"/>
  <c r="R110" i="5" s="1"/>
  <c r="S115" i="5" s="1"/>
  <c r="AB140" i="5"/>
  <c r="AC144" i="5" s="1"/>
  <c r="AA140" i="5"/>
  <c r="N173" i="5"/>
  <c r="P173" i="5" s="1"/>
  <c r="Q173" i="5" s="1"/>
  <c r="R173" i="5" s="1"/>
  <c r="R178" i="5" s="1"/>
  <c r="N180" i="5"/>
  <c r="P180" i="5" s="1"/>
  <c r="Q180" i="5" s="1"/>
  <c r="R180" i="5" s="1"/>
  <c r="O180" i="5"/>
  <c r="N131" i="5"/>
  <c r="P131" i="5" s="1"/>
  <c r="Q131" i="5" s="1"/>
  <c r="R131" i="5" s="1"/>
  <c r="R133" i="5" s="1"/>
  <c r="AB161" i="5"/>
  <c r="AA161" i="5"/>
  <c r="N168" i="5"/>
  <c r="P168" i="5" s="1"/>
  <c r="Q168" i="5" s="1"/>
  <c r="R168" i="5" s="1"/>
  <c r="O168" i="5"/>
  <c r="AB135" i="5"/>
  <c r="AA135" i="5"/>
  <c r="AB104" i="5"/>
  <c r="N169" i="5"/>
  <c r="P169" i="5" s="1"/>
  <c r="Q169" i="5" s="1"/>
  <c r="R169" i="5" s="1"/>
  <c r="O169" i="5"/>
  <c r="N104" i="5"/>
  <c r="P104" i="5" s="1"/>
  <c r="Q104" i="5" s="1"/>
  <c r="R104" i="5" s="1"/>
  <c r="R109" i="5" s="1"/>
  <c r="AA137" i="5"/>
  <c r="AB137" i="5"/>
  <c r="N170" i="5"/>
  <c r="P170" i="5" s="1"/>
  <c r="Q170" i="5" s="1"/>
  <c r="R170" i="5" s="1"/>
  <c r="AA143" i="5"/>
  <c r="AB143" i="5"/>
  <c r="AB144" i="5"/>
  <c r="AA144" i="5"/>
  <c r="AB123" i="5"/>
  <c r="AA123" i="5"/>
  <c r="AB160" i="5"/>
  <c r="AA160" i="5"/>
  <c r="AB132" i="5"/>
  <c r="AA132" i="5"/>
  <c r="N205" i="5"/>
  <c r="P205" i="5" s="1"/>
  <c r="Q205" i="5" s="1"/>
  <c r="R205" i="5" s="1"/>
  <c r="AB116" i="5"/>
  <c r="AC120" i="5" s="1"/>
  <c r="AA116" i="5"/>
  <c r="N177" i="5"/>
  <c r="P177" i="5" s="1"/>
  <c r="Q177" i="5" s="1"/>
  <c r="R177" i="5" s="1"/>
  <c r="AB119" i="5"/>
  <c r="AA119" i="5"/>
  <c r="AB120" i="5"/>
  <c r="AA120" i="5"/>
  <c r="AB122" i="5"/>
  <c r="N194" i="5"/>
  <c r="P194" i="5" s="1"/>
  <c r="Q194" i="5" s="1"/>
  <c r="R194" i="5" s="1"/>
  <c r="N136" i="5"/>
  <c r="P136" i="5" s="1"/>
  <c r="Q136" i="5" s="1"/>
  <c r="R136" i="5" s="1"/>
  <c r="O136" i="5"/>
  <c r="N199" i="5"/>
  <c r="P199" i="5" s="1"/>
  <c r="Q199" i="5" s="1"/>
  <c r="R199" i="5" s="1"/>
  <c r="N138" i="5"/>
  <c r="O138" i="5"/>
  <c r="N201" i="5"/>
  <c r="P201" i="5" s="1"/>
  <c r="Q201" i="5" s="1"/>
  <c r="R201" i="5" s="1"/>
  <c r="N111" i="5"/>
  <c r="P111" i="5" s="1"/>
  <c r="Q111" i="5" s="1"/>
  <c r="R111" i="5" s="1"/>
  <c r="N112" i="5"/>
  <c r="P112" i="5" s="1"/>
  <c r="Q112" i="5" s="1"/>
  <c r="R112" i="5" s="1"/>
  <c r="N175" i="5"/>
  <c r="P175" i="5" s="1"/>
  <c r="Q175" i="5" s="1"/>
  <c r="R175" i="5" s="1"/>
  <c r="AA146" i="5"/>
  <c r="AB146" i="5"/>
  <c r="AB148" i="5"/>
  <c r="AA148" i="5"/>
  <c r="N122" i="5"/>
  <c r="P122" i="5" s="1"/>
  <c r="Q122" i="5" s="1"/>
  <c r="R122" i="5" s="1"/>
  <c r="R127" i="5" s="1"/>
  <c r="N188" i="5"/>
  <c r="P188" i="5" s="1"/>
  <c r="Q188" i="5" s="1"/>
  <c r="R188" i="5" s="1"/>
  <c r="AA155" i="5"/>
  <c r="AB155" i="5"/>
  <c r="AB110" i="5"/>
  <c r="AA141" i="5"/>
  <c r="AB141" i="5"/>
  <c r="AB113" i="5"/>
  <c r="AA113" i="5"/>
  <c r="AB114" i="5"/>
  <c r="AA114" i="5"/>
  <c r="N176" i="5"/>
  <c r="P176" i="5" s="1"/>
  <c r="Q176" i="5" s="1"/>
  <c r="R176" i="5" s="1"/>
  <c r="N209" i="5"/>
  <c r="P209" i="5" s="1"/>
  <c r="Q209" i="5" s="1"/>
  <c r="R209" i="5" s="1"/>
  <c r="O209" i="5"/>
  <c r="AB150" i="5"/>
  <c r="AA150" i="5"/>
  <c r="AA153" i="5"/>
  <c r="AB153" i="5"/>
  <c r="AB154" i="5"/>
  <c r="AA154" i="5"/>
  <c r="AB126" i="5"/>
  <c r="AA126" i="5"/>
  <c r="AB128" i="5"/>
  <c r="AC132" i="5" s="1"/>
  <c r="AA128" i="5"/>
  <c r="AB156" i="5"/>
  <c r="AA156" i="5"/>
  <c r="N195" i="5"/>
  <c r="P195" i="5" s="1"/>
  <c r="Q195" i="5" s="1"/>
  <c r="R195" i="5" s="1"/>
  <c r="AB111" i="5"/>
  <c r="N203" i="5"/>
  <c r="P203" i="5" s="1"/>
  <c r="Q203" i="5" s="1"/>
  <c r="R203" i="5" s="1"/>
  <c r="S208" i="5" s="1"/>
  <c r="AA142" i="5"/>
  <c r="AB142" i="5"/>
  <c r="AB117" i="5"/>
  <c r="AA117" i="5"/>
  <c r="N179" i="5"/>
  <c r="P179" i="5" s="1"/>
  <c r="Q179" i="5" s="1"/>
  <c r="R179" i="5" s="1"/>
  <c r="R184" i="5" s="1"/>
  <c r="AB147" i="5"/>
  <c r="AA147" i="5"/>
  <c r="AB152" i="5"/>
  <c r="AA152" i="5"/>
  <c r="AB124" i="5"/>
  <c r="AA124" i="5"/>
  <c r="N187" i="5"/>
  <c r="P187" i="5" s="1"/>
  <c r="Q187" i="5" s="1"/>
  <c r="R187" i="5" s="1"/>
  <c r="R190" i="5" s="1"/>
  <c r="N160" i="5"/>
  <c r="P160" i="5" s="1"/>
  <c r="Q160" i="5" s="1"/>
  <c r="R160" i="5" s="1"/>
  <c r="AB129" i="5"/>
  <c r="AA129" i="5"/>
  <c r="AB158" i="5"/>
  <c r="AA158" i="5"/>
  <c r="N105" i="5"/>
  <c r="P105" i="5" s="1"/>
  <c r="Q105" i="5" s="1"/>
  <c r="R105" i="5" s="1"/>
  <c r="O105" i="5"/>
  <c r="N167" i="5"/>
  <c r="P167" i="5" s="1"/>
  <c r="Q167" i="5" s="1"/>
  <c r="R167" i="5" s="1"/>
  <c r="R172" i="5" s="1"/>
  <c r="O167" i="5"/>
  <c r="AB112" i="5"/>
  <c r="AB118" i="5"/>
  <c r="AA118" i="5"/>
  <c r="AB149" i="5"/>
  <c r="AA149" i="5"/>
  <c r="N123" i="5"/>
  <c r="P123" i="5" s="1"/>
  <c r="Q123" i="5" s="1"/>
  <c r="R123" i="5" s="1"/>
  <c r="AB125" i="5"/>
  <c r="AA125" i="5"/>
  <c r="N161" i="5"/>
  <c r="P161" i="5" s="1"/>
  <c r="Q161" i="5" s="1"/>
  <c r="R161" i="5" s="1"/>
  <c r="AB130" i="5"/>
  <c r="AA130" i="5"/>
  <c r="AB159" i="5"/>
  <c r="AA159" i="5"/>
  <c r="N223" i="5"/>
  <c r="P223" i="5" s="1"/>
  <c r="Q223" i="5" s="1"/>
  <c r="R223" i="5" s="1"/>
  <c r="Q221" i="5"/>
  <c r="R221" i="5" s="1"/>
  <c r="N273" i="6"/>
  <c r="O273" i="6" s="1"/>
  <c r="P273" i="6" s="1"/>
  <c r="Q273" i="6" s="1"/>
  <c r="N274" i="6"/>
  <c r="O274" i="6" s="1"/>
  <c r="P274" i="6" s="1"/>
  <c r="Q274" i="6" s="1"/>
  <c r="O158" i="6"/>
  <c r="P158" i="6" s="1"/>
  <c r="Q158" i="6" s="1"/>
  <c r="O159" i="6"/>
  <c r="P159" i="6" s="1"/>
  <c r="Q159" i="6" s="1"/>
  <c r="O160" i="6"/>
  <c r="P160" i="6" s="1"/>
  <c r="Q160" i="6" s="1"/>
  <c r="O161" i="6"/>
  <c r="P161" i="6" s="1"/>
  <c r="Q161" i="6" s="1"/>
  <c r="O153" i="6"/>
  <c r="P153" i="6" s="1"/>
  <c r="Q153" i="6" s="1"/>
  <c r="O152" i="6"/>
  <c r="P152" i="6" s="1"/>
  <c r="Q152" i="6" s="1"/>
  <c r="O154" i="6"/>
  <c r="P154" i="6" s="1"/>
  <c r="Q154" i="6" s="1"/>
  <c r="O155" i="6"/>
  <c r="P155" i="6" s="1"/>
  <c r="Q155" i="6" s="1"/>
  <c r="O146" i="6"/>
  <c r="P146" i="6" s="1"/>
  <c r="Q146" i="6" s="1"/>
  <c r="Q151" i="6" s="1"/>
  <c r="O148" i="6"/>
  <c r="P148" i="6" s="1"/>
  <c r="Q148" i="6" s="1"/>
  <c r="O147" i="6"/>
  <c r="P147" i="6" s="1"/>
  <c r="Q147" i="6" s="1"/>
  <c r="O149" i="6"/>
  <c r="P149" i="6" s="1"/>
  <c r="Q149" i="6" s="1"/>
  <c r="R151" i="6" s="1"/>
  <c r="O140" i="6"/>
  <c r="P140" i="6" s="1"/>
  <c r="Q140" i="6" s="1"/>
  <c r="O142" i="6"/>
  <c r="P142" i="6" s="1"/>
  <c r="Q142" i="6" s="1"/>
  <c r="O141" i="6"/>
  <c r="P141" i="6" s="1"/>
  <c r="Q141" i="6" s="1"/>
  <c r="O143" i="6"/>
  <c r="P143" i="6" s="1"/>
  <c r="Q143" i="6" s="1"/>
  <c r="O134" i="6"/>
  <c r="P134" i="6" s="1"/>
  <c r="Q134" i="6" s="1"/>
  <c r="O135" i="6"/>
  <c r="P135" i="6" s="1"/>
  <c r="Q135" i="6" s="1"/>
  <c r="O136" i="6"/>
  <c r="P136" i="6" s="1"/>
  <c r="Q136" i="6" s="1"/>
  <c r="Q139" i="6" s="1"/>
  <c r="O129" i="6"/>
  <c r="P129" i="6" s="1"/>
  <c r="Q129" i="6" s="1"/>
  <c r="O130" i="6"/>
  <c r="P130" i="6" s="1"/>
  <c r="Q130" i="6" s="1"/>
  <c r="O128" i="6"/>
  <c r="P128" i="6" s="1"/>
  <c r="Q128" i="6" s="1"/>
  <c r="R133" i="6" s="1"/>
  <c r="O131" i="6"/>
  <c r="P131" i="6" s="1"/>
  <c r="Q131" i="6" s="1"/>
  <c r="O123" i="6"/>
  <c r="P123" i="6" s="1"/>
  <c r="Q123" i="6" s="1"/>
  <c r="Q127" i="6" s="1"/>
  <c r="O124" i="6"/>
  <c r="P124" i="6" s="1"/>
  <c r="Q124" i="6" s="1"/>
  <c r="O122" i="6"/>
  <c r="P122" i="6" s="1"/>
  <c r="Q122" i="6" s="1"/>
  <c r="O125" i="6"/>
  <c r="P125" i="6" s="1"/>
  <c r="Q125" i="6" s="1"/>
  <c r="O117" i="6"/>
  <c r="P117" i="6" s="1"/>
  <c r="Q117" i="6" s="1"/>
  <c r="O116" i="6"/>
  <c r="P116" i="6" s="1"/>
  <c r="Q116" i="6" s="1"/>
  <c r="R121" i="6" s="1"/>
  <c r="O118" i="6"/>
  <c r="P118" i="6" s="1"/>
  <c r="Q118" i="6" s="1"/>
  <c r="O119" i="6"/>
  <c r="P119" i="6" s="1"/>
  <c r="Q119" i="6" s="1"/>
  <c r="Q121" i="6" s="1"/>
  <c r="O111" i="6"/>
  <c r="P111" i="6" s="1"/>
  <c r="Q111" i="6" s="1"/>
  <c r="O112" i="6"/>
  <c r="P112" i="6" s="1"/>
  <c r="Q112" i="6" s="1"/>
  <c r="O110" i="6"/>
  <c r="P110" i="6" s="1"/>
  <c r="Q110" i="6" s="1"/>
  <c r="O113" i="6"/>
  <c r="P113" i="6" s="1"/>
  <c r="Q113" i="6" s="1"/>
  <c r="O107" i="6"/>
  <c r="P107" i="6" s="1"/>
  <c r="Q107" i="6" s="1"/>
  <c r="R269" i="6"/>
  <c r="Q269" i="6"/>
  <c r="R245" i="6"/>
  <c r="Q245" i="6"/>
  <c r="Q257" i="6"/>
  <c r="R257" i="6"/>
  <c r="R251" i="6"/>
  <c r="Q251" i="6"/>
  <c r="R287" i="6"/>
  <c r="Q287" i="6"/>
  <c r="Q233" i="6"/>
  <c r="R233" i="6"/>
  <c r="Q263" i="6"/>
  <c r="R263" i="6"/>
  <c r="R239" i="6"/>
  <c r="Q239" i="6"/>
  <c r="R281" i="6"/>
  <c r="Q281" i="6"/>
  <c r="R213" i="6"/>
  <c r="Q213" i="6"/>
  <c r="R177" i="6"/>
  <c r="Q177" i="6"/>
  <c r="R207" i="6"/>
  <c r="Q207" i="6"/>
  <c r="R183" i="6"/>
  <c r="Q183" i="6"/>
  <c r="Q219" i="6"/>
  <c r="R219" i="6"/>
  <c r="Q195" i="6"/>
  <c r="R195" i="6"/>
  <c r="R225" i="6"/>
  <c r="Q225" i="6"/>
  <c r="R201" i="6"/>
  <c r="Q201" i="6"/>
  <c r="R189" i="6"/>
  <c r="Q189" i="6"/>
  <c r="Q171" i="6"/>
  <c r="R171" i="6"/>
  <c r="R163" i="6"/>
  <c r="Q163" i="6"/>
  <c r="R109" i="6"/>
  <c r="Q109" i="6"/>
  <c r="S241" i="5"/>
  <c r="R241" i="5"/>
  <c r="S271" i="5"/>
  <c r="R271" i="5"/>
  <c r="R247" i="5"/>
  <c r="S247" i="5"/>
  <c r="S277" i="5"/>
  <c r="R277" i="5"/>
  <c r="S253" i="5"/>
  <c r="R253" i="5"/>
  <c r="S283" i="5"/>
  <c r="R283" i="5"/>
  <c r="S289" i="5"/>
  <c r="R289" i="5"/>
  <c r="R259" i="5"/>
  <c r="S259" i="5"/>
  <c r="R265" i="5"/>
  <c r="S265" i="5"/>
  <c r="S235" i="5"/>
  <c r="R235" i="5"/>
  <c r="P171" i="5"/>
  <c r="Q171" i="5" s="1"/>
  <c r="R171" i="5" s="1"/>
  <c r="S214" i="5"/>
  <c r="R214" i="5"/>
  <c r="S220" i="5"/>
  <c r="R220" i="5"/>
  <c r="R196" i="5"/>
  <c r="S196" i="5"/>
  <c r="R202" i="5"/>
  <c r="S202" i="5"/>
  <c r="O171" i="4"/>
  <c r="P171" i="4" s="1"/>
  <c r="Q171" i="4" s="1"/>
  <c r="O234" i="2"/>
  <c r="P234" i="2" s="1"/>
  <c r="Q234" i="2" s="1"/>
  <c r="Q235" i="2" s="1"/>
  <c r="Q271" i="2"/>
  <c r="R271" i="2"/>
  <c r="R277" i="2"/>
  <c r="Q277" i="2"/>
  <c r="Q253" i="2"/>
  <c r="R253" i="2"/>
  <c r="R283" i="2"/>
  <c r="Q283" i="2"/>
  <c r="R265" i="2"/>
  <c r="Q265" i="2"/>
  <c r="R241" i="2"/>
  <c r="Q241" i="2"/>
  <c r="R247" i="2"/>
  <c r="Q247" i="2"/>
  <c r="Q259" i="2"/>
  <c r="R259" i="2"/>
  <c r="R289" i="2"/>
  <c r="Q289" i="2"/>
  <c r="P138" i="5"/>
  <c r="Q138" i="5" s="1"/>
  <c r="R138" i="5" s="1"/>
  <c r="S139" i="5" s="1"/>
  <c r="P108" i="5"/>
  <c r="Q108" i="5" s="1"/>
  <c r="R108" i="5" s="1"/>
  <c r="S121" i="5"/>
  <c r="R121" i="5"/>
  <c r="S157" i="5"/>
  <c r="R157" i="5"/>
  <c r="S163" i="5"/>
  <c r="R163" i="5"/>
  <c r="S145" i="5"/>
  <c r="R145" i="5"/>
  <c r="S151" i="5"/>
  <c r="R151" i="5"/>
  <c r="O137" i="4"/>
  <c r="P137" i="4" s="1"/>
  <c r="Q137" i="4" s="1"/>
  <c r="O138" i="4"/>
  <c r="P138" i="4" s="1"/>
  <c r="Q138" i="4" s="1"/>
  <c r="O158" i="4"/>
  <c r="P158" i="4" s="1"/>
  <c r="Q158" i="4" s="1"/>
  <c r="O152" i="4"/>
  <c r="P152" i="4" s="1"/>
  <c r="Q152" i="4" s="1"/>
  <c r="O146" i="4"/>
  <c r="P146" i="4" s="1"/>
  <c r="Q146" i="4" s="1"/>
  <c r="O140" i="4"/>
  <c r="P140" i="4" s="1"/>
  <c r="Q140" i="4" s="1"/>
  <c r="R145" i="4" s="1"/>
  <c r="O134" i="4"/>
  <c r="P134" i="4" s="1"/>
  <c r="Q134" i="4" s="1"/>
  <c r="O128" i="4"/>
  <c r="P128" i="4" s="1"/>
  <c r="Q128" i="4" s="1"/>
  <c r="O122" i="4"/>
  <c r="P122" i="4" s="1"/>
  <c r="Q122" i="4" s="1"/>
  <c r="Q127" i="4" s="1"/>
  <c r="O116" i="4"/>
  <c r="P116" i="4" s="1"/>
  <c r="Q116" i="4" s="1"/>
  <c r="O110" i="4"/>
  <c r="P110" i="4" s="1"/>
  <c r="Q110" i="4" s="1"/>
  <c r="R115" i="4" s="1"/>
  <c r="R271" i="4"/>
  <c r="Q271" i="4"/>
  <c r="Q259" i="4"/>
  <c r="R259" i="4"/>
  <c r="R289" i="4"/>
  <c r="Q289" i="4"/>
  <c r="R247" i="4"/>
  <c r="Q247" i="4"/>
  <c r="R253" i="4"/>
  <c r="Q253" i="4"/>
  <c r="Q265" i="4"/>
  <c r="R265" i="4"/>
  <c r="R241" i="4"/>
  <c r="Q241" i="4"/>
  <c r="R283" i="4"/>
  <c r="Q283" i="4"/>
  <c r="R277" i="4"/>
  <c r="Q277" i="4"/>
  <c r="R235" i="4"/>
  <c r="Q235" i="4"/>
  <c r="R190" i="4"/>
  <c r="Q190" i="4"/>
  <c r="Q208" i="4"/>
  <c r="R208" i="4"/>
  <c r="R184" i="4"/>
  <c r="Q184" i="4"/>
  <c r="R214" i="4"/>
  <c r="Q214" i="4"/>
  <c r="R202" i="4"/>
  <c r="Q202" i="4"/>
  <c r="R178" i="4"/>
  <c r="Q178" i="4"/>
  <c r="R220" i="4"/>
  <c r="Q220" i="4"/>
  <c r="R196" i="4"/>
  <c r="Q196" i="4"/>
  <c r="R172" i="4"/>
  <c r="Q172" i="4"/>
  <c r="R226" i="4"/>
  <c r="Q226" i="4"/>
  <c r="Q157" i="4"/>
  <c r="R157" i="4"/>
  <c r="Q133" i="4"/>
  <c r="R133" i="4"/>
  <c r="Q139" i="4"/>
  <c r="R139" i="4"/>
  <c r="R121" i="4"/>
  <c r="Q121" i="4"/>
  <c r="R151" i="4"/>
  <c r="Q151" i="4"/>
  <c r="R109" i="4"/>
  <c r="Q109" i="4"/>
  <c r="R163" i="4"/>
  <c r="Q163" i="4"/>
  <c r="R196" i="2"/>
  <c r="Q196" i="2"/>
  <c r="R184" i="2"/>
  <c r="Q184" i="2"/>
  <c r="R214" i="2"/>
  <c r="Q214" i="2"/>
  <c r="Q190" i="2"/>
  <c r="R190" i="2"/>
  <c r="R208" i="2"/>
  <c r="Q208" i="2"/>
  <c r="R220" i="2"/>
  <c r="Q220" i="2"/>
  <c r="R172" i="2"/>
  <c r="Q172" i="2"/>
  <c r="R226" i="2"/>
  <c r="Q226" i="2"/>
  <c r="R202" i="2"/>
  <c r="Q202" i="2"/>
  <c r="R178" i="2"/>
  <c r="Q178" i="2"/>
  <c r="R115" i="2"/>
  <c r="Q115" i="2"/>
  <c r="Q121" i="2"/>
  <c r="R121" i="2"/>
  <c r="R127" i="2"/>
  <c r="Q127" i="2"/>
  <c r="R133" i="2"/>
  <c r="Q133" i="2"/>
  <c r="R163" i="2"/>
  <c r="Q163" i="2"/>
  <c r="R145" i="2"/>
  <c r="Q145" i="2"/>
  <c r="R157" i="2"/>
  <c r="Q157" i="2"/>
  <c r="R109" i="2"/>
  <c r="Q109" i="2"/>
  <c r="R139" i="2"/>
  <c r="Q139" i="2"/>
  <c r="R151" i="2"/>
  <c r="Q151" i="2"/>
  <c r="AB105" i="5" l="1"/>
  <c r="AA105" i="5"/>
  <c r="S127" i="5"/>
  <c r="AC150" i="5"/>
  <c r="AB107" i="5"/>
  <c r="AA107" i="5"/>
  <c r="AC162" i="5"/>
  <c r="AC156" i="5"/>
  <c r="AA136" i="5"/>
  <c r="AB136" i="5"/>
  <c r="S184" i="5"/>
  <c r="S133" i="5"/>
  <c r="AA122" i="5"/>
  <c r="S178" i="5"/>
  <c r="S190" i="5"/>
  <c r="S172" i="5"/>
  <c r="AA138" i="5"/>
  <c r="AB138" i="5"/>
  <c r="AC126" i="5"/>
  <c r="AC138" i="5"/>
  <c r="AA108" i="5"/>
  <c r="AB108" i="5"/>
  <c r="AA106" i="5"/>
  <c r="AA104" i="5"/>
  <c r="R115" i="5"/>
  <c r="AA112" i="5"/>
  <c r="AA110" i="5"/>
  <c r="S109" i="5"/>
  <c r="R208" i="5"/>
  <c r="AA111" i="5"/>
  <c r="AC114" i="5"/>
  <c r="AA131" i="5"/>
  <c r="R226" i="5"/>
  <c r="S226" i="5"/>
  <c r="R139" i="5"/>
  <c r="R275" i="6"/>
  <c r="Q275" i="6"/>
  <c r="R157" i="6"/>
  <c r="Q157" i="6"/>
  <c r="Q145" i="6"/>
  <c r="R139" i="6"/>
  <c r="R115" i="6"/>
  <c r="R145" i="6"/>
  <c r="Q133" i="6"/>
  <c r="R127" i="6"/>
  <c r="Q115" i="6"/>
  <c r="R235" i="2"/>
  <c r="Q145" i="4"/>
  <c r="R127" i="4"/>
  <c r="Q115" i="4"/>
  <c r="AC108" i="5" l="1"/>
  <c r="V92" i="1"/>
  <c r="M301" i="1"/>
  <c r="M300" i="1"/>
  <c r="M299" i="1"/>
  <c r="M298" i="1"/>
  <c r="M297" i="1"/>
  <c r="M295" i="1"/>
  <c r="M294" i="1"/>
  <c r="M293" i="1"/>
  <c r="M292" i="1"/>
  <c r="M291" i="1"/>
  <c r="M289" i="1"/>
  <c r="M288" i="1"/>
  <c r="M287" i="1"/>
  <c r="M286" i="1"/>
  <c r="M285" i="1"/>
  <c r="M283" i="1"/>
  <c r="M282" i="1"/>
  <c r="M281" i="1"/>
  <c r="M280" i="1"/>
  <c r="M279" i="1"/>
  <c r="M277" i="1"/>
  <c r="M276" i="1"/>
  <c r="M275" i="1"/>
  <c r="M274" i="1"/>
  <c r="M273" i="1"/>
  <c r="M271" i="1"/>
  <c r="M270" i="1"/>
  <c r="M269" i="1"/>
  <c r="M268" i="1"/>
  <c r="M267" i="1"/>
  <c r="M265" i="1"/>
  <c r="M264" i="1"/>
  <c r="M263" i="1"/>
  <c r="M262" i="1"/>
  <c r="M261" i="1"/>
  <c r="M259" i="1"/>
  <c r="M258" i="1"/>
  <c r="M257" i="1"/>
  <c r="M256" i="1"/>
  <c r="M255" i="1"/>
  <c r="M253" i="1"/>
  <c r="M252" i="1"/>
  <c r="M251" i="1"/>
  <c r="M250" i="1"/>
  <c r="M249" i="1"/>
  <c r="N307" i="1"/>
  <c r="N306" i="1"/>
  <c r="N305" i="1"/>
  <c r="N304" i="1"/>
  <c r="N303" i="1"/>
  <c r="N301" i="1"/>
  <c r="N300" i="1"/>
  <c r="N299" i="1"/>
  <c r="N298" i="1"/>
  <c r="N297" i="1"/>
  <c r="N295" i="1"/>
  <c r="N294" i="1"/>
  <c r="N293" i="1"/>
  <c r="N292" i="1"/>
  <c r="N291" i="1"/>
  <c r="N289" i="1"/>
  <c r="N288" i="1"/>
  <c r="N287" i="1"/>
  <c r="N286" i="1"/>
  <c r="N285" i="1"/>
  <c r="N283" i="1"/>
  <c r="O283" i="1" s="1"/>
  <c r="P283" i="1" s="1"/>
  <c r="Q283" i="1" s="1"/>
  <c r="N282" i="1"/>
  <c r="O282" i="1" s="1"/>
  <c r="P282" i="1" s="1"/>
  <c r="Q282" i="1" s="1"/>
  <c r="N281" i="1"/>
  <c r="O281" i="1" s="1"/>
  <c r="P281" i="1" s="1"/>
  <c r="Q281" i="1" s="1"/>
  <c r="N280" i="1"/>
  <c r="O280" i="1" s="1"/>
  <c r="P280" i="1" s="1"/>
  <c r="Q280" i="1" s="1"/>
  <c r="N279" i="1"/>
  <c r="O279" i="1" s="1"/>
  <c r="P279" i="1" s="1"/>
  <c r="Q279" i="1" s="1"/>
  <c r="N277" i="1"/>
  <c r="O277" i="1" s="1"/>
  <c r="P277" i="1" s="1"/>
  <c r="Q277" i="1" s="1"/>
  <c r="N276" i="1"/>
  <c r="O276" i="1" s="1"/>
  <c r="P276" i="1" s="1"/>
  <c r="Q276" i="1" s="1"/>
  <c r="N275" i="1"/>
  <c r="O275" i="1" s="1"/>
  <c r="P275" i="1" s="1"/>
  <c r="Q275" i="1" s="1"/>
  <c r="N274" i="1"/>
  <c r="O274" i="1" s="1"/>
  <c r="P274" i="1" s="1"/>
  <c r="Q274" i="1" s="1"/>
  <c r="N273" i="1"/>
  <c r="O273" i="1" s="1"/>
  <c r="P273" i="1" s="1"/>
  <c r="Q273" i="1" s="1"/>
  <c r="N271" i="1"/>
  <c r="O271" i="1" s="1"/>
  <c r="P271" i="1" s="1"/>
  <c r="Q271" i="1" s="1"/>
  <c r="N270" i="1"/>
  <c r="O270" i="1" s="1"/>
  <c r="P270" i="1" s="1"/>
  <c r="Q270" i="1" s="1"/>
  <c r="N269" i="1"/>
  <c r="O269" i="1" s="1"/>
  <c r="P269" i="1" s="1"/>
  <c r="Q269" i="1" s="1"/>
  <c r="N268" i="1"/>
  <c r="O268" i="1" s="1"/>
  <c r="P268" i="1" s="1"/>
  <c r="Q268" i="1" s="1"/>
  <c r="N267" i="1"/>
  <c r="O267" i="1" s="1"/>
  <c r="P267" i="1" s="1"/>
  <c r="Q267" i="1" s="1"/>
  <c r="N265" i="1"/>
  <c r="O265" i="1" s="1"/>
  <c r="P265" i="1" s="1"/>
  <c r="Q265" i="1" s="1"/>
  <c r="N264" i="1"/>
  <c r="O264" i="1" s="1"/>
  <c r="P264" i="1" s="1"/>
  <c r="Q264" i="1" s="1"/>
  <c r="N263" i="1"/>
  <c r="O263" i="1" s="1"/>
  <c r="P263" i="1" s="1"/>
  <c r="Q263" i="1" s="1"/>
  <c r="N262" i="1"/>
  <c r="O262" i="1" s="1"/>
  <c r="P262" i="1" s="1"/>
  <c r="Q262" i="1" s="1"/>
  <c r="N261" i="1"/>
  <c r="O261" i="1" s="1"/>
  <c r="P261" i="1" s="1"/>
  <c r="Q261" i="1" s="1"/>
  <c r="N259" i="1"/>
  <c r="O259" i="1" s="1"/>
  <c r="P259" i="1" s="1"/>
  <c r="Q259" i="1" s="1"/>
  <c r="N258" i="1"/>
  <c r="O258" i="1" s="1"/>
  <c r="P258" i="1" s="1"/>
  <c r="Q258" i="1" s="1"/>
  <c r="N257" i="1"/>
  <c r="O257" i="1" s="1"/>
  <c r="P257" i="1" s="1"/>
  <c r="Q257" i="1" s="1"/>
  <c r="N256" i="1"/>
  <c r="O256" i="1" s="1"/>
  <c r="P256" i="1" s="1"/>
  <c r="Q256" i="1" s="1"/>
  <c r="N255" i="1"/>
  <c r="O255" i="1" s="1"/>
  <c r="P255" i="1" s="1"/>
  <c r="Q255" i="1" s="1"/>
  <c r="N253" i="1"/>
  <c r="O253" i="1" s="1"/>
  <c r="P253" i="1" s="1"/>
  <c r="Q253" i="1" s="1"/>
  <c r="N252" i="1"/>
  <c r="O252" i="1" s="1"/>
  <c r="P252" i="1" s="1"/>
  <c r="Q252" i="1" s="1"/>
  <c r="N251" i="1"/>
  <c r="O251" i="1" s="1"/>
  <c r="P251" i="1" s="1"/>
  <c r="Q251" i="1" s="1"/>
  <c r="N250" i="1"/>
  <c r="N249" i="1"/>
  <c r="O249" i="1" s="1"/>
  <c r="P249" i="1" s="1"/>
  <c r="Q249" i="1" s="1"/>
  <c r="N244" i="1"/>
  <c r="N245" i="1"/>
  <c r="N246" i="1"/>
  <c r="N247" i="1"/>
  <c r="N243" i="1"/>
  <c r="M247" i="1"/>
  <c r="M246" i="1"/>
  <c r="M245" i="1"/>
  <c r="M244" i="1"/>
  <c r="M243" i="1"/>
  <c r="V77" i="1"/>
  <c r="N169" i="1"/>
  <c r="N168" i="1"/>
  <c r="N167" i="1"/>
  <c r="N166" i="1"/>
  <c r="N165" i="1"/>
  <c r="N163" i="1"/>
  <c r="N162" i="1"/>
  <c r="N161" i="1"/>
  <c r="N160" i="1"/>
  <c r="N159" i="1"/>
  <c r="N157" i="1"/>
  <c r="N156" i="1"/>
  <c r="N155" i="1"/>
  <c r="N154" i="1"/>
  <c r="N153" i="1"/>
  <c r="N151" i="1"/>
  <c r="N150" i="1"/>
  <c r="N149" i="1"/>
  <c r="N148" i="1"/>
  <c r="N147" i="1"/>
  <c r="N145" i="1"/>
  <c r="N144" i="1"/>
  <c r="N143" i="1"/>
  <c r="N142" i="1"/>
  <c r="N141" i="1"/>
  <c r="N139" i="1"/>
  <c r="N138" i="1"/>
  <c r="N137" i="1"/>
  <c r="N136" i="1"/>
  <c r="N135" i="1"/>
  <c r="N133" i="1"/>
  <c r="N132" i="1"/>
  <c r="N131" i="1"/>
  <c r="N130" i="1"/>
  <c r="N129" i="1"/>
  <c r="N127" i="1"/>
  <c r="N126" i="1"/>
  <c r="N125" i="1"/>
  <c r="N124" i="1"/>
  <c r="N123" i="1"/>
  <c r="N121" i="1"/>
  <c r="N120" i="1"/>
  <c r="N119" i="1"/>
  <c r="N118" i="1"/>
  <c r="N117" i="1"/>
  <c r="N115" i="1"/>
  <c r="N114" i="1"/>
  <c r="N113" i="1"/>
  <c r="N112" i="1"/>
  <c r="N111" i="1"/>
  <c r="N106" i="1"/>
  <c r="N107" i="1"/>
  <c r="N108" i="1"/>
  <c r="N109" i="1"/>
  <c r="N105" i="1"/>
  <c r="L26" i="1"/>
  <c r="L25" i="1"/>
  <c r="L24" i="1"/>
  <c r="L23" i="1"/>
  <c r="L22" i="1"/>
  <c r="L21" i="1"/>
  <c r="L20" i="1"/>
  <c r="L19" i="1"/>
  <c r="L18" i="1"/>
  <c r="L17" i="1"/>
  <c r="M232" i="1"/>
  <c r="M231" i="1"/>
  <c r="M230" i="1"/>
  <c r="M229" i="1"/>
  <c r="M228" i="1"/>
  <c r="M226" i="1"/>
  <c r="M225" i="1"/>
  <c r="M224" i="1"/>
  <c r="M223" i="1"/>
  <c r="M222" i="1"/>
  <c r="M220" i="1"/>
  <c r="M219" i="1"/>
  <c r="M218" i="1"/>
  <c r="M217" i="1"/>
  <c r="M216" i="1"/>
  <c r="M214" i="1"/>
  <c r="M213" i="1"/>
  <c r="M212" i="1"/>
  <c r="M211" i="1"/>
  <c r="M210" i="1"/>
  <c r="M208" i="1"/>
  <c r="M207" i="1"/>
  <c r="M206" i="1"/>
  <c r="M205" i="1"/>
  <c r="M204" i="1"/>
  <c r="M202" i="1"/>
  <c r="M201" i="1"/>
  <c r="M200" i="1"/>
  <c r="M199" i="1"/>
  <c r="M198" i="1"/>
  <c r="M196" i="1"/>
  <c r="M195" i="1"/>
  <c r="M194" i="1"/>
  <c r="M193" i="1"/>
  <c r="M192" i="1"/>
  <c r="M190" i="1"/>
  <c r="M189" i="1"/>
  <c r="M188" i="1"/>
  <c r="M187" i="1"/>
  <c r="M186" i="1"/>
  <c r="M184" i="1"/>
  <c r="M183" i="1"/>
  <c r="M182" i="1"/>
  <c r="M181" i="1"/>
  <c r="M180" i="1"/>
  <c r="N238" i="1"/>
  <c r="N237" i="1"/>
  <c r="N236" i="1"/>
  <c r="N235" i="1"/>
  <c r="N234" i="1"/>
  <c r="N232" i="1"/>
  <c r="N231" i="1"/>
  <c r="N230" i="1"/>
  <c r="N229" i="1"/>
  <c r="N228" i="1"/>
  <c r="N226" i="1"/>
  <c r="N225" i="1"/>
  <c r="N224" i="1"/>
  <c r="N223" i="1"/>
  <c r="N222" i="1"/>
  <c r="N220" i="1"/>
  <c r="N219" i="1"/>
  <c r="N218" i="1"/>
  <c r="O218" i="1" s="1"/>
  <c r="P218" i="1" s="1"/>
  <c r="Q218" i="1" s="1"/>
  <c r="N217" i="1"/>
  <c r="O217" i="1" s="1"/>
  <c r="P217" i="1" s="1"/>
  <c r="Q217" i="1" s="1"/>
  <c r="N216" i="1"/>
  <c r="O216" i="1" s="1"/>
  <c r="P216" i="1" s="1"/>
  <c r="Q216" i="1" s="1"/>
  <c r="N214" i="1"/>
  <c r="O214" i="1" s="1"/>
  <c r="P214" i="1" s="1"/>
  <c r="Q214" i="1" s="1"/>
  <c r="N213" i="1"/>
  <c r="O213" i="1" s="1"/>
  <c r="P213" i="1" s="1"/>
  <c r="Q213" i="1" s="1"/>
  <c r="N212" i="1"/>
  <c r="O212" i="1" s="1"/>
  <c r="P212" i="1" s="1"/>
  <c r="Q212" i="1" s="1"/>
  <c r="N211" i="1"/>
  <c r="O211" i="1" s="1"/>
  <c r="P211" i="1" s="1"/>
  <c r="Q211" i="1" s="1"/>
  <c r="N210" i="1"/>
  <c r="O210" i="1" s="1"/>
  <c r="P210" i="1" s="1"/>
  <c r="Q210" i="1" s="1"/>
  <c r="N208" i="1"/>
  <c r="O208" i="1" s="1"/>
  <c r="P208" i="1" s="1"/>
  <c r="Q208" i="1" s="1"/>
  <c r="N207" i="1"/>
  <c r="O207" i="1" s="1"/>
  <c r="P207" i="1" s="1"/>
  <c r="Q207" i="1" s="1"/>
  <c r="N206" i="1"/>
  <c r="O206" i="1" s="1"/>
  <c r="P206" i="1" s="1"/>
  <c r="Q206" i="1" s="1"/>
  <c r="N205" i="1"/>
  <c r="O205" i="1" s="1"/>
  <c r="P205" i="1" s="1"/>
  <c r="Q205" i="1" s="1"/>
  <c r="N204" i="1"/>
  <c r="O204" i="1" s="1"/>
  <c r="P204" i="1" s="1"/>
  <c r="Q204" i="1" s="1"/>
  <c r="N202" i="1"/>
  <c r="O202" i="1" s="1"/>
  <c r="P202" i="1" s="1"/>
  <c r="Q202" i="1" s="1"/>
  <c r="N201" i="1"/>
  <c r="O201" i="1" s="1"/>
  <c r="P201" i="1" s="1"/>
  <c r="Q201" i="1" s="1"/>
  <c r="N200" i="1"/>
  <c r="O200" i="1" s="1"/>
  <c r="P200" i="1" s="1"/>
  <c r="Q200" i="1" s="1"/>
  <c r="N199" i="1"/>
  <c r="O199" i="1" s="1"/>
  <c r="P199" i="1" s="1"/>
  <c r="Q199" i="1" s="1"/>
  <c r="N198" i="1"/>
  <c r="O198" i="1" s="1"/>
  <c r="P198" i="1" s="1"/>
  <c r="Q198" i="1" s="1"/>
  <c r="N196" i="1"/>
  <c r="O196" i="1" s="1"/>
  <c r="P196" i="1" s="1"/>
  <c r="Q196" i="1" s="1"/>
  <c r="N195" i="1"/>
  <c r="O195" i="1" s="1"/>
  <c r="P195" i="1" s="1"/>
  <c r="Q195" i="1" s="1"/>
  <c r="N194" i="1"/>
  <c r="O194" i="1" s="1"/>
  <c r="P194" i="1" s="1"/>
  <c r="Q194" i="1" s="1"/>
  <c r="N193" i="1"/>
  <c r="O193" i="1" s="1"/>
  <c r="P193" i="1" s="1"/>
  <c r="Q193" i="1" s="1"/>
  <c r="N192" i="1"/>
  <c r="O192" i="1" s="1"/>
  <c r="P192" i="1" s="1"/>
  <c r="Q192" i="1" s="1"/>
  <c r="N190" i="1"/>
  <c r="O190" i="1" s="1"/>
  <c r="P190" i="1" s="1"/>
  <c r="Q190" i="1" s="1"/>
  <c r="N189" i="1"/>
  <c r="O189" i="1" s="1"/>
  <c r="P189" i="1" s="1"/>
  <c r="Q189" i="1" s="1"/>
  <c r="N188" i="1"/>
  <c r="O188" i="1" s="1"/>
  <c r="P188" i="1" s="1"/>
  <c r="Q188" i="1" s="1"/>
  <c r="N187" i="1"/>
  <c r="O187" i="1" s="1"/>
  <c r="P187" i="1" s="1"/>
  <c r="Q187" i="1" s="1"/>
  <c r="N186" i="1"/>
  <c r="O186" i="1" s="1"/>
  <c r="P186" i="1" s="1"/>
  <c r="Q186" i="1" s="1"/>
  <c r="N184" i="1"/>
  <c r="O184" i="1" s="1"/>
  <c r="P184" i="1" s="1"/>
  <c r="Q184" i="1" s="1"/>
  <c r="N183" i="1"/>
  <c r="O183" i="1" s="1"/>
  <c r="P183" i="1" s="1"/>
  <c r="Q183" i="1" s="1"/>
  <c r="N182" i="1"/>
  <c r="O182" i="1" s="1"/>
  <c r="P182" i="1" s="1"/>
  <c r="Q182" i="1" s="1"/>
  <c r="N181" i="1"/>
  <c r="N180" i="1"/>
  <c r="N175" i="1"/>
  <c r="N176" i="1"/>
  <c r="N177" i="1"/>
  <c r="N178" i="1"/>
  <c r="N174" i="1"/>
  <c r="M178" i="1"/>
  <c r="M177" i="1"/>
  <c r="M176" i="1"/>
  <c r="M175" i="1"/>
  <c r="M174" i="1"/>
  <c r="O178" i="1"/>
  <c r="P178" i="1" s="1"/>
  <c r="Q178" i="1" s="1"/>
  <c r="M94" i="2"/>
  <c r="M93" i="2"/>
  <c r="M92" i="2"/>
  <c r="M91" i="2"/>
  <c r="M90" i="2"/>
  <c r="M139" i="1"/>
  <c r="O139" i="1"/>
  <c r="P139" i="1" s="1"/>
  <c r="Q139" i="1" s="1"/>
  <c r="V62" i="1"/>
  <c r="M163" i="1"/>
  <c r="M162" i="1"/>
  <c r="M161" i="1"/>
  <c r="M160" i="1"/>
  <c r="M159" i="1"/>
  <c r="M157" i="1"/>
  <c r="M156" i="1"/>
  <c r="M155" i="1"/>
  <c r="M154" i="1"/>
  <c r="M153" i="1"/>
  <c r="M151" i="1"/>
  <c r="M150" i="1"/>
  <c r="M149" i="1"/>
  <c r="M148" i="1"/>
  <c r="M147" i="1"/>
  <c r="M115" i="1"/>
  <c r="M114" i="1"/>
  <c r="M113" i="1"/>
  <c r="M112" i="1"/>
  <c r="M111" i="1"/>
  <c r="M121" i="1"/>
  <c r="M120" i="1"/>
  <c r="M119" i="1"/>
  <c r="M118" i="1"/>
  <c r="M117" i="1"/>
  <c r="M127" i="1"/>
  <c r="M126" i="1"/>
  <c r="M125" i="1"/>
  <c r="M124" i="1"/>
  <c r="M123" i="1"/>
  <c r="M133" i="1"/>
  <c r="M132" i="1"/>
  <c r="M131" i="1"/>
  <c r="M130" i="1"/>
  <c r="M129" i="1"/>
  <c r="M138" i="1"/>
  <c r="M137" i="1"/>
  <c r="M136" i="1"/>
  <c r="M135" i="1"/>
  <c r="O135" i="1" s="1"/>
  <c r="P135" i="1" s="1"/>
  <c r="Q135" i="1" s="1"/>
  <c r="M142" i="1"/>
  <c r="M143" i="1"/>
  <c r="M144" i="1"/>
  <c r="M145" i="1"/>
  <c r="M109" i="1"/>
  <c r="M108" i="1"/>
  <c r="M107" i="1"/>
  <c r="M106" i="1"/>
  <c r="M105" i="1"/>
  <c r="O163" i="1"/>
  <c r="P163" i="1" s="1"/>
  <c r="Q163" i="1" s="1"/>
  <c r="O162" i="1"/>
  <c r="P162" i="1" s="1"/>
  <c r="Q162" i="1" s="1"/>
  <c r="O161" i="1"/>
  <c r="P161" i="1" s="1"/>
  <c r="Q161" i="1" s="1"/>
  <c r="O160" i="1"/>
  <c r="P160" i="1" s="1"/>
  <c r="Q160" i="1" s="1"/>
  <c r="O159" i="1"/>
  <c r="P159" i="1" s="1"/>
  <c r="Q159" i="1" s="1"/>
  <c r="O157" i="1"/>
  <c r="P157" i="1" s="1"/>
  <c r="Q157" i="1" s="1"/>
  <c r="O156" i="1"/>
  <c r="P156" i="1" s="1"/>
  <c r="Q156" i="1" s="1"/>
  <c r="O155" i="1"/>
  <c r="P155" i="1" s="1"/>
  <c r="Q155" i="1" s="1"/>
  <c r="O154" i="1"/>
  <c r="P154" i="1" s="1"/>
  <c r="Q154" i="1" s="1"/>
  <c r="O153" i="1"/>
  <c r="P153" i="1" s="1"/>
  <c r="Q153" i="1" s="1"/>
  <c r="O151" i="1"/>
  <c r="P151" i="1" s="1"/>
  <c r="Q151" i="1" s="1"/>
  <c r="O150" i="1"/>
  <c r="P150" i="1" s="1"/>
  <c r="Q150" i="1" s="1"/>
  <c r="O149" i="1"/>
  <c r="P149" i="1" s="1"/>
  <c r="Q149" i="1" s="1"/>
  <c r="O148" i="1"/>
  <c r="P148" i="1" s="1"/>
  <c r="Q148" i="1" s="1"/>
  <c r="O147" i="1"/>
  <c r="P147" i="1" s="1"/>
  <c r="Q147" i="1" s="1"/>
  <c r="O145" i="1"/>
  <c r="P145" i="1" s="1"/>
  <c r="Q145" i="1" s="1"/>
  <c r="O144" i="1"/>
  <c r="P144" i="1" s="1"/>
  <c r="Q144" i="1" s="1"/>
  <c r="O143" i="1"/>
  <c r="P143" i="1" s="1"/>
  <c r="Q143" i="1" s="1"/>
  <c r="O142" i="1"/>
  <c r="P142" i="1" s="1"/>
  <c r="Q142" i="1" s="1"/>
  <c r="O138" i="1"/>
  <c r="P138" i="1" s="1"/>
  <c r="Q138" i="1" s="1"/>
  <c r="O137" i="1"/>
  <c r="P137" i="1" s="1"/>
  <c r="Q137" i="1" s="1"/>
  <c r="O136" i="1"/>
  <c r="P136" i="1" s="1"/>
  <c r="Q136" i="1" s="1"/>
  <c r="O133" i="1"/>
  <c r="P133" i="1" s="1"/>
  <c r="Q133" i="1" s="1"/>
  <c r="O132" i="1"/>
  <c r="P132" i="1" s="1"/>
  <c r="Q132" i="1" s="1"/>
  <c r="O131" i="1"/>
  <c r="P131" i="1" s="1"/>
  <c r="Q131" i="1" s="1"/>
  <c r="O130" i="1"/>
  <c r="P130" i="1" s="1"/>
  <c r="Q130" i="1" s="1"/>
  <c r="O129" i="1"/>
  <c r="P129" i="1" s="1"/>
  <c r="Q129" i="1" s="1"/>
  <c r="O127" i="1"/>
  <c r="P127" i="1" s="1"/>
  <c r="Q127" i="1" s="1"/>
  <c r="O126" i="1"/>
  <c r="P126" i="1" s="1"/>
  <c r="Q126" i="1" s="1"/>
  <c r="O125" i="1"/>
  <c r="P125" i="1" s="1"/>
  <c r="Q125" i="1" s="1"/>
  <c r="O119" i="1"/>
  <c r="P119" i="1" s="1"/>
  <c r="Q119" i="1" s="1"/>
  <c r="O118" i="1"/>
  <c r="P118" i="1" s="1"/>
  <c r="Q118" i="1" s="1"/>
  <c r="O117" i="1"/>
  <c r="P117" i="1" s="1"/>
  <c r="Q117" i="1" s="1"/>
  <c r="O115" i="1"/>
  <c r="P115" i="1" s="1"/>
  <c r="Q115" i="1" s="1"/>
  <c r="O114" i="1"/>
  <c r="P114" i="1" s="1"/>
  <c r="Q114" i="1" s="1"/>
  <c r="O113" i="1"/>
  <c r="P113" i="1" s="1"/>
  <c r="Q113" i="1" s="1"/>
  <c r="O112" i="1"/>
  <c r="P112" i="1" s="1"/>
  <c r="Q112" i="1" s="1"/>
  <c r="O111" i="1"/>
  <c r="P111" i="1" s="1"/>
  <c r="Q111" i="1" s="1"/>
  <c r="M376" i="1"/>
  <c r="N376" i="1" s="1"/>
  <c r="O376" i="1" s="1"/>
  <c r="P376" i="1" s="1"/>
  <c r="Q376" i="1" s="1"/>
  <c r="M375" i="1"/>
  <c r="N375" i="1" s="1"/>
  <c r="O375" i="1" s="1"/>
  <c r="P375" i="1" s="1"/>
  <c r="Q375" i="1" s="1"/>
  <c r="M374" i="1"/>
  <c r="N374" i="1" s="1"/>
  <c r="O374" i="1" s="1"/>
  <c r="P374" i="1" s="1"/>
  <c r="Q374" i="1" s="1"/>
  <c r="M373" i="1"/>
  <c r="N373" i="1" s="1"/>
  <c r="O373" i="1" s="1"/>
  <c r="P373" i="1" s="1"/>
  <c r="Q373" i="1" s="1"/>
  <c r="M372" i="1"/>
  <c r="N372" i="1" s="1"/>
  <c r="O372" i="1" s="1"/>
  <c r="P372" i="1" s="1"/>
  <c r="Q372" i="1" s="1"/>
  <c r="M370" i="1"/>
  <c r="N370" i="1" s="1"/>
  <c r="O370" i="1" s="1"/>
  <c r="P370" i="1" s="1"/>
  <c r="Q370" i="1" s="1"/>
  <c r="M369" i="1"/>
  <c r="N369" i="1" s="1"/>
  <c r="O369" i="1" s="1"/>
  <c r="P369" i="1" s="1"/>
  <c r="Q369" i="1" s="1"/>
  <c r="M368" i="1"/>
  <c r="N368" i="1" s="1"/>
  <c r="O368" i="1" s="1"/>
  <c r="P368" i="1" s="1"/>
  <c r="Q368" i="1" s="1"/>
  <c r="N367" i="1"/>
  <c r="O367" i="1" s="1"/>
  <c r="P367" i="1" s="1"/>
  <c r="Q367" i="1" s="1"/>
  <c r="M367" i="1"/>
  <c r="M366" i="1"/>
  <c r="N366" i="1" s="1"/>
  <c r="O366" i="1" s="1"/>
  <c r="P366" i="1" s="1"/>
  <c r="Q366" i="1" s="1"/>
  <c r="M364" i="1"/>
  <c r="N364" i="1" s="1"/>
  <c r="O364" i="1" s="1"/>
  <c r="P364" i="1" s="1"/>
  <c r="Q364" i="1" s="1"/>
  <c r="M363" i="1"/>
  <c r="N363" i="1" s="1"/>
  <c r="O363" i="1" s="1"/>
  <c r="P363" i="1" s="1"/>
  <c r="Q363" i="1" s="1"/>
  <c r="M362" i="1"/>
  <c r="N362" i="1" s="1"/>
  <c r="O362" i="1" s="1"/>
  <c r="P362" i="1" s="1"/>
  <c r="Q362" i="1" s="1"/>
  <c r="M361" i="1"/>
  <c r="N361" i="1" s="1"/>
  <c r="O361" i="1" s="1"/>
  <c r="P361" i="1" s="1"/>
  <c r="Q361" i="1" s="1"/>
  <c r="M360" i="1"/>
  <c r="N360" i="1" s="1"/>
  <c r="O360" i="1" s="1"/>
  <c r="P360" i="1" s="1"/>
  <c r="Q360" i="1" s="1"/>
  <c r="M358" i="1"/>
  <c r="N358" i="1" s="1"/>
  <c r="O358" i="1" s="1"/>
  <c r="P358" i="1" s="1"/>
  <c r="Q358" i="1" s="1"/>
  <c r="M357" i="1"/>
  <c r="N357" i="1" s="1"/>
  <c r="O357" i="1" s="1"/>
  <c r="P357" i="1" s="1"/>
  <c r="Q357" i="1" s="1"/>
  <c r="M356" i="1"/>
  <c r="N356" i="1" s="1"/>
  <c r="O356" i="1" s="1"/>
  <c r="P356" i="1" s="1"/>
  <c r="Q356" i="1" s="1"/>
  <c r="M355" i="1"/>
  <c r="N355" i="1" s="1"/>
  <c r="O355" i="1" s="1"/>
  <c r="P355" i="1" s="1"/>
  <c r="Q355" i="1" s="1"/>
  <c r="M354" i="1"/>
  <c r="N354" i="1" s="1"/>
  <c r="O354" i="1" s="1"/>
  <c r="P354" i="1" s="1"/>
  <c r="Q354" i="1" s="1"/>
  <c r="M352" i="1"/>
  <c r="N352" i="1" s="1"/>
  <c r="O352" i="1" s="1"/>
  <c r="P352" i="1" s="1"/>
  <c r="Q352" i="1" s="1"/>
  <c r="M351" i="1"/>
  <c r="N351" i="1" s="1"/>
  <c r="O351" i="1" s="1"/>
  <c r="P351" i="1" s="1"/>
  <c r="Q351" i="1" s="1"/>
  <c r="M350" i="1"/>
  <c r="N350" i="1" s="1"/>
  <c r="O350" i="1" s="1"/>
  <c r="P350" i="1" s="1"/>
  <c r="Q350" i="1" s="1"/>
  <c r="M349" i="1"/>
  <c r="N349" i="1" s="1"/>
  <c r="O349" i="1" s="1"/>
  <c r="P349" i="1" s="1"/>
  <c r="Q349" i="1" s="1"/>
  <c r="M348" i="1"/>
  <c r="N348" i="1" s="1"/>
  <c r="O348" i="1" s="1"/>
  <c r="P348" i="1" s="1"/>
  <c r="Q348" i="1" s="1"/>
  <c r="M346" i="1"/>
  <c r="N346" i="1" s="1"/>
  <c r="O346" i="1" s="1"/>
  <c r="P346" i="1" s="1"/>
  <c r="Q346" i="1" s="1"/>
  <c r="M345" i="1"/>
  <c r="N345" i="1" s="1"/>
  <c r="O345" i="1" s="1"/>
  <c r="P345" i="1" s="1"/>
  <c r="Q345" i="1" s="1"/>
  <c r="M344" i="1"/>
  <c r="N344" i="1" s="1"/>
  <c r="O344" i="1" s="1"/>
  <c r="P344" i="1" s="1"/>
  <c r="Q344" i="1" s="1"/>
  <c r="M343" i="1"/>
  <c r="N343" i="1" s="1"/>
  <c r="O343" i="1" s="1"/>
  <c r="P343" i="1" s="1"/>
  <c r="Q343" i="1" s="1"/>
  <c r="M342" i="1"/>
  <c r="N342" i="1" s="1"/>
  <c r="O342" i="1" s="1"/>
  <c r="P342" i="1" s="1"/>
  <c r="Q342" i="1" s="1"/>
  <c r="N340" i="1"/>
  <c r="O340" i="1" s="1"/>
  <c r="P340" i="1" s="1"/>
  <c r="Q340" i="1" s="1"/>
  <c r="M340" i="1"/>
  <c r="M339" i="1"/>
  <c r="N339" i="1" s="1"/>
  <c r="O339" i="1" s="1"/>
  <c r="P339" i="1" s="1"/>
  <c r="Q339" i="1" s="1"/>
  <c r="M338" i="1"/>
  <c r="N338" i="1" s="1"/>
  <c r="O338" i="1" s="1"/>
  <c r="P338" i="1" s="1"/>
  <c r="Q338" i="1" s="1"/>
  <c r="M337" i="1"/>
  <c r="N337" i="1" s="1"/>
  <c r="O337" i="1" s="1"/>
  <c r="P337" i="1" s="1"/>
  <c r="Q337" i="1" s="1"/>
  <c r="M336" i="1"/>
  <c r="N336" i="1" s="1"/>
  <c r="O336" i="1" s="1"/>
  <c r="P336" i="1" s="1"/>
  <c r="Q336" i="1" s="1"/>
  <c r="M334" i="1"/>
  <c r="N334" i="1" s="1"/>
  <c r="O334" i="1" s="1"/>
  <c r="P334" i="1" s="1"/>
  <c r="Q334" i="1" s="1"/>
  <c r="M333" i="1"/>
  <c r="N333" i="1" s="1"/>
  <c r="O333" i="1" s="1"/>
  <c r="P333" i="1" s="1"/>
  <c r="Q333" i="1" s="1"/>
  <c r="M332" i="1"/>
  <c r="N332" i="1" s="1"/>
  <c r="O332" i="1" s="1"/>
  <c r="P332" i="1" s="1"/>
  <c r="Q332" i="1" s="1"/>
  <c r="M331" i="1"/>
  <c r="N331" i="1" s="1"/>
  <c r="O331" i="1" s="1"/>
  <c r="P331" i="1" s="1"/>
  <c r="Q331" i="1" s="1"/>
  <c r="M330" i="1"/>
  <c r="N330" i="1" s="1"/>
  <c r="O330" i="1" s="1"/>
  <c r="P330" i="1" s="1"/>
  <c r="Q330" i="1" s="1"/>
  <c r="M328" i="1"/>
  <c r="N328" i="1" s="1"/>
  <c r="O328" i="1" s="1"/>
  <c r="P328" i="1" s="1"/>
  <c r="Q328" i="1" s="1"/>
  <c r="M327" i="1"/>
  <c r="N327" i="1" s="1"/>
  <c r="O327" i="1" s="1"/>
  <c r="P327" i="1" s="1"/>
  <c r="Q327" i="1" s="1"/>
  <c r="M326" i="1"/>
  <c r="N326" i="1" s="1"/>
  <c r="O326" i="1" s="1"/>
  <c r="P326" i="1" s="1"/>
  <c r="Q326" i="1" s="1"/>
  <c r="M325" i="1"/>
  <c r="N325" i="1" s="1"/>
  <c r="O325" i="1" s="1"/>
  <c r="P325" i="1" s="1"/>
  <c r="Q325" i="1" s="1"/>
  <c r="M324" i="1"/>
  <c r="N324" i="1" s="1"/>
  <c r="O324" i="1" s="1"/>
  <c r="P324" i="1" s="1"/>
  <c r="Q324" i="1" s="1"/>
  <c r="M322" i="1"/>
  <c r="N322" i="1" s="1"/>
  <c r="O322" i="1" s="1"/>
  <c r="P322" i="1" s="1"/>
  <c r="Q322" i="1" s="1"/>
  <c r="M321" i="1"/>
  <c r="N321" i="1" s="1"/>
  <c r="O321" i="1" s="1"/>
  <c r="P321" i="1" s="1"/>
  <c r="Q321" i="1" s="1"/>
  <c r="M320" i="1"/>
  <c r="N320" i="1" s="1"/>
  <c r="O320" i="1" s="1"/>
  <c r="P320" i="1" s="1"/>
  <c r="Q320" i="1" s="1"/>
  <c r="N319" i="1"/>
  <c r="O319" i="1" s="1"/>
  <c r="P319" i="1" s="1"/>
  <c r="Q319" i="1" s="1"/>
  <c r="M319" i="1"/>
  <c r="M318" i="1"/>
  <c r="N318" i="1" s="1"/>
  <c r="O318" i="1" s="1"/>
  <c r="P318" i="1" s="1"/>
  <c r="Q318" i="1" s="1"/>
  <c r="M316" i="1"/>
  <c r="N316" i="1" s="1"/>
  <c r="O316" i="1" s="1"/>
  <c r="P316" i="1" s="1"/>
  <c r="Q316" i="1" s="1"/>
  <c r="M315" i="1"/>
  <c r="N315" i="1" s="1"/>
  <c r="O315" i="1" s="1"/>
  <c r="P315" i="1" s="1"/>
  <c r="Q315" i="1" s="1"/>
  <c r="M314" i="1"/>
  <c r="N314" i="1" s="1"/>
  <c r="O314" i="1" s="1"/>
  <c r="P314" i="1" s="1"/>
  <c r="Q314" i="1" s="1"/>
  <c r="M313" i="1"/>
  <c r="N313" i="1" s="1"/>
  <c r="O313" i="1" s="1"/>
  <c r="P313" i="1" s="1"/>
  <c r="Q313" i="1" s="1"/>
  <c r="M312" i="1"/>
  <c r="N312" i="1" s="1"/>
  <c r="O312" i="1" s="1"/>
  <c r="P312" i="1" s="1"/>
  <c r="Q312" i="1" s="1"/>
  <c r="M307" i="1"/>
  <c r="O307" i="1" s="1"/>
  <c r="P307" i="1" s="1"/>
  <c r="Q307" i="1" s="1"/>
  <c r="M306" i="1"/>
  <c r="O306" i="1" s="1"/>
  <c r="P306" i="1" s="1"/>
  <c r="Q306" i="1" s="1"/>
  <c r="M305" i="1"/>
  <c r="O305" i="1" s="1"/>
  <c r="P305" i="1" s="1"/>
  <c r="Q305" i="1" s="1"/>
  <c r="M304" i="1"/>
  <c r="O304" i="1" s="1"/>
  <c r="P304" i="1" s="1"/>
  <c r="Q304" i="1" s="1"/>
  <c r="M303" i="1"/>
  <c r="O303" i="1" s="1"/>
  <c r="P303" i="1" s="1"/>
  <c r="Q303" i="1" s="1"/>
  <c r="O301" i="1"/>
  <c r="P301" i="1" s="1"/>
  <c r="Q301" i="1" s="1"/>
  <c r="O300" i="1"/>
  <c r="P300" i="1" s="1"/>
  <c r="Q300" i="1" s="1"/>
  <c r="O299" i="1"/>
  <c r="P299" i="1" s="1"/>
  <c r="Q299" i="1" s="1"/>
  <c r="O298" i="1"/>
  <c r="P298" i="1" s="1"/>
  <c r="Q298" i="1" s="1"/>
  <c r="O297" i="1"/>
  <c r="P297" i="1" s="1"/>
  <c r="Q297" i="1" s="1"/>
  <c r="O295" i="1"/>
  <c r="P295" i="1" s="1"/>
  <c r="Q295" i="1" s="1"/>
  <c r="O294" i="1"/>
  <c r="P294" i="1" s="1"/>
  <c r="Q294" i="1" s="1"/>
  <c r="O293" i="1"/>
  <c r="P293" i="1" s="1"/>
  <c r="Q293" i="1" s="1"/>
  <c r="O292" i="1"/>
  <c r="P292" i="1" s="1"/>
  <c r="Q292" i="1" s="1"/>
  <c r="O291" i="1"/>
  <c r="P291" i="1" s="1"/>
  <c r="Q291" i="1" s="1"/>
  <c r="O289" i="1"/>
  <c r="P289" i="1" s="1"/>
  <c r="Q289" i="1" s="1"/>
  <c r="O288" i="1"/>
  <c r="P288" i="1" s="1"/>
  <c r="Q288" i="1" s="1"/>
  <c r="O287" i="1"/>
  <c r="P287" i="1" s="1"/>
  <c r="Q287" i="1" s="1"/>
  <c r="O286" i="1"/>
  <c r="P286" i="1" s="1"/>
  <c r="Q286" i="1" s="1"/>
  <c r="O285" i="1"/>
  <c r="P285" i="1" s="1"/>
  <c r="Q285" i="1" s="1"/>
  <c r="O250" i="1"/>
  <c r="P250" i="1" s="1"/>
  <c r="Q250" i="1" s="1"/>
  <c r="O247" i="1"/>
  <c r="P247" i="1" s="1"/>
  <c r="Q247" i="1" s="1"/>
  <c r="O246" i="1"/>
  <c r="P246" i="1" s="1"/>
  <c r="Q246" i="1" s="1"/>
  <c r="O245" i="1"/>
  <c r="P245" i="1" s="1"/>
  <c r="Q245" i="1" s="1"/>
  <c r="O244" i="1"/>
  <c r="P244" i="1" s="1"/>
  <c r="Q244" i="1" s="1"/>
  <c r="O243" i="1"/>
  <c r="P243" i="1" s="1"/>
  <c r="Q243" i="1" s="1"/>
  <c r="M238" i="1"/>
  <c r="O238" i="1" s="1"/>
  <c r="P238" i="1" s="1"/>
  <c r="Q238" i="1" s="1"/>
  <c r="M237" i="1"/>
  <c r="O237" i="1" s="1"/>
  <c r="P237" i="1" s="1"/>
  <c r="Q237" i="1" s="1"/>
  <c r="M236" i="1"/>
  <c r="O236" i="1" s="1"/>
  <c r="P236" i="1" s="1"/>
  <c r="Q236" i="1" s="1"/>
  <c r="M235" i="1"/>
  <c r="O235" i="1" s="1"/>
  <c r="P235" i="1" s="1"/>
  <c r="Q235" i="1" s="1"/>
  <c r="M234" i="1"/>
  <c r="O234" i="1" s="1"/>
  <c r="P234" i="1" s="1"/>
  <c r="Q234" i="1" s="1"/>
  <c r="O232" i="1"/>
  <c r="P232" i="1" s="1"/>
  <c r="Q232" i="1" s="1"/>
  <c r="O231" i="1"/>
  <c r="P231" i="1" s="1"/>
  <c r="Q231" i="1" s="1"/>
  <c r="O230" i="1"/>
  <c r="P230" i="1" s="1"/>
  <c r="Q230" i="1" s="1"/>
  <c r="O229" i="1"/>
  <c r="P229" i="1" s="1"/>
  <c r="Q229" i="1" s="1"/>
  <c r="O228" i="1"/>
  <c r="P228" i="1" s="1"/>
  <c r="Q228" i="1" s="1"/>
  <c r="O226" i="1"/>
  <c r="P226" i="1" s="1"/>
  <c r="Q226" i="1" s="1"/>
  <c r="O225" i="1"/>
  <c r="P225" i="1" s="1"/>
  <c r="Q225" i="1" s="1"/>
  <c r="O224" i="1"/>
  <c r="P224" i="1" s="1"/>
  <c r="Q224" i="1" s="1"/>
  <c r="O223" i="1"/>
  <c r="P223" i="1" s="1"/>
  <c r="Q223" i="1" s="1"/>
  <c r="O222" i="1"/>
  <c r="P222" i="1" s="1"/>
  <c r="Q222" i="1" s="1"/>
  <c r="O220" i="1"/>
  <c r="P220" i="1" s="1"/>
  <c r="Q220" i="1" s="1"/>
  <c r="O219" i="1"/>
  <c r="P219" i="1" s="1"/>
  <c r="Q219" i="1" s="1"/>
  <c r="O181" i="1"/>
  <c r="P181" i="1" s="1"/>
  <c r="Q181" i="1" s="1"/>
  <c r="O180" i="1"/>
  <c r="P180" i="1" s="1"/>
  <c r="Q180" i="1" s="1"/>
  <c r="O177" i="1"/>
  <c r="P177" i="1" s="1"/>
  <c r="Q177" i="1" s="1"/>
  <c r="O176" i="1"/>
  <c r="P176" i="1" s="1"/>
  <c r="Q176" i="1" s="1"/>
  <c r="O175" i="1"/>
  <c r="P175" i="1" s="1"/>
  <c r="Q175" i="1" s="1"/>
  <c r="O174" i="1"/>
  <c r="P174" i="1" s="1"/>
  <c r="Q174" i="1" s="1"/>
  <c r="M94" i="6"/>
  <c r="M93" i="6"/>
  <c r="M92" i="6"/>
  <c r="M91" i="6"/>
  <c r="M90" i="6"/>
  <c r="M88" i="6"/>
  <c r="M87" i="6"/>
  <c r="M86" i="6"/>
  <c r="M85" i="6"/>
  <c r="M84" i="6"/>
  <c r="M82" i="6"/>
  <c r="M81" i="6"/>
  <c r="M80" i="6"/>
  <c r="M79" i="6"/>
  <c r="M78" i="6"/>
  <c r="M76" i="6"/>
  <c r="M75" i="6"/>
  <c r="M74" i="6"/>
  <c r="M73" i="6"/>
  <c r="M72" i="6"/>
  <c r="M70" i="6"/>
  <c r="M69" i="6"/>
  <c r="M68" i="6"/>
  <c r="M67" i="6"/>
  <c r="M66" i="6"/>
  <c r="M64" i="6"/>
  <c r="M63" i="6"/>
  <c r="M62" i="6"/>
  <c r="M61" i="6"/>
  <c r="M60" i="6"/>
  <c r="M58" i="6"/>
  <c r="M57" i="6"/>
  <c r="M56" i="6"/>
  <c r="M55" i="6"/>
  <c r="M54" i="6"/>
  <c r="M52" i="6"/>
  <c r="M51" i="6"/>
  <c r="M50" i="6"/>
  <c r="M49" i="6"/>
  <c r="M48" i="6"/>
  <c r="M46" i="6"/>
  <c r="M45" i="6"/>
  <c r="M44" i="6"/>
  <c r="M43" i="6"/>
  <c r="M42" i="6"/>
  <c r="M40" i="6"/>
  <c r="M39" i="6"/>
  <c r="M38" i="6"/>
  <c r="M37" i="6"/>
  <c r="M36" i="6"/>
  <c r="N100" i="6"/>
  <c r="N99" i="6"/>
  <c r="N98" i="6"/>
  <c r="N97" i="6"/>
  <c r="N96" i="6"/>
  <c r="N94" i="6"/>
  <c r="O94" i="6" s="1"/>
  <c r="P94" i="6" s="1"/>
  <c r="Q94" i="6" s="1"/>
  <c r="N93" i="6"/>
  <c r="O93" i="6" s="1"/>
  <c r="P93" i="6" s="1"/>
  <c r="Q93" i="6" s="1"/>
  <c r="N92" i="6"/>
  <c r="O92" i="6" s="1"/>
  <c r="P92" i="6" s="1"/>
  <c r="Q92" i="6" s="1"/>
  <c r="N91" i="6"/>
  <c r="O91" i="6" s="1"/>
  <c r="P91" i="6" s="1"/>
  <c r="Q91" i="6" s="1"/>
  <c r="N90" i="6"/>
  <c r="O90" i="6" s="1"/>
  <c r="P90" i="6" s="1"/>
  <c r="Q90" i="6" s="1"/>
  <c r="N88" i="6"/>
  <c r="O88" i="6" s="1"/>
  <c r="P88" i="6" s="1"/>
  <c r="Q88" i="6" s="1"/>
  <c r="N87" i="6"/>
  <c r="O87" i="6" s="1"/>
  <c r="P87" i="6" s="1"/>
  <c r="Q87" i="6" s="1"/>
  <c r="N86" i="6"/>
  <c r="O86" i="6" s="1"/>
  <c r="P86" i="6" s="1"/>
  <c r="Q86" i="6" s="1"/>
  <c r="N85" i="6"/>
  <c r="N84" i="6"/>
  <c r="N82" i="6"/>
  <c r="N81" i="6"/>
  <c r="N80" i="6"/>
  <c r="N79" i="6"/>
  <c r="N78" i="6"/>
  <c r="N76" i="6"/>
  <c r="O76" i="6" s="1"/>
  <c r="P76" i="6" s="1"/>
  <c r="Q76" i="6" s="1"/>
  <c r="N75" i="6"/>
  <c r="O75" i="6" s="1"/>
  <c r="P75" i="6" s="1"/>
  <c r="Q75" i="6" s="1"/>
  <c r="N74" i="6"/>
  <c r="O74" i="6" s="1"/>
  <c r="P74" i="6" s="1"/>
  <c r="Q74" i="6" s="1"/>
  <c r="N73" i="6"/>
  <c r="O73" i="6" s="1"/>
  <c r="P73" i="6" s="1"/>
  <c r="Q73" i="6" s="1"/>
  <c r="N72" i="6"/>
  <c r="O72" i="6" s="1"/>
  <c r="P72" i="6" s="1"/>
  <c r="Q72" i="6" s="1"/>
  <c r="N70" i="6"/>
  <c r="O70" i="6" s="1"/>
  <c r="P70" i="6" s="1"/>
  <c r="Q70" i="6" s="1"/>
  <c r="N69" i="6"/>
  <c r="O69" i="6" s="1"/>
  <c r="P69" i="6" s="1"/>
  <c r="Q69" i="6" s="1"/>
  <c r="N68" i="6"/>
  <c r="O68" i="6" s="1"/>
  <c r="P68" i="6" s="1"/>
  <c r="Q68" i="6" s="1"/>
  <c r="N67" i="6"/>
  <c r="O67" i="6" s="1"/>
  <c r="P67" i="6" s="1"/>
  <c r="Q67" i="6" s="1"/>
  <c r="N66" i="6"/>
  <c r="O66" i="6" s="1"/>
  <c r="P66" i="6" s="1"/>
  <c r="Q66" i="6" s="1"/>
  <c r="N64" i="6"/>
  <c r="O64" i="6" s="1"/>
  <c r="P64" i="6" s="1"/>
  <c r="Q64" i="6" s="1"/>
  <c r="N63" i="6"/>
  <c r="O63" i="6" s="1"/>
  <c r="P63" i="6" s="1"/>
  <c r="Q63" i="6" s="1"/>
  <c r="N62" i="6"/>
  <c r="O62" i="6" s="1"/>
  <c r="P62" i="6" s="1"/>
  <c r="Q62" i="6" s="1"/>
  <c r="N61" i="6"/>
  <c r="O61" i="6" s="1"/>
  <c r="P61" i="6" s="1"/>
  <c r="Q61" i="6" s="1"/>
  <c r="N60" i="6"/>
  <c r="O60" i="6" s="1"/>
  <c r="P60" i="6" s="1"/>
  <c r="Q60" i="6" s="1"/>
  <c r="N58" i="6"/>
  <c r="O58" i="6" s="1"/>
  <c r="P58" i="6" s="1"/>
  <c r="Q58" i="6" s="1"/>
  <c r="N57" i="6"/>
  <c r="O57" i="6" s="1"/>
  <c r="P57" i="6" s="1"/>
  <c r="Q57" i="6" s="1"/>
  <c r="N56" i="6"/>
  <c r="O56" i="6" s="1"/>
  <c r="P56" i="6" s="1"/>
  <c r="Q56" i="6" s="1"/>
  <c r="N55" i="6"/>
  <c r="O55" i="6" s="1"/>
  <c r="P55" i="6" s="1"/>
  <c r="Q55" i="6" s="1"/>
  <c r="N54" i="6"/>
  <c r="O54" i="6" s="1"/>
  <c r="P54" i="6" s="1"/>
  <c r="Q54" i="6" s="1"/>
  <c r="N52" i="6"/>
  <c r="O52" i="6" s="1"/>
  <c r="P52" i="6" s="1"/>
  <c r="Q52" i="6" s="1"/>
  <c r="N51" i="6"/>
  <c r="O51" i="6" s="1"/>
  <c r="P51" i="6" s="1"/>
  <c r="Q51" i="6" s="1"/>
  <c r="N50" i="6"/>
  <c r="O50" i="6" s="1"/>
  <c r="P50" i="6" s="1"/>
  <c r="Q50" i="6" s="1"/>
  <c r="N49" i="6"/>
  <c r="O49" i="6" s="1"/>
  <c r="P49" i="6" s="1"/>
  <c r="Q49" i="6" s="1"/>
  <c r="N48" i="6"/>
  <c r="O48" i="6" s="1"/>
  <c r="P48" i="6" s="1"/>
  <c r="Q48" i="6" s="1"/>
  <c r="N46" i="6"/>
  <c r="N45" i="6"/>
  <c r="N44" i="6"/>
  <c r="N43" i="6"/>
  <c r="N42" i="6"/>
  <c r="O42" i="6" s="1"/>
  <c r="P42" i="6" s="1"/>
  <c r="Q42" i="6" s="1"/>
  <c r="N37" i="6"/>
  <c r="O37" i="6" s="1"/>
  <c r="P37" i="6" s="1"/>
  <c r="Q37" i="6" s="1"/>
  <c r="N38" i="6"/>
  <c r="O38" i="6" s="1"/>
  <c r="P38" i="6" s="1"/>
  <c r="Q38" i="6" s="1"/>
  <c r="N39" i="6"/>
  <c r="O39" i="6" s="1"/>
  <c r="P39" i="6" s="1"/>
  <c r="Q39" i="6" s="1"/>
  <c r="N40" i="6"/>
  <c r="O40" i="6" s="1"/>
  <c r="P40" i="6" s="1"/>
  <c r="Q40" i="6" s="1"/>
  <c r="N36" i="6"/>
  <c r="O36" i="6" s="1"/>
  <c r="P36" i="6" s="1"/>
  <c r="Q36" i="6" s="1"/>
  <c r="L14" i="6"/>
  <c r="L13" i="6"/>
  <c r="L12" i="6"/>
  <c r="L11" i="6"/>
  <c r="L10" i="6"/>
  <c r="L9" i="6"/>
  <c r="L8" i="6"/>
  <c r="L7" i="6"/>
  <c r="L6" i="6"/>
  <c r="L5" i="6"/>
  <c r="M100" i="6"/>
  <c r="O100" i="6" s="1"/>
  <c r="P100" i="6" s="1"/>
  <c r="Q100" i="6" s="1"/>
  <c r="M99" i="6"/>
  <c r="O99" i="6" s="1"/>
  <c r="P99" i="6" s="1"/>
  <c r="Q99" i="6" s="1"/>
  <c r="M98" i="6"/>
  <c r="O98" i="6" s="1"/>
  <c r="P98" i="6" s="1"/>
  <c r="Q98" i="6" s="1"/>
  <c r="M97" i="6"/>
  <c r="O97" i="6" s="1"/>
  <c r="P97" i="6" s="1"/>
  <c r="Q97" i="6" s="1"/>
  <c r="M96" i="6"/>
  <c r="O96" i="6" s="1"/>
  <c r="P96" i="6" s="1"/>
  <c r="Q96" i="6" s="1"/>
  <c r="O85" i="6"/>
  <c r="P85" i="6" s="1"/>
  <c r="Q85" i="6" s="1"/>
  <c r="O84" i="6"/>
  <c r="P84" i="6" s="1"/>
  <c r="Q84" i="6" s="1"/>
  <c r="O82" i="6"/>
  <c r="P82" i="6" s="1"/>
  <c r="Q82" i="6" s="1"/>
  <c r="O81" i="6"/>
  <c r="P81" i="6" s="1"/>
  <c r="Q81" i="6" s="1"/>
  <c r="O80" i="6"/>
  <c r="P80" i="6" s="1"/>
  <c r="Q80" i="6" s="1"/>
  <c r="O79" i="6"/>
  <c r="P79" i="6" s="1"/>
  <c r="Q79" i="6" s="1"/>
  <c r="O78" i="6"/>
  <c r="P78" i="6" s="1"/>
  <c r="Q78" i="6" s="1"/>
  <c r="U47" i="6"/>
  <c r="O46" i="6"/>
  <c r="P46" i="6" s="1"/>
  <c r="Q46" i="6" s="1"/>
  <c r="O45" i="6"/>
  <c r="P45" i="6" s="1"/>
  <c r="Q45" i="6" s="1"/>
  <c r="O44" i="6"/>
  <c r="P44" i="6" s="1"/>
  <c r="Q44" i="6" s="1"/>
  <c r="O43" i="6"/>
  <c r="P43" i="6" s="1"/>
  <c r="Q43" i="6" s="1"/>
  <c r="E29" i="6"/>
  <c r="D29" i="6"/>
  <c r="E28" i="6"/>
  <c r="D28" i="6"/>
  <c r="E27" i="6"/>
  <c r="D27" i="6"/>
  <c r="V26" i="6"/>
  <c r="U26" i="6"/>
  <c r="K26" i="6"/>
  <c r="J26" i="6"/>
  <c r="E26" i="6"/>
  <c r="D26" i="6"/>
  <c r="V25" i="6"/>
  <c r="U25" i="6"/>
  <c r="K25" i="6"/>
  <c r="J25" i="6"/>
  <c r="E25" i="6"/>
  <c r="D25" i="6"/>
  <c r="V24" i="6"/>
  <c r="U24" i="6"/>
  <c r="K24" i="6"/>
  <c r="J24" i="6"/>
  <c r="E24" i="6"/>
  <c r="D24" i="6"/>
  <c r="V23" i="6"/>
  <c r="U23" i="6"/>
  <c r="K23" i="6"/>
  <c r="J23" i="6"/>
  <c r="E23" i="6"/>
  <c r="D23" i="6"/>
  <c r="V22" i="6"/>
  <c r="U22" i="6"/>
  <c r="K22" i="6"/>
  <c r="J22" i="6"/>
  <c r="E22" i="6"/>
  <c r="D22" i="6"/>
  <c r="V21" i="6"/>
  <c r="U21" i="6"/>
  <c r="K21" i="6"/>
  <c r="J21" i="6"/>
  <c r="E21" i="6"/>
  <c r="D21" i="6"/>
  <c r="D30" i="6" s="1"/>
  <c r="V20" i="6"/>
  <c r="U20" i="6"/>
  <c r="K20" i="6"/>
  <c r="J20" i="6"/>
  <c r="E20" i="6"/>
  <c r="D20" i="6"/>
  <c r="V19" i="6"/>
  <c r="U19" i="6"/>
  <c r="K19" i="6"/>
  <c r="J19" i="6"/>
  <c r="V18" i="6"/>
  <c r="U18" i="6"/>
  <c r="K18" i="6"/>
  <c r="J18" i="6"/>
  <c r="V17" i="6"/>
  <c r="U17" i="6"/>
  <c r="K17" i="6"/>
  <c r="J17" i="6"/>
  <c r="V14" i="6"/>
  <c r="U14" i="6"/>
  <c r="K14" i="6"/>
  <c r="J14" i="6"/>
  <c r="V13" i="6"/>
  <c r="U13" i="6"/>
  <c r="K13" i="6"/>
  <c r="J13" i="6"/>
  <c r="V12" i="6"/>
  <c r="U12" i="6"/>
  <c r="K12" i="6"/>
  <c r="J12" i="6"/>
  <c r="V11" i="6"/>
  <c r="U11" i="6"/>
  <c r="K11" i="6"/>
  <c r="J11" i="6"/>
  <c r="V10" i="6"/>
  <c r="U10" i="6"/>
  <c r="K10" i="6"/>
  <c r="J10" i="6"/>
  <c r="V9" i="6"/>
  <c r="U9" i="6"/>
  <c r="K9" i="6"/>
  <c r="J9" i="6"/>
  <c r="V8" i="6"/>
  <c r="U8" i="6"/>
  <c r="K8" i="6"/>
  <c r="J8" i="6"/>
  <c r="V7" i="6"/>
  <c r="U7" i="6"/>
  <c r="K7" i="6"/>
  <c r="J7" i="6"/>
  <c r="V6" i="6"/>
  <c r="U6" i="6"/>
  <c r="K6" i="6"/>
  <c r="J6" i="6"/>
  <c r="V5" i="6"/>
  <c r="U5" i="6"/>
  <c r="K5" i="6"/>
  <c r="J5" i="6"/>
  <c r="M64" i="2"/>
  <c r="M63" i="2"/>
  <c r="M62" i="2"/>
  <c r="M61" i="2"/>
  <c r="M60" i="2"/>
  <c r="U47" i="4"/>
  <c r="V47" i="5"/>
  <c r="N94" i="5"/>
  <c r="P94" i="5" s="1"/>
  <c r="Q94" i="5" s="1"/>
  <c r="R94" i="5" s="1"/>
  <c r="N75" i="5"/>
  <c r="P75" i="5" s="1"/>
  <c r="Q75" i="5" s="1"/>
  <c r="R75" i="5" s="1"/>
  <c r="N67" i="5"/>
  <c r="P67" i="5" s="1"/>
  <c r="Q67" i="5" s="1"/>
  <c r="R67" i="5" s="1"/>
  <c r="N49" i="5"/>
  <c r="P49" i="5" s="1"/>
  <c r="Q49" i="5" s="1"/>
  <c r="R49" i="5" s="1"/>
  <c r="N48" i="5"/>
  <c r="P48" i="5" s="1"/>
  <c r="Q48" i="5" s="1"/>
  <c r="R48" i="5" s="1"/>
  <c r="N46" i="5"/>
  <c r="P46" i="5" s="1"/>
  <c r="Q46" i="5" s="1"/>
  <c r="R46" i="5" s="1"/>
  <c r="N45" i="5"/>
  <c r="P45" i="5" s="1"/>
  <c r="Q45" i="5" s="1"/>
  <c r="R45" i="5" s="1"/>
  <c r="N44" i="5"/>
  <c r="P44" i="5" s="1"/>
  <c r="Q44" i="5" s="1"/>
  <c r="R44" i="5" s="1"/>
  <c r="N43" i="5"/>
  <c r="P43" i="5" s="1"/>
  <c r="Q43" i="5" s="1"/>
  <c r="R43" i="5" s="1"/>
  <c r="N42" i="5"/>
  <c r="P42" i="5" s="1"/>
  <c r="Q42" i="5" s="1"/>
  <c r="R42" i="5" s="1"/>
  <c r="N37" i="5"/>
  <c r="P37" i="5" s="1"/>
  <c r="Q37" i="5" s="1"/>
  <c r="R37" i="5" s="1"/>
  <c r="N38" i="5"/>
  <c r="P38" i="5" s="1"/>
  <c r="Q38" i="5" s="1"/>
  <c r="R38" i="5" s="1"/>
  <c r="N39" i="5"/>
  <c r="P39" i="5" s="1"/>
  <c r="Q39" i="5" s="1"/>
  <c r="R39" i="5" s="1"/>
  <c r="N40" i="5"/>
  <c r="P40" i="5" s="1"/>
  <c r="Q40" i="5" s="1"/>
  <c r="R40" i="5" s="1"/>
  <c r="L14" i="5"/>
  <c r="L13" i="5"/>
  <c r="L12" i="5"/>
  <c r="L11" i="5"/>
  <c r="L10" i="5"/>
  <c r="L9" i="5"/>
  <c r="L8" i="5"/>
  <c r="L7" i="5"/>
  <c r="L6" i="5"/>
  <c r="L5" i="5"/>
  <c r="M94" i="5"/>
  <c r="O94" i="5" s="1"/>
  <c r="M93" i="5"/>
  <c r="O93" i="5" s="1"/>
  <c r="M92" i="5"/>
  <c r="M91" i="5"/>
  <c r="M90" i="5"/>
  <c r="M88" i="5"/>
  <c r="M87" i="5"/>
  <c r="M86" i="5"/>
  <c r="M85" i="5"/>
  <c r="M84" i="5"/>
  <c r="M82" i="5"/>
  <c r="M81" i="5"/>
  <c r="M80" i="5"/>
  <c r="M79" i="5"/>
  <c r="M78" i="5"/>
  <c r="O78" i="5" s="1"/>
  <c r="M76" i="5"/>
  <c r="O76" i="5" s="1"/>
  <c r="M75" i="5"/>
  <c r="O75" i="5" s="1"/>
  <c r="M74" i="5"/>
  <c r="O74" i="5" s="1"/>
  <c r="M73" i="5"/>
  <c r="O73" i="5" s="1"/>
  <c r="M72" i="5"/>
  <c r="O72" i="5" s="1"/>
  <c r="M70" i="5"/>
  <c r="O70" i="5" s="1"/>
  <c r="M69" i="5"/>
  <c r="O69" i="5" s="1"/>
  <c r="M68" i="5"/>
  <c r="O68" i="5" s="1"/>
  <c r="M67" i="5"/>
  <c r="O67" i="5" s="1"/>
  <c r="M66" i="5"/>
  <c r="O66" i="5" s="1"/>
  <c r="M64" i="5"/>
  <c r="O64" i="5" s="1"/>
  <c r="M63" i="5"/>
  <c r="M62" i="5"/>
  <c r="M61" i="5"/>
  <c r="M60" i="5"/>
  <c r="M58" i="5"/>
  <c r="M57" i="5"/>
  <c r="M56" i="5"/>
  <c r="M55" i="5"/>
  <c r="M54" i="5"/>
  <c r="M52" i="5"/>
  <c r="M51" i="5"/>
  <c r="M50" i="5"/>
  <c r="M49" i="5"/>
  <c r="O49" i="5" s="1"/>
  <c r="M48" i="5"/>
  <c r="O48" i="5" s="1"/>
  <c r="M46" i="5"/>
  <c r="O46" i="5" s="1"/>
  <c r="M45" i="5"/>
  <c r="O45" i="5" s="1"/>
  <c r="M44" i="5"/>
  <c r="O44" i="5" s="1"/>
  <c r="M43" i="5"/>
  <c r="O43" i="5" s="1"/>
  <c r="M42" i="5"/>
  <c r="O42" i="5" s="1"/>
  <c r="M40" i="5"/>
  <c r="O40" i="5" s="1"/>
  <c r="M39" i="5"/>
  <c r="O39" i="5" s="1"/>
  <c r="M38" i="5"/>
  <c r="O38" i="5" s="1"/>
  <c r="M37" i="5"/>
  <c r="O37" i="5" s="1"/>
  <c r="M36" i="5"/>
  <c r="O36" i="5" s="1"/>
  <c r="M100" i="5"/>
  <c r="N100" i="5" s="1"/>
  <c r="P100" i="5" s="1"/>
  <c r="Q100" i="5" s="1"/>
  <c r="R100" i="5" s="1"/>
  <c r="M99" i="5"/>
  <c r="N99" i="5" s="1"/>
  <c r="P99" i="5" s="1"/>
  <c r="Q99" i="5" s="1"/>
  <c r="R99" i="5" s="1"/>
  <c r="M98" i="5"/>
  <c r="N98" i="5" s="1"/>
  <c r="P98" i="5" s="1"/>
  <c r="Q98" i="5" s="1"/>
  <c r="R98" i="5" s="1"/>
  <c r="M97" i="5"/>
  <c r="N97" i="5" s="1"/>
  <c r="P97" i="5" s="1"/>
  <c r="Q97" i="5" s="1"/>
  <c r="R97" i="5" s="1"/>
  <c r="M96" i="5"/>
  <c r="N96" i="5" s="1"/>
  <c r="P96" i="5" s="1"/>
  <c r="Q96" i="5" s="1"/>
  <c r="R96" i="5" s="1"/>
  <c r="E29" i="5"/>
  <c r="E28" i="5"/>
  <c r="E27" i="5"/>
  <c r="V26" i="5"/>
  <c r="U26" i="5"/>
  <c r="K26" i="5"/>
  <c r="J26" i="5"/>
  <c r="E26" i="5"/>
  <c r="V25" i="5"/>
  <c r="U25" i="5"/>
  <c r="K25" i="5"/>
  <c r="J25" i="5"/>
  <c r="E25" i="5"/>
  <c r="V24" i="5"/>
  <c r="U24" i="5"/>
  <c r="K24" i="5"/>
  <c r="J24" i="5"/>
  <c r="E24" i="5"/>
  <c r="V23" i="5"/>
  <c r="U23" i="5"/>
  <c r="K23" i="5"/>
  <c r="J23" i="5"/>
  <c r="E23" i="5"/>
  <c r="V22" i="5"/>
  <c r="U22" i="5"/>
  <c r="K22" i="5"/>
  <c r="J22" i="5"/>
  <c r="E22" i="5"/>
  <c r="V21" i="5"/>
  <c r="U21" i="5"/>
  <c r="K21" i="5"/>
  <c r="J21" i="5"/>
  <c r="E21" i="5"/>
  <c r="V20" i="5"/>
  <c r="U20" i="5"/>
  <c r="K20" i="5"/>
  <c r="J20" i="5"/>
  <c r="E20" i="5"/>
  <c r="D30" i="5"/>
  <c r="V19" i="5"/>
  <c r="U19" i="5"/>
  <c r="K19" i="5"/>
  <c r="J19" i="5"/>
  <c r="V18" i="5"/>
  <c r="U18" i="5"/>
  <c r="K18" i="5"/>
  <c r="J18" i="5"/>
  <c r="V17" i="5"/>
  <c r="U17" i="5"/>
  <c r="K17" i="5"/>
  <c r="J17" i="5"/>
  <c r="V14" i="5"/>
  <c r="U14" i="5"/>
  <c r="K14" i="5"/>
  <c r="J14" i="5"/>
  <c r="V13" i="5"/>
  <c r="U13" i="5"/>
  <c r="K13" i="5"/>
  <c r="J13" i="5"/>
  <c r="V12" i="5"/>
  <c r="U12" i="5"/>
  <c r="K12" i="5"/>
  <c r="J12" i="5"/>
  <c r="V11" i="5"/>
  <c r="U11" i="5"/>
  <c r="K11" i="5"/>
  <c r="J11" i="5"/>
  <c r="V10" i="5"/>
  <c r="U10" i="5"/>
  <c r="K10" i="5"/>
  <c r="J10" i="5"/>
  <c r="V9" i="5"/>
  <c r="U9" i="5"/>
  <c r="K9" i="5"/>
  <c r="J9" i="5"/>
  <c r="V8" i="5"/>
  <c r="U8" i="5"/>
  <c r="K8" i="5"/>
  <c r="J8" i="5"/>
  <c r="V7" i="5"/>
  <c r="U7" i="5"/>
  <c r="K7" i="5"/>
  <c r="J7" i="5"/>
  <c r="V6" i="5"/>
  <c r="U6" i="5"/>
  <c r="K6" i="5"/>
  <c r="J6" i="5"/>
  <c r="V5" i="5"/>
  <c r="U5" i="5"/>
  <c r="K5" i="5"/>
  <c r="J5" i="5"/>
  <c r="M169" i="1"/>
  <c r="O169" i="1" s="1"/>
  <c r="P169" i="1" s="1"/>
  <c r="Q169" i="1" s="1"/>
  <c r="M168" i="1"/>
  <c r="O168" i="1" s="1"/>
  <c r="P168" i="1" s="1"/>
  <c r="Q168" i="1" s="1"/>
  <c r="M167" i="1"/>
  <c r="O167" i="1" s="1"/>
  <c r="P167" i="1" s="1"/>
  <c r="Q167" i="1" s="1"/>
  <c r="M166" i="1"/>
  <c r="O166" i="1" s="1"/>
  <c r="P166" i="1" s="1"/>
  <c r="Q166" i="1" s="1"/>
  <c r="M165" i="1"/>
  <c r="O165" i="1" s="1"/>
  <c r="P165" i="1" s="1"/>
  <c r="Q165" i="1" s="1"/>
  <c r="M141" i="1"/>
  <c r="O124" i="1"/>
  <c r="P124" i="1" s="1"/>
  <c r="Q124" i="1" s="1"/>
  <c r="O123" i="1"/>
  <c r="P123" i="1" s="1"/>
  <c r="Q123" i="1" s="1"/>
  <c r="O121" i="1"/>
  <c r="P121" i="1" s="1"/>
  <c r="Q121" i="1" s="1"/>
  <c r="O120" i="1"/>
  <c r="P120" i="1" s="1"/>
  <c r="Q120" i="1" s="1"/>
  <c r="O108" i="1"/>
  <c r="P108" i="1" s="1"/>
  <c r="Q108" i="1" s="1"/>
  <c r="O107" i="1"/>
  <c r="P107" i="1" s="1"/>
  <c r="Q107" i="1" s="1"/>
  <c r="O106" i="1"/>
  <c r="P106" i="1" s="1"/>
  <c r="Q106" i="1" s="1"/>
  <c r="O105" i="1"/>
  <c r="P105" i="1" s="1"/>
  <c r="Q105" i="1" s="1"/>
  <c r="M40" i="4"/>
  <c r="M39" i="4"/>
  <c r="M38" i="4"/>
  <c r="M37" i="4"/>
  <c r="M36" i="4"/>
  <c r="P54" i="4"/>
  <c r="M94" i="4"/>
  <c r="M93" i="4"/>
  <c r="M92" i="4"/>
  <c r="M91" i="4"/>
  <c r="M90" i="4"/>
  <c r="M88" i="4"/>
  <c r="M87" i="4"/>
  <c r="M86" i="4"/>
  <c r="M85" i="4"/>
  <c r="M84" i="4"/>
  <c r="M82" i="4"/>
  <c r="M81" i="4"/>
  <c r="M80" i="4"/>
  <c r="M79" i="4"/>
  <c r="M78" i="4"/>
  <c r="M76" i="4"/>
  <c r="M75" i="4"/>
  <c r="M74" i="4"/>
  <c r="M73" i="4"/>
  <c r="M72" i="4"/>
  <c r="M70" i="4"/>
  <c r="M69" i="4"/>
  <c r="M68" i="4"/>
  <c r="M67" i="4"/>
  <c r="M66" i="4"/>
  <c r="M64" i="4"/>
  <c r="M63" i="4"/>
  <c r="M62" i="4"/>
  <c r="M61" i="4"/>
  <c r="M60" i="4"/>
  <c r="M58" i="4"/>
  <c r="M57" i="4"/>
  <c r="M56" i="4"/>
  <c r="M55" i="4"/>
  <c r="M54" i="4"/>
  <c r="M52" i="4"/>
  <c r="M51" i="4"/>
  <c r="M50" i="4"/>
  <c r="M49" i="4"/>
  <c r="M48" i="4"/>
  <c r="M46" i="4"/>
  <c r="M45" i="4"/>
  <c r="M44" i="4"/>
  <c r="M43" i="4"/>
  <c r="M42" i="4"/>
  <c r="N100" i="4"/>
  <c r="N99" i="4"/>
  <c r="N98" i="4"/>
  <c r="N97" i="4"/>
  <c r="N96" i="4"/>
  <c r="N94" i="4"/>
  <c r="O94" i="4" s="1"/>
  <c r="P94" i="4" s="1"/>
  <c r="Q94" i="4" s="1"/>
  <c r="N93" i="4"/>
  <c r="O93" i="4" s="1"/>
  <c r="P93" i="4" s="1"/>
  <c r="Q93" i="4" s="1"/>
  <c r="N92" i="4"/>
  <c r="N91" i="4"/>
  <c r="O91" i="4" s="1"/>
  <c r="P91" i="4" s="1"/>
  <c r="Q91" i="4" s="1"/>
  <c r="N90" i="4"/>
  <c r="N88" i="4"/>
  <c r="O88" i="4" s="1"/>
  <c r="P88" i="4" s="1"/>
  <c r="Q88" i="4" s="1"/>
  <c r="N87" i="4"/>
  <c r="O87" i="4" s="1"/>
  <c r="P87" i="4" s="1"/>
  <c r="Q87" i="4" s="1"/>
  <c r="N86" i="4"/>
  <c r="O86" i="4" s="1"/>
  <c r="P86" i="4" s="1"/>
  <c r="Q86" i="4" s="1"/>
  <c r="N85" i="4"/>
  <c r="O85" i="4" s="1"/>
  <c r="P85" i="4" s="1"/>
  <c r="Q85" i="4" s="1"/>
  <c r="N84" i="4"/>
  <c r="O84" i="4" s="1"/>
  <c r="P84" i="4" s="1"/>
  <c r="Q84" i="4" s="1"/>
  <c r="N82" i="4"/>
  <c r="O82" i="4" s="1"/>
  <c r="P82" i="4" s="1"/>
  <c r="Q82" i="4" s="1"/>
  <c r="N81" i="4"/>
  <c r="O81" i="4" s="1"/>
  <c r="P81" i="4" s="1"/>
  <c r="Q81" i="4" s="1"/>
  <c r="N80" i="4"/>
  <c r="N79" i="4"/>
  <c r="O79" i="4" s="1"/>
  <c r="P79" i="4" s="1"/>
  <c r="Q79" i="4" s="1"/>
  <c r="N78" i="4"/>
  <c r="O78" i="4" s="1"/>
  <c r="P78" i="4" s="1"/>
  <c r="Q78" i="4" s="1"/>
  <c r="N76" i="4"/>
  <c r="O76" i="4" s="1"/>
  <c r="P76" i="4" s="1"/>
  <c r="Q76" i="4" s="1"/>
  <c r="N75" i="4"/>
  <c r="O75" i="4" s="1"/>
  <c r="P75" i="4" s="1"/>
  <c r="Q75" i="4" s="1"/>
  <c r="N74" i="4"/>
  <c r="O74" i="4" s="1"/>
  <c r="P74" i="4" s="1"/>
  <c r="Q74" i="4" s="1"/>
  <c r="N73" i="4"/>
  <c r="O73" i="4" s="1"/>
  <c r="P73" i="4" s="1"/>
  <c r="Q73" i="4" s="1"/>
  <c r="N72" i="4"/>
  <c r="O72" i="4" s="1"/>
  <c r="P72" i="4" s="1"/>
  <c r="Q72" i="4" s="1"/>
  <c r="N70" i="4"/>
  <c r="O70" i="4" s="1"/>
  <c r="P70" i="4" s="1"/>
  <c r="Q70" i="4" s="1"/>
  <c r="N69" i="4"/>
  <c r="O69" i="4" s="1"/>
  <c r="P69" i="4" s="1"/>
  <c r="Q69" i="4" s="1"/>
  <c r="N68" i="4"/>
  <c r="O68" i="4" s="1"/>
  <c r="P68" i="4" s="1"/>
  <c r="Q68" i="4" s="1"/>
  <c r="N67" i="4"/>
  <c r="N66" i="4"/>
  <c r="O66" i="4" s="1"/>
  <c r="P66" i="4" s="1"/>
  <c r="Q66" i="4" s="1"/>
  <c r="N64" i="4"/>
  <c r="O64" i="4" s="1"/>
  <c r="P64" i="4" s="1"/>
  <c r="Q64" i="4" s="1"/>
  <c r="N63" i="4"/>
  <c r="O63" i="4" s="1"/>
  <c r="P63" i="4" s="1"/>
  <c r="Q63" i="4" s="1"/>
  <c r="N62" i="4"/>
  <c r="O62" i="4" s="1"/>
  <c r="P62" i="4" s="1"/>
  <c r="Q62" i="4" s="1"/>
  <c r="N61" i="4"/>
  <c r="N60" i="4"/>
  <c r="N58" i="4"/>
  <c r="O58" i="4" s="1"/>
  <c r="P58" i="4" s="1"/>
  <c r="Q58" i="4" s="1"/>
  <c r="N57" i="4"/>
  <c r="O57" i="4" s="1"/>
  <c r="P57" i="4" s="1"/>
  <c r="Q57" i="4" s="1"/>
  <c r="N56" i="4"/>
  <c r="O56" i="4" s="1"/>
  <c r="P56" i="4" s="1"/>
  <c r="Q56" i="4" s="1"/>
  <c r="N55" i="4"/>
  <c r="N54" i="4"/>
  <c r="N52" i="4"/>
  <c r="O52" i="4" s="1"/>
  <c r="P52" i="4" s="1"/>
  <c r="Q52" i="4" s="1"/>
  <c r="N51" i="4"/>
  <c r="O51" i="4" s="1"/>
  <c r="P51" i="4" s="1"/>
  <c r="Q51" i="4" s="1"/>
  <c r="N50" i="4"/>
  <c r="O50" i="4" s="1"/>
  <c r="P50" i="4" s="1"/>
  <c r="Q50" i="4" s="1"/>
  <c r="N49" i="4"/>
  <c r="N48" i="4"/>
  <c r="N46" i="4"/>
  <c r="O46" i="4" s="1"/>
  <c r="P46" i="4" s="1"/>
  <c r="Q46" i="4" s="1"/>
  <c r="N45" i="4"/>
  <c r="O45" i="4" s="1"/>
  <c r="P45" i="4" s="1"/>
  <c r="Q45" i="4" s="1"/>
  <c r="N44" i="4"/>
  <c r="O44" i="4" s="1"/>
  <c r="P44" i="4" s="1"/>
  <c r="Q44" i="4" s="1"/>
  <c r="N43" i="4"/>
  <c r="N42" i="4"/>
  <c r="N40" i="4"/>
  <c r="O40" i="4" s="1"/>
  <c r="P40" i="4" s="1"/>
  <c r="Q40" i="4" s="1"/>
  <c r="N39" i="4"/>
  <c r="O39" i="4" s="1"/>
  <c r="P39" i="4" s="1"/>
  <c r="Q39" i="4" s="1"/>
  <c r="N38" i="4"/>
  <c r="O38" i="4" s="1"/>
  <c r="P38" i="4" s="1"/>
  <c r="Q38" i="4" s="1"/>
  <c r="N37" i="4"/>
  <c r="O37" i="4" s="1"/>
  <c r="P37" i="4" s="1"/>
  <c r="Q37" i="4" s="1"/>
  <c r="N36" i="4"/>
  <c r="O36" i="4" s="1"/>
  <c r="P36" i="4" s="1"/>
  <c r="Q36" i="4" s="1"/>
  <c r="L14" i="4"/>
  <c r="L13" i="4"/>
  <c r="L12" i="4"/>
  <c r="L11" i="4"/>
  <c r="L10" i="4"/>
  <c r="L9" i="4"/>
  <c r="L8" i="4"/>
  <c r="L7" i="4"/>
  <c r="L6" i="4"/>
  <c r="L5" i="4"/>
  <c r="U48" i="2"/>
  <c r="M100" i="4"/>
  <c r="O100" i="4" s="1"/>
  <c r="P100" i="4" s="1"/>
  <c r="Q100" i="4" s="1"/>
  <c r="M99" i="4"/>
  <c r="M98" i="4"/>
  <c r="M97" i="4"/>
  <c r="M96" i="4"/>
  <c r="O61" i="4"/>
  <c r="P61" i="4" s="1"/>
  <c r="Q61" i="4" s="1"/>
  <c r="O60" i="4"/>
  <c r="P60" i="4" s="1"/>
  <c r="Q60" i="4" s="1"/>
  <c r="O55" i="4"/>
  <c r="P55" i="4" s="1"/>
  <c r="Q55" i="4" s="1"/>
  <c r="O54" i="4"/>
  <c r="Q54" i="4" s="1"/>
  <c r="O49" i="4"/>
  <c r="P49" i="4" s="1"/>
  <c r="Q49" i="4" s="1"/>
  <c r="O48" i="4"/>
  <c r="P48" i="4" s="1"/>
  <c r="Q48" i="4" s="1"/>
  <c r="O43" i="4"/>
  <c r="P43" i="4" s="1"/>
  <c r="Q43" i="4" s="1"/>
  <c r="O42" i="4"/>
  <c r="P42" i="4" s="1"/>
  <c r="Q42" i="4" s="1"/>
  <c r="E29" i="4"/>
  <c r="D29" i="4"/>
  <c r="E28" i="4"/>
  <c r="D28" i="4"/>
  <c r="E27" i="4"/>
  <c r="D27" i="4"/>
  <c r="V26" i="4"/>
  <c r="U26" i="4"/>
  <c r="K26" i="4"/>
  <c r="J26" i="4"/>
  <c r="E26" i="4"/>
  <c r="D26" i="4"/>
  <c r="V25" i="4"/>
  <c r="U25" i="4"/>
  <c r="K25" i="4"/>
  <c r="J25" i="4"/>
  <c r="E25" i="4"/>
  <c r="D25" i="4"/>
  <c r="V24" i="4"/>
  <c r="U24" i="4"/>
  <c r="K24" i="4"/>
  <c r="J24" i="4"/>
  <c r="E24" i="4"/>
  <c r="D24" i="4"/>
  <c r="V23" i="4"/>
  <c r="U23" i="4"/>
  <c r="K23" i="4"/>
  <c r="J23" i="4"/>
  <c r="E23" i="4"/>
  <c r="D23" i="4"/>
  <c r="V22" i="4"/>
  <c r="U22" i="4"/>
  <c r="K22" i="4"/>
  <c r="J22" i="4"/>
  <c r="E22" i="4"/>
  <c r="D22" i="4"/>
  <c r="V21" i="4"/>
  <c r="U21" i="4"/>
  <c r="K21" i="4"/>
  <c r="J21" i="4"/>
  <c r="E21" i="4"/>
  <c r="D21" i="4"/>
  <c r="D30" i="4" s="1"/>
  <c r="V20" i="4"/>
  <c r="U20" i="4"/>
  <c r="K20" i="4"/>
  <c r="J20" i="4"/>
  <c r="E20" i="4"/>
  <c r="D20" i="4"/>
  <c r="V19" i="4"/>
  <c r="U19" i="4"/>
  <c r="K19" i="4"/>
  <c r="J19" i="4"/>
  <c r="V18" i="4"/>
  <c r="U18" i="4"/>
  <c r="K18" i="4"/>
  <c r="J18" i="4"/>
  <c r="V17" i="4"/>
  <c r="U17" i="4"/>
  <c r="K17" i="4"/>
  <c r="J17" i="4"/>
  <c r="V14" i="4"/>
  <c r="U14" i="4"/>
  <c r="K14" i="4"/>
  <c r="J14" i="4"/>
  <c r="V13" i="4"/>
  <c r="U13" i="4"/>
  <c r="K13" i="4"/>
  <c r="J13" i="4"/>
  <c r="V12" i="4"/>
  <c r="U12" i="4"/>
  <c r="K12" i="4"/>
  <c r="J12" i="4"/>
  <c r="V11" i="4"/>
  <c r="U11" i="4"/>
  <c r="K11" i="4"/>
  <c r="J11" i="4"/>
  <c r="V10" i="4"/>
  <c r="U10" i="4"/>
  <c r="K10" i="4"/>
  <c r="J10" i="4"/>
  <c r="V9" i="4"/>
  <c r="U9" i="4"/>
  <c r="K9" i="4"/>
  <c r="J9" i="4"/>
  <c r="V8" i="4"/>
  <c r="U8" i="4"/>
  <c r="K8" i="4"/>
  <c r="J8" i="4"/>
  <c r="V7" i="4"/>
  <c r="U7" i="4"/>
  <c r="K7" i="4"/>
  <c r="J7" i="4"/>
  <c r="V6" i="4"/>
  <c r="U6" i="4"/>
  <c r="K6" i="4"/>
  <c r="J6" i="4"/>
  <c r="V5" i="4"/>
  <c r="U5" i="4"/>
  <c r="K5" i="4"/>
  <c r="J5" i="4"/>
  <c r="M88" i="2"/>
  <c r="M87" i="2"/>
  <c r="M86" i="2"/>
  <c r="M85" i="2"/>
  <c r="M84" i="2"/>
  <c r="M82" i="2"/>
  <c r="M81" i="2"/>
  <c r="M80" i="2"/>
  <c r="M79" i="2"/>
  <c r="M78" i="2"/>
  <c r="M76" i="2"/>
  <c r="M75" i="2"/>
  <c r="M74" i="2"/>
  <c r="M73" i="2"/>
  <c r="M72" i="2"/>
  <c r="M70" i="2"/>
  <c r="M69" i="2"/>
  <c r="M68" i="2"/>
  <c r="M67" i="2"/>
  <c r="M66" i="2"/>
  <c r="M58" i="2"/>
  <c r="M57" i="2"/>
  <c r="M56" i="2"/>
  <c r="M55" i="2"/>
  <c r="M54" i="2"/>
  <c r="M52" i="2"/>
  <c r="M51" i="2"/>
  <c r="M50" i="2"/>
  <c r="M49" i="2"/>
  <c r="M48" i="2"/>
  <c r="N52" i="2"/>
  <c r="O52" i="2" s="1"/>
  <c r="P52" i="2" s="1"/>
  <c r="Q52" i="2" s="1"/>
  <c r="N51" i="2"/>
  <c r="O51" i="2" s="1"/>
  <c r="P51" i="2" s="1"/>
  <c r="Q51" i="2" s="1"/>
  <c r="N50" i="2"/>
  <c r="O50" i="2" s="1"/>
  <c r="P50" i="2" s="1"/>
  <c r="Q50" i="2" s="1"/>
  <c r="N49" i="2"/>
  <c r="O49" i="2" s="1"/>
  <c r="P49" i="2" s="1"/>
  <c r="Q49" i="2" s="1"/>
  <c r="N48" i="2"/>
  <c r="O48" i="2" s="1"/>
  <c r="P48" i="2" s="1"/>
  <c r="Q48" i="2" s="1"/>
  <c r="N100" i="2"/>
  <c r="N99" i="2"/>
  <c r="N98" i="2"/>
  <c r="N97" i="2"/>
  <c r="N96" i="2"/>
  <c r="N94" i="2"/>
  <c r="O94" i="2" s="1"/>
  <c r="P94" i="2" s="1"/>
  <c r="Q94" i="2" s="1"/>
  <c r="N93" i="2"/>
  <c r="O93" i="2" s="1"/>
  <c r="P93" i="2" s="1"/>
  <c r="Q93" i="2" s="1"/>
  <c r="N92" i="2"/>
  <c r="O92" i="2" s="1"/>
  <c r="P92" i="2" s="1"/>
  <c r="Q92" i="2" s="1"/>
  <c r="N91" i="2"/>
  <c r="O91" i="2" s="1"/>
  <c r="P91" i="2" s="1"/>
  <c r="Q91" i="2" s="1"/>
  <c r="N90" i="2"/>
  <c r="O90" i="2" s="1"/>
  <c r="P90" i="2" s="1"/>
  <c r="Q90" i="2" s="1"/>
  <c r="N88" i="2"/>
  <c r="O88" i="2" s="1"/>
  <c r="P88" i="2" s="1"/>
  <c r="Q88" i="2" s="1"/>
  <c r="N87" i="2"/>
  <c r="O87" i="2" s="1"/>
  <c r="P87" i="2" s="1"/>
  <c r="Q87" i="2" s="1"/>
  <c r="N86" i="2"/>
  <c r="O86" i="2" s="1"/>
  <c r="P86" i="2" s="1"/>
  <c r="Q86" i="2" s="1"/>
  <c r="N85" i="2"/>
  <c r="N84" i="2"/>
  <c r="N82" i="2"/>
  <c r="O82" i="2" s="1"/>
  <c r="P82" i="2" s="1"/>
  <c r="Q82" i="2" s="1"/>
  <c r="N81" i="2"/>
  <c r="O81" i="2" s="1"/>
  <c r="P81" i="2" s="1"/>
  <c r="Q81" i="2" s="1"/>
  <c r="N80" i="2"/>
  <c r="O80" i="2" s="1"/>
  <c r="P80" i="2" s="1"/>
  <c r="Q80" i="2" s="1"/>
  <c r="N79" i="2"/>
  <c r="N78" i="2"/>
  <c r="N76" i="2"/>
  <c r="O76" i="2" s="1"/>
  <c r="P76" i="2" s="1"/>
  <c r="Q76" i="2" s="1"/>
  <c r="N75" i="2"/>
  <c r="O75" i="2" s="1"/>
  <c r="P75" i="2" s="1"/>
  <c r="Q75" i="2" s="1"/>
  <c r="N74" i="2"/>
  <c r="O74" i="2" s="1"/>
  <c r="P74" i="2" s="1"/>
  <c r="Q74" i="2" s="1"/>
  <c r="N73" i="2"/>
  <c r="N72" i="2"/>
  <c r="N70" i="2"/>
  <c r="O70" i="2" s="1"/>
  <c r="P70" i="2" s="1"/>
  <c r="Q70" i="2" s="1"/>
  <c r="N69" i="2"/>
  <c r="O69" i="2" s="1"/>
  <c r="P69" i="2" s="1"/>
  <c r="Q69" i="2" s="1"/>
  <c r="N68" i="2"/>
  <c r="O68" i="2" s="1"/>
  <c r="P68" i="2" s="1"/>
  <c r="Q68" i="2" s="1"/>
  <c r="N67" i="2"/>
  <c r="N66" i="2"/>
  <c r="N64" i="2"/>
  <c r="O64" i="2" s="1"/>
  <c r="P64" i="2" s="1"/>
  <c r="Q64" i="2" s="1"/>
  <c r="N63" i="2"/>
  <c r="O63" i="2" s="1"/>
  <c r="P63" i="2" s="1"/>
  <c r="Q63" i="2" s="1"/>
  <c r="N62" i="2"/>
  <c r="O62" i="2" s="1"/>
  <c r="P62" i="2" s="1"/>
  <c r="Q62" i="2" s="1"/>
  <c r="N61" i="2"/>
  <c r="N60" i="2"/>
  <c r="N58" i="2"/>
  <c r="O58" i="2" s="1"/>
  <c r="P58" i="2" s="1"/>
  <c r="Q58" i="2" s="1"/>
  <c r="N57" i="2"/>
  <c r="O57" i="2" s="1"/>
  <c r="P57" i="2" s="1"/>
  <c r="Q57" i="2" s="1"/>
  <c r="N56" i="2"/>
  <c r="O56" i="2" s="1"/>
  <c r="P56" i="2" s="1"/>
  <c r="Q56" i="2" s="1"/>
  <c r="N55" i="2"/>
  <c r="N54" i="2"/>
  <c r="N45" i="2"/>
  <c r="N44" i="2"/>
  <c r="O36" i="2"/>
  <c r="N37" i="2"/>
  <c r="N38" i="2"/>
  <c r="N39" i="2"/>
  <c r="N40" i="2"/>
  <c r="N36" i="2"/>
  <c r="L14" i="2"/>
  <c r="L13" i="2"/>
  <c r="L12" i="2"/>
  <c r="L11" i="2"/>
  <c r="L10" i="2"/>
  <c r="L9" i="2"/>
  <c r="L8" i="2"/>
  <c r="L7" i="2"/>
  <c r="L6" i="2"/>
  <c r="L5" i="2"/>
  <c r="E29" i="2"/>
  <c r="D29" i="2"/>
  <c r="E28" i="2"/>
  <c r="D28" i="2"/>
  <c r="E27" i="2"/>
  <c r="D27" i="2"/>
  <c r="V26" i="2"/>
  <c r="U26" i="2"/>
  <c r="K26" i="2"/>
  <c r="J26" i="2"/>
  <c r="E26" i="2"/>
  <c r="D26" i="2"/>
  <c r="V25" i="2"/>
  <c r="U25" i="2"/>
  <c r="K25" i="2"/>
  <c r="J25" i="2"/>
  <c r="E25" i="2"/>
  <c r="D25" i="2"/>
  <c r="V24" i="2"/>
  <c r="U24" i="2"/>
  <c r="K24" i="2"/>
  <c r="J24" i="2"/>
  <c r="E24" i="2"/>
  <c r="D24" i="2"/>
  <c r="V23" i="2"/>
  <c r="U23" i="2"/>
  <c r="K23" i="2"/>
  <c r="J23" i="2"/>
  <c r="E23" i="2"/>
  <c r="D23" i="2"/>
  <c r="V22" i="2"/>
  <c r="U22" i="2"/>
  <c r="K22" i="2"/>
  <c r="J22" i="2"/>
  <c r="E22" i="2"/>
  <c r="D22" i="2"/>
  <c r="V21" i="2"/>
  <c r="U21" i="2"/>
  <c r="K21" i="2"/>
  <c r="J21" i="2"/>
  <c r="E21" i="2"/>
  <c r="D21" i="2"/>
  <c r="V20" i="2"/>
  <c r="U20" i="2"/>
  <c r="K20" i="2"/>
  <c r="J20" i="2"/>
  <c r="E20" i="2"/>
  <c r="D20" i="2"/>
  <c r="V19" i="2"/>
  <c r="U19" i="2"/>
  <c r="K19" i="2"/>
  <c r="J19" i="2"/>
  <c r="V18" i="2"/>
  <c r="U18" i="2"/>
  <c r="K18" i="2"/>
  <c r="J18" i="2"/>
  <c r="V17" i="2"/>
  <c r="U17" i="2"/>
  <c r="K17" i="2"/>
  <c r="J17" i="2"/>
  <c r="V14" i="2"/>
  <c r="U14" i="2"/>
  <c r="K14" i="2"/>
  <c r="J14" i="2"/>
  <c r="V13" i="2"/>
  <c r="U13" i="2"/>
  <c r="K13" i="2"/>
  <c r="J13" i="2"/>
  <c r="V12" i="2"/>
  <c r="U12" i="2"/>
  <c r="K12" i="2"/>
  <c r="J12" i="2"/>
  <c r="V11" i="2"/>
  <c r="U11" i="2"/>
  <c r="K11" i="2"/>
  <c r="J11" i="2"/>
  <c r="V10" i="2"/>
  <c r="U10" i="2"/>
  <c r="K10" i="2"/>
  <c r="J10" i="2"/>
  <c r="V9" i="2"/>
  <c r="U9" i="2"/>
  <c r="K9" i="2"/>
  <c r="J9" i="2"/>
  <c r="V8" i="2"/>
  <c r="U8" i="2"/>
  <c r="K8" i="2"/>
  <c r="J8" i="2"/>
  <c r="V7" i="2"/>
  <c r="U7" i="2"/>
  <c r="K7" i="2"/>
  <c r="J7" i="2"/>
  <c r="V6" i="2"/>
  <c r="U6" i="2"/>
  <c r="K6" i="2"/>
  <c r="J6" i="2"/>
  <c r="V5" i="2"/>
  <c r="U5" i="2"/>
  <c r="K5" i="2"/>
  <c r="J5" i="2"/>
  <c r="M100" i="2"/>
  <c r="O100" i="2" s="1"/>
  <c r="P100" i="2" s="1"/>
  <c r="Q100" i="2" s="1"/>
  <c r="M99" i="2"/>
  <c r="O99" i="2" s="1"/>
  <c r="P99" i="2" s="1"/>
  <c r="Q99" i="2" s="1"/>
  <c r="M98" i="2"/>
  <c r="O98" i="2" s="1"/>
  <c r="P98" i="2" s="1"/>
  <c r="Q98" i="2" s="1"/>
  <c r="M97" i="2"/>
  <c r="O97" i="2" s="1"/>
  <c r="P97" i="2" s="1"/>
  <c r="Q97" i="2" s="1"/>
  <c r="M96" i="2"/>
  <c r="O96" i="2" s="1"/>
  <c r="P96" i="2" s="1"/>
  <c r="Q96" i="2" s="1"/>
  <c r="O85" i="2"/>
  <c r="P85" i="2" s="1"/>
  <c r="Q85" i="2" s="1"/>
  <c r="O84" i="2"/>
  <c r="P84" i="2" s="1"/>
  <c r="Q84" i="2" s="1"/>
  <c r="O79" i="2"/>
  <c r="P79" i="2" s="1"/>
  <c r="Q79" i="2" s="1"/>
  <c r="O78" i="2"/>
  <c r="P78" i="2" s="1"/>
  <c r="Q78" i="2" s="1"/>
  <c r="O73" i="2"/>
  <c r="P73" i="2" s="1"/>
  <c r="Q73" i="2" s="1"/>
  <c r="O72" i="2"/>
  <c r="P72" i="2" s="1"/>
  <c r="Q72" i="2" s="1"/>
  <c r="O67" i="2"/>
  <c r="P67" i="2" s="1"/>
  <c r="Q67" i="2" s="1"/>
  <c r="O66" i="2"/>
  <c r="P66" i="2" s="1"/>
  <c r="Q66" i="2" s="1"/>
  <c r="O61" i="2"/>
  <c r="P61" i="2" s="1"/>
  <c r="Q61" i="2" s="1"/>
  <c r="O60" i="2"/>
  <c r="P60" i="2" s="1"/>
  <c r="Q60" i="2" s="1"/>
  <c r="O55" i="2"/>
  <c r="P55" i="2" s="1"/>
  <c r="Q55" i="2" s="1"/>
  <c r="O54" i="2"/>
  <c r="P54" i="2" s="1"/>
  <c r="Q54" i="2" s="1"/>
  <c r="M46" i="2"/>
  <c r="N46" i="2" s="1"/>
  <c r="M45" i="2"/>
  <c r="M44" i="2"/>
  <c r="M43" i="2"/>
  <c r="M42" i="2"/>
  <c r="N42" i="2" s="1"/>
  <c r="M40" i="2"/>
  <c r="M39" i="2"/>
  <c r="M38" i="2"/>
  <c r="O38" i="2" s="1"/>
  <c r="P38" i="2" s="1"/>
  <c r="Q38" i="2" s="1"/>
  <c r="M37" i="2"/>
  <c r="O37" i="2" s="1"/>
  <c r="P37" i="2" s="1"/>
  <c r="Q37" i="2" s="1"/>
  <c r="M36" i="2"/>
  <c r="P36" i="2" s="1"/>
  <c r="Q36" i="2" s="1"/>
  <c r="V47" i="1"/>
  <c r="R47" i="1"/>
  <c r="Q47" i="1"/>
  <c r="M82" i="1"/>
  <c r="N82" i="1" s="1"/>
  <c r="O82" i="1" s="1"/>
  <c r="P82" i="1" s="1"/>
  <c r="Q82" i="1" s="1"/>
  <c r="M81" i="1"/>
  <c r="N81" i="1" s="1"/>
  <c r="O81" i="1" s="1"/>
  <c r="P81" i="1" s="1"/>
  <c r="Q81" i="1" s="1"/>
  <c r="M80" i="1"/>
  <c r="N80" i="1" s="1"/>
  <c r="O80" i="1" s="1"/>
  <c r="P80" i="1" s="1"/>
  <c r="Q80" i="1" s="1"/>
  <c r="M79" i="1"/>
  <c r="N79" i="1" s="1"/>
  <c r="O79" i="1" s="1"/>
  <c r="P79" i="1" s="1"/>
  <c r="Q79" i="1" s="1"/>
  <c r="M78" i="1"/>
  <c r="N78" i="1" s="1"/>
  <c r="O78" i="1" s="1"/>
  <c r="P78" i="1" s="1"/>
  <c r="Q78" i="1" s="1"/>
  <c r="M88" i="1"/>
  <c r="N88" i="1" s="1"/>
  <c r="O88" i="1" s="1"/>
  <c r="P88" i="1" s="1"/>
  <c r="Q88" i="1" s="1"/>
  <c r="M87" i="1"/>
  <c r="N87" i="1" s="1"/>
  <c r="O87" i="1" s="1"/>
  <c r="P87" i="1" s="1"/>
  <c r="Q87" i="1" s="1"/>
  <c r="M86" i="1"/>
  <c r="N86" i="1" s="1"/>
  <c r="O86" i="1" s="1"/>
  <c r="P86" i="1" s="1"/>
  <c r="Q86" i="1" s="1"/>
  <c r="M85" i="1"/>
  <c r="N85" i="1" s="1"/>
  <c r="O85" i="1" s="1"/>
  <c r="P85" i="1" s="1"/>
  <c r="Q85" i="1" s="1"/>
  <c r="M84" i="1"/>
  <c r="N84" i="1" s="1"/>
  <c r="O84" i="1" s="1"/>
  <c r="P84" i="1" s="1"/>
  <c r="Q84" i="1" s="1"/>
  <c r="M94" i="1"/>
  <c r="N94" i="1" s="1"/>
  <c r="O94" i="1" s="1"/>
  <c r="P94" i="1" s="1"/>
  <c r="Q94" i="1" s="1"/>
  <c r="M93" i="1"/>
  <c r="N93" i="1" s="1"/>
  <c r="O93" i="1" s="1"/>
  <c r="P93" i="1" s="1"/>
  <c r="Q93" i="1" s="1"/>
  <c r="M92" i="1"/>
  <c r="N92" i="1" s="1"/>
  <c r="O92" i="1" s="1"/>
  <c r="P92" i="1" s="1"/>
  <c r="Q92" i="1" s="1"/>
  <c r="M91" i="1"/>
  <c r="N91" i="1" s="1"/>
  <c r="O91" i="1" s="1"/>
  <c r="P91" i="1" s="1"/>
  <c r="Q91" i="1" s="1"/>
  <c r="M90" i="1"/>
  <c r="N90" i="1" s="1"/>
  <c r="O90" i="1" s="1"/>
  <c r="P90" i="1" s="1"/>
  <c r="Q90" i="1" s="1"/>
  <c r="M70" i="1"/>
  <c r="N70" i="1" s="1"/>
  <c r="O70" i="1" s="1"/>
  <c r="P70" i="1" s="1"/>
  <c r="Q70" i="1" s="1"/>
  <c r="M69" i="1"/>
  <c r="N69" i="1" s="1"/>
  <c r="O69" i="1" s="1"/>
  <c r="P69" i="1" s="1"/>
  <c r="Q69" i="1" s="1"/>
  <c r="M68" i="1"/>
  <c r="N68" i="1" s="1"/>
  <c r="O68" i="1" s="1"/>
  <c r="P68" i="1" s="1"/>
  <c r="Q68" i="1" s="1"/>
  <c r="M67" i="1"/>
  <c r="N67" i="1" s="1"/>
  <c r="O67" i="1" s="1"/>
  <c r="P67" i="1" s="1"/>
  <c r="Q67" i="1" s="1"/>
  <c r="M66" i="1"/>
  <c r="N66" i="1" s="1"/>
  <c r="O66" i="1" s="1"/>
  <c r="P66" i="1" s="1"/>
  <c r="Q66" i="1" s="1"/>
  <c r="M58" i="1"/>
  <c r="N58" i="1" s="1"/>
  <c r="O58" i="1" s="1"/>
  <c r="P58" i="1" s="1"/>
  <c r="Q58" i="1" s="1"/>
  <c r="M57" i="1"/>
  <c r="N57" i="1" s="1"/>
  <c r="O57" i="1" s="1"/>
  <c r="P57" i="1" s="1"/>
  <c r="Q57" i="1" s="1"/>
  <c r="M56" i="1"/>
  <c r="N56" i="1" s="1"/>
  <c r="O56" i="1" s="1"/>
  <c r="P56" i="1" s="1"/>
  <c r="Q56" i="1" s="1"/>
  <c r="M55" i="1"/>
  <c r="N55" i="1" s="1"/>
  <c r="O55" i="1" s="1"/>
  <c r="P55" i="1" s="1"/>
  <c r="Q55" i="1" s="1"/>
  <c r="M54" i="1"/>
  <c r="N54" i="1" s="1"/>
  <c r="O54" i="1" s="1"/>
  <c r="P54" i="1" s="1"/>
  <c r="Q54" i="1" s="1"/>
  <c r="M46" i="1"/>
  <c r="N46" i="1" s="1"/>
  <c r="O46" i="1" s="1"/>
  <c r="P46" i="1" s="1"/>
  <c r="Q46" i="1" s="1"/>
  <c r="M45" i="1"/>
  <c r="N45" i="1" s="1"/>
  <c r="O45" i="1" s="1"/>
  <c r="P45" i="1" s="1"/>
  <c r="Q45" i="1" s="1"/>
  <c r="M44" i="1"/>
  <c r="N44" i="1" s="1"/>
  <c r="O44" i="1" s="1"/>
  <c r="P44" i="1" s="1"/>
  <c r="Q44" i="1" s="1"/>
  <c r="M43" i="1"/>
  <c r="N43" i="1" s="1"/>
  <c r="O43" i="1" s="1"/>
  <c r="P43" i="1" s="1"/>
  <c r="Q43" i="1" s="1"/>
  <c r="M42" i="1"/>
  <c r="N42" i="1" s="1"/>
  <c r="O42" i="1" s="1"/>
  <c r="P42" i="1" s="1"/>
  <c r="W26" i="1"/>
  <c r="W25" i="1"/>
  <c r="W24" i="1"/>
  <c r="W23" i="1"/>
  <c r="W22" i="1"/>
  <c r="W21" i="1"/>
  <c r="W20" i="1"/>
  <c r="W19" i="1"/>
  <c r="W18" i="1"/>
  <c r="W17" i="1"/>
  <c r="V26" i="1"/>
  <c r="U26" i="1"/>
  <c r="V25" i="1"/>
  <c r="U25" i="1"/>
  <c r="V24" i="1"/>
  <c r="U24" i="1"/>
  <c r="V23" i="1"/>
  <c r="U23" i="1"/>
  <c r="V22" i="1"/>
  <c r="U22" i="1"/>
  <c r="V21" i="1"/>
  <c r="U21" i="1"/>
  <c r="V20" i="1"/>
  <c r="U20" i="1"/>
  <c r="V19" i="1"/>
  <c r="U19" i="1"/>
  <c r="V18" i="1"/>
  <c r="U18" i="1"/>
  <c r="V17" i="1"/>
  <c r="U17" i="1"/>
  <c r="W14" i="1"/>
  <c r="W13" i="1"/>
  <c r="W12" i="1"/>
  <c r="W11" i="1"/>
  <c r="W10" i="1"/>
  <c r="W9" i="1"/>
  <c r="W8" i="1"/>
  <c r="W7" i="1"/>
  <c r="W6" i="1"/>
  <c r="W5" i="1"/>
  <c r="V14" i="1"/>
  <c r="U14" i="1"/>
  <c r="V13" i="1"/>
  <c r="U13" i="1"/>
  <c r="V12" i="1"/>
  <c r="U12" i="1"/>
  <c r="V11" i="1"/>
  <c r="U11" i="1"/>
  <c r="V10" i="1"/>
  <c r="U10" i="1"/>
  <c r="V9" i="1"/>
  <c r="U9" i="1"/>
  <c r="V8" i="1"/>
  <c r="U8" i="1"/>
  <c r="V7" i="1"/>
  <c r="U7" i="1"/>
  <c r="V6" i="1"/>
  <c r="U6" i="1"/>
  <c r="V5" i="1"/>
  <c r="U5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18" i="1"/>
  <c r="K18" i="1"/>
  <c r="K17" i="1"/>
  <c r="J17" i="1"/>
  <c r="D28" i="1"/>
  <c r="E28" i="1"/>
  <c r="D29" i="1"/>
  <c r="E29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E20" i="1"/>
  <c r="D20" i="1"/>
  <c r="M100" i="1"/>
  <c r="N100" i="1" s="1"/>
  <c r="O100" i="1" s="1"/>
  <c r="P100" i="1" s="1"/>
  <c r="Q100" i="1" s="1"/>
  <c r="M99" i="1"/>
  <c r="N99" i="1" s="1"/>
  <c r="O99" i="1" s="1"/>
  <c r="P99" i="1" s="1"/>
  <c r="Q99" i="1" s="1"/>
  <c r="M98" i="1"/>
  <c r="N98" i="1" s="1"/>
  <c r="O98" i="1" s="1"/>
  <c r="P98" i="1" s="1"/>
  <c r="Q98" i="1" s="1"/>
  <c r="M97" i="1"/>
  <c r="N97" i="1" s="1"/>
  <c r="O97" i="1" s="1"/>
  <c r="P97" i="1" s="1"/>
  <c r="Q97" i="1" s="1"/>
  <c r="M96" i="1"/>
  <c r="N96" i="1" s="1"/>
  <c r="O96" i="1" s="1"/>
  <c r="P96" i="1" s="1"/>
  <c r="Q96" i="1" s="1"/>
  <c r="M40" i="1"/>
  <c r="N40" i="1" s="1"/>
  <c r="O40" i="1" s="1"/>
  <c r="P40" i="1" s="1"/>
  <c r="Q40" i="1" s="1"/>
  <c r="M39" i="1"/>
  <c r="N39" i="1" s="1"/>
  <c r="O39" i="1" s="1"/>
  <c r="P39" i="1" s="1"/>
  <c r="Q39" i="1" s="1"/>
  <c r="M38" i="1"/>
  <c r="N38" i="1" s="1"/>
  <c r="O38" i="1" s="1"/>
  <c r="P38" i="1" s="1"/>
  <c r="Q38" i="1" s="1"/>
  <c r="M37" i="1"/>
  <c r="N37" i="1" s="1"/>
  <c r="O37" i="1" s="1"/>
  <c r="P37" i="1" s="1"/>
  <c r="Q37" i="1" s="1"/>
  <c r="M36" i="1"/>
  <c r="N36" i="1" s="1"/>
  <c r="O36" i="1" s="1"/>
  <c r="P36" i="1" s="1"/>
  <c r="Q36" i="1" s="1"/>
  <c r="M52" i="1"/>
  <c r="N52" i="1" s="1"/>
  <c r="O52" i="1" s="1"/>
  <c r="P52" i="1" s="1"/>
  <c r="Q52" i="1" s="1"/>
  <c r="M51" i="1"/>
  <c r="N51" i="1" s="1"/>
  <c r="O51" i="1" s="1"/>
  <c r="P51" i="1" s="1"/>
  <c r="Q51" i="1" s="1"/>
  <c r="M50" i="1"/>
  <c r="N50" i="1" s="1"/>
  <c r="O50" i="1" s="1"/>
  <c r="P50" i="1" s="1"/>
  <c r="Q50" i="1" s="1"/>
  <c r="M49" i="1"/>
  <c r="N49" i="1" s="1"/>
  <c r="O49" i="1" s="1"/>
  <c r="P49" i="1" s="1"/>
  <c r="Q49" i="1" s="1"/>
  <c r="M48" i="1"/>
  <c r="N48" i="1" s="1"/>
  <c r="O48" i="1" s="1"/>
  <c r="P48" i="1" s="1"/>
  <c r="Q48" i="1" s="1"/>
  <c r="M64" i="1"/>
  <c r="N64" i="1" s="1"/>
  <c r="O64" i="1" s="1"/>
  <c r="P64" i="1" s="1"/>
  <c r="Q64" i="1" s="1"/>
  <c r="M63" i="1"/>
  <c r="N63" i="1" s="1"/>
  <c r="O63" i="1" s="1"/>
  <c r="P63" i="1" s="1"/>
  <c r="Q63" i="1" s="1"/>
  <c r="M62" i="1"/>
  <c r="N62" i="1" s="1"/>
  <c r="O62" i="1" s="1"/>
  <c r="P62" i="1" s="1"/>
  <c r="Q62" i="1" s="1"/>
  <c r="M61" i="1"/>
  <c r="N61" i="1" s="1"/>
  <c r="O61" i="1" s="1"/>
  <c r="P61" i="1" s="1"/>
  <c r="Q61" i="1" s="1"/>
  <c r="M60" i="1"/>
  <c r="N60" i="1" s="1"/>
  <c r="O60" i="1" s="1"/>
  <c r="P60" i="1" s="1"/>
  <c r="Q60" i="1" s="1"/>
  <c r="M76" i="1"/>
  <c r="N76" i="1" s="1"/>
  <c r="O76" i="1" s="1"/>
  <c r="P76" i="1" s="1"/>
  <c r="Q76" i="1" s="1"/>
  <c r="M75" i="1"/>
  <c r="N75" i="1" s="1"/>
  <c r="O75" i="1" s="1"/>
  <c r="P75" i="1" s="1"/>
  <c r="Q75" i="1" s="1"/>
  <c r="M74" i="1"/>
  <c r="N74" i="1" s="1"/>
  <c r="O74" i="1" s="1"/>
  <c r="P74" i="1" s="1"/>
  <c r="Q74" i="1" s="1"/>
  <c r="M73" i="1"/>
  <c r="N73" i="1" s="1"/>
  <c r="O73" i="1" s="1"/>
  <c r="P73" i="1" s="1"/>
  <c r="Q73" i="1" s="1"/>
  <c r="M72" i="1"/>
  <c r="N72" i="1" s="1"/>
  <c r="O72" i="1" s="1"/>
  <c r="P72" i="1" s="1"/>
  <c r="Q72" i="1" s="1"/>
  <c r="L14" i="1"/>
  <c r="K14" i="1"/>
  <c r="J14" i="1"/>
  <c r="L13" i="1"/>
  <c r="K13" i="1"/>
  <c r="J13" i="1"/>
  <c r="L12" i="1"/>
  <c r="K12" i="1"/>
  <c r="J12" i="1"/>
  <c r="L11" i="1"/>
  <c r="K11" i="1"/>
  <c r="J11" i="1"/>
  <c r="L10" i="1"/>
  <c r="K10" i="1"/>
  <c r="J10" i="1"/>
  <c r="L9" i="1"/>
  <c r="K9" i="1"/>
  <c r="J9" i="1"/>
  <c r="L8" i="1"/>
  <c r="K8" i="1"/>
  <c r="J8" i="1"/>
  <c r="L7" i="1"/>
  <c r="K7" i="1"/>
  <c r="J7" i="1"/>
  <c r="L6" i="1"/>
  <c r="K6" i="1"/>
  <c r="J6" i="1"/>
  <c r="L5" i="1"/>
  <c r="K5" i="1"/>
  <c r="J5" i="1"/>
  <c r="N51" i="5" l="1"/>
  <c r="P51" i="5" s="1"/>
  <c r="Q51" i="5" s="1"/>
  <c r="R51" i="5" s="1"/>
  <c r="O51" i="5"/>
  <c r="N85" i="5"/>
  <c r="P85" i="5" s="1"/>
  <c r="Q85" i="5" s="1"/>
  <c r="R85" i="5" s="1"/>
  <c r="O85" i="5"/>
  <c r="N86" i="5"/>
  <c r="P86" i="5" s="1"/>
  <c r="Q86" i="5" s="1"/>
  <c r="R86" i="5" s="1"/>
  <c r="O86" i="5"/>
  <c r="N91" i="5"/>
  <c r="P91" i="5" s="1"/>
  <c r="Q91" i="5" s="1"/>
  <c r="R91" i="5" s="1"/>
  <c r="O91" i="5"/>
  <c r="N60" i="5"/>
  <c r="P60" i="5" s="1"/>
  <c r="Q60" i="5" s="1"/>
  <c r="R60" i="5" s="1"/>
  <c r="R65" i="5" s="1"/>
  <c r="O60" i="5"/>
  <c r="N90" i="5"/>
  <c r="P90" i="5" s="1"/>
  <c r="Q90" i="5" s="1"/>
  <c r="R90" i="5" s="1"/>
  <c r="R95" i="5" s="1"/>
  <c r="O90" i="5"/>
  <c r="AB68" i="5"/>
  <c r="AA68" i="5"/>
  <c r="N52" i="5"/>
  <c r="P52" i="5" s="1"/>
  <c r="Q52" i="5" s="1"/>
  <c r="R52" i="5" s="1"/>
  <c r="S53" i="5" s="1"/>
  <c r="O52" i="5"/>
  <c r="N84" i="5"/>
  <c r="P84" i="5" s="1"/>
  <c r="Q84" i="5" s="1"/>
  <c r="R84" i="5" s="1"/>
  <c r="R89" i="5" s="1"/>
  <c r="O84" i="5"/>
  <c r="N61" i="5"/>
  <c r="P61" i="5" s="1"/>
  <c r="Q61" i="5" s="1"/>
  <c r="R61" i="5" s="1"/>
  <c r="O61" i="5"/>
  <c r="N64" i="5"/>
  <c r="P64" i="5" s="1"/>
  <c r="Q64" i="5" s="1"/>
  <c r="R64" i="5" s="1"/>
  <c r="AB66" i="5"/>
  <c r="AC70" i="5" s="1"/>
  <c r="AA66" i="5"/>
  <c r="AB38" i="5"/>
  <c r="AA38" i="5"/>
  <c r="AB69" i="5"/>
  <c r="N63" i="5"/>
  <c r="P63" i="5" s="1"/>
  <c r="Q63" i="5" s="1"/>
  <c r="R63" i="5" s="1"/>
  <c r="O63" i="5"/>
  <c r="N80" i="5"/>
  <c r="P80" i="5" s="1"/>
  <c r="Q80" i="5" s="1"/>
  <c r="R80" i="5" s="1"/>
  <c r="O80" i="5"/>
  <c r="N81" i="5"/>
  <c r="P81" i="5" s="1"/>
  <c r="Q81" i="5" s="1"/>
  <c r="R81" i="5" s="1"/>
  <c r="O81" i="5"/>
  <c r="N57" i="5"/>
  <c r="P57" i="5" s="1"/>
  <c r="Q57" i="5" s="1"/>
  <c r="R57" i="5" s="1"/>
  <c r="O57" i="5"/>
  <c r="AB64" i="5"/>
  <c r="N74" i="5"/>
  <c r="P74" i="5" s="1"/>
  <c r="Q74" i="5" s="1"/>
  <c r="R74" i="5" s="1"/>
  <c r="AB72" i="5"/>
  <c r="AA72" i="5"/>
  <c r="N87" i="5"/>
  <c r="P87" i="5" s="1"/>
  <c r="Q87" i="5" s="1"/>
  <c r="R87" i="5" s="1"/>
  <c r="O87" i="5"/>
  <c r="N88" i="5"/>
  <c r="P88" i="5" s="1"/>
  <c r="Q88" i="5" s="1"/>
  <c r="R88" i="5" s="1"/>
  <c r="O88" i="5"/>
  <c r="N92" i="5"/>
  <c r="P92" i="5" s="1"/>
  <c r="Q92" i="5" s="1"/>
  <c r="R92" i="5" s="1"/>
  <c r="O92" i="5"/>
  <c r="AB93" i="5"/>
  <c r="AA93" i="5"/>
  <c r="AB37" i="5"/>
  <c r="AA37" i="5"/>
  <c r="AB67" i="5"/>
  <c r="AA67" i="5"/>
  <c r="N69" i="5"/>
  <c r="P69" i="5" s="1"/>
  <c r="Q69" i="5" s="1"/>
  <c r="R69" i="5" s="1"/>
  <c r="AB70" i="5"/>
  <c r="N70" i="5"/>
  <c r="P70" i="5" s="1"/>
  <c r="Q70" i="5" s="1"/>
  <c r="R70" i="5" s="1"/>
  <c r="AB43" i="5"/>
  <c r="AA43" i="5"/>
  <c r="N72" i="5"/>
  <c r="P72" i="5" s="1"/>
  <c r="Q72" i="5" s="1"/>
  <c r="R72" i="5" s="1"/>
  <c r="R77" i="5" s="1"/>
  <c r="AB44" i="5"/>
  <c r="AA44" i="5"/>
  <c r="N73" i="5"/>
  <c r="P73" i="5" s="1"/>
  <c r="Q73" i="5" s="1"/>
  <c r="R73" i="5" s="1"/>
  <c r="AB74" i="5"/>
  <c r="AA74" i="5"/>
  <c r="AB46" i="5"/>
  <c r="AA46" i="5"/>
  <c r="AB48" i="5"/>
  <c r="AA48" i="5"/>
  <c r="AB76" i="5"/>
  <c r="N76" i="5"/>
  <c r="P76" i="5" s="1"/>
  <c r="Q76" i="5" s="1"/>
  <c r="R76" i="5" s="1"/>
  <c r="N54" i="5"/>
  <c r="P54" i="5" s="1"/>
  <c r="Q54" i="5" s="1"/>
  <c r="R54" i="5" s="1"/>
  <c r="S59" i="5" s="1"/>
  <c r="O54" i="5"/>
  <c r="N62" i="5"/>
  <c r="P62" i="5" s="1"/>
  <c r="Q62" i="5" s="1"/>
  <c r="R62" i="5" s="1"/>
  <c r="O62" i="5"/>
  <c r="AB36" i="5"/>
  <c r="AB94" i="5"/>
  <c r="AA94" i="5"/>
  <c r="AB39" i="5"/>
  <c r="AA39" i="5"/>
  <c r="N68" i="5"/>
  <c r="P68" i="5" s="1"/>
  <c r="Q68" i="5" s="1"/>
  <c r="R68" i="5" s="1"/>
  <c r="AA42" i="5"/>
  <c r="AB42" i="5"/>
  <c r="AB73" i="5"/>
  <c r="AA73" i="5"/>
  <c r="AB45" i="5"/>
  <c r="AA45" i="5"/>
  <c r="AB75" i="5"/>
  <c r="AA75" i="5"/>
  <c r="AA49" i="5"/>
  <c r="AB49" i="5"/>
  <c r="AB78" i="5"/>
  <c r="N78" i="5"/>
  <c r="P78" i="5" s="1"/>
  <c r="Q78" i="5" s="1"/>
  <c r="R78" i="5" s="1"/>
  <c r="R83" i="5" s="1"/>
  <c r="N82" i="5"/>
  <c r="P82" i="5" s="1"/>
  <c r="Q82" i="5" s="1"/>
  <c r="R82" i="5" s="1"/>
  <c r="O82" i="5"/>
  <c r="N55" i="5"/>
  <c r="P55" i="5" s="1"/>
  <c r="Q55" i="5" s="1"/>
  <c r="R55" i="5" s="1"/>
  <c r="O55" i="5"/>
  <c r="N56" i="5"/>
  <c r="P56" i="5" s="1"/>
  <c r="Q56" i="5" s="1"/>
  <c r="R56" i="5" s="1"/>
  <c r="O56" i="5"/>
  <c r="N58" i="5"/>
  <c r="P58" i="5" s="1"/>
  <c r="Q58" i="5" s="1"/>
  <c r="R58" i="5" s="1"/>
  <c r="O58" i="5"/>
  <c r="N66" i="5"/>
  <c r="P66" i="5" s="1"/>
  <c r="Q66" i="5" s="1"/>
  <c r="R66" i="5" s="1"/>
  <c r="AB40" i="5"/>
  <c r="AA40" i="5"/>
  <c r="N50" i="5"/>
  <c r="P50" i="5" s="1"/>
  <c r="Q50" i="5" s="1"/>
  <c r="R50" i="5" s="1"/>
  <c r="O50" i="5"/>
  <c r="N79" i="5"/>
  <c r="P79" i="5" s="1"/>
  <c r="Q79" i="5" s="1"/>
  <c r="R79" i="5" s="1"/>
  <c r="O79" i="5"/>
  <c r="N36" i="5"/>
  <c r="N93" i="5"/>
  <c r="P93" i="5" s="1"/>
  <c r="Q93" i="5" s="1"/>
  <c r="R93" i="5" s="1"/>
  <c r="O141" i="1"/>
  <c r="P141" i="1" s="1"/>
  <c r="Q141" i="1" s="1"/>
  <c r="O109" i="1"/>
  <c r="P109" i="1" s="1"/>
  <c r="Q109" i="1" s="1"/>
  <c r="R359" i="1"/>
  <c r="Q359" i="1"/>
  <c r="R371" i="1"/>
  <c r="Q371" i="1"/>
  <c r="R329" i="1"/>
  <c r="Q329" i="1"/>
  <c r="R323" i="1"/>
  <c r="Q323" i="1"/>
  <c r="Q335" i="1"/>
  <c r="R335" i="1"/>
  <c r="R377" i="1"/>
  <c r="Q377" i="1"/>
  <c r="R341" i="1"/>
  <c r="Q341" i="1"/>
  <c r="R347" i="1"/>
  <c r="Q347" i="1"/>
  <c r="R353" i="1"/>
  <c r="Q353" i="1"/>
  <c r="R365" i="1"/>
  <c r="Q365" i="1"/>
  <c r="R317" i="1"/>
  <c r="Q317" i="1"/>
  <c r="R260" i="1"/>
  <c r="Q260" i="1"/>
  <c r="Q266" i="1"/>
  <c r="R266" i="1"/>
  <c r="R296" i="1"/>
  <c r="Q296" i="1"/>
  <c r="Q290" i="1"/>
  <c r="R290" i="1"/>
  <c r="R272" i="1"/>
  <c r="Q272" i="1"/>
  <c r="R302" i="1"/>
  <c r="Q302" i="1"/>
  <c r="R278" i="1"/>
  <c r="Q278" i="1"/>
  <c r="R308" i="1"/>
  <c r="Q308" i="1"/>
  <c r="Q284" i="1"/>
  <c r="R284" i="1"/>
  <c r="R248" i="1"/>
  <c r="Q248" i="1"/>
  <c r="Q254" i="1"/>
  <c r="R254" i="1"/>
  <c r="Q197" i="1"/>
  <c r="R197" i="1"/>
  <c r="R227" i="1"/>
  <c r="Q227" i="1"/>
  <c r="R233" i="1"/>
  <c r="Q233" i="1"/>
  <c r="R221" i="1"/>
  <c r="Q221" i="1"/>
  <c r="Q203" i="1"/>
  <c r="R203" i="1"/>
  <c r="R179" i="1"/>
  <c r="Q179" i="1"/>
  <c r="R185" i="1"/>
  <c r="Q185" i="1"/>
  <c r="Q209" i="1"/>
  <c r="R209" i="1"/>
  <c r="R191" i="1"/>
  <c r="Q191" i="1"/>
  <c r="R239" i="1"/>
  <c r="Q239" i="1"/>
  <c r="R215" i="1"/>
  <c r="Q215" i="1"/>
  <c r="R83" i="6"/>
  <c r="Q83" i="6"/>
  <c r="R53" i="6"/>
  <c r="Q53" i="6"/>
  <c r="R65" i="6"/>
  <c r="Q65" i="6"/>
  <c r="Q95" i="6"/>
  <c r="R95" i="6"/>
  <c r="Q59" i="6"/>
  <c r="R59" i="6"/>
  <c r="R71" i="6"/>
  <c r="Q71" i="6"/>
  <c r="Q89" i="6"/>
  <c r="R89" i="6"/>
  <c r="Q77" i="6"/>
  <c r="R77" i="6"/>
  <c r="Q41" i="6"/>
  <c r="R41" i="6"/>
  <c r="R47" i="6"/>
  <c r="Q47" i="6"/>
  <c r="R101" i="6"/>
  <c r="Q101" i="6"/>
  <c r="R53" i="5"/>
  <c r="S71" i="5"/>
  <c r="R71" i="5"/>
  <c r="S47" i="5"/>
  <c r="R47" i="5"/>
  <c r="S101" i="5"/>
  <c r="R101" i="5"/>
  <c r="R122" i="1"/>
  <c r="Q122" i="1"/>
  <c r="R152" i="1"/>
  <c r="Q152" i="1"/>
  <c r="R134" i="1"/>
  <c r="Q134" i="1"/>
  <c r="Q164" i="1"/>
  <c r="R164" i="1"/>
  <c r="Q128" i="1"/>
  <c r="R128" i="1"/>
  <c r="R158" i="1"/>
  <c r="Q158" i="1"/>
  <c r="R116" i="1"/>
  <c r="Q116" i="1"/>
  <c r="Q110" i="1"/>
  <c r="R110" i="1"/>
  <c r="R170" i="1"/>
  <c r="Q170" i="1"/>
  <c r="R146" i="1"/>
  <c r="Q146" i="1"/>
  <c r="R140" i="1"/>
  <c r="Q140" i="1"/>
  <c r="O96" i="4"/>
  <c r="P96" i="4" s="1"/>
  <c r="Q96" i="4" s="1"/>
  <c r="O97" i="4"/>
  <c r="P97" i="4" s="1"/>
  <c r="Q97" i="4" s="1"/>
  <c r="O98" i="4"/>
  <c r="P98" i="4" s="1"/>
  <c r="Q98" i="4" s="1"/>
  <c r="O99" i="4"/>
  <c r="P99" i="4" s="1"/>
  <c r="Q99" i="4" s="1"/>
  <c r="O90" i="4"/>
  <c r="P90" i="4" s="1"/>
  <c r="Q90" i="4" s="1"/>
  <c r="O92" i="4"/>
  <c r="P92" i="4" s="1"/>
  <c r="Q92" i="4" s="1"/>
  <c r="O80" i="4"/>
  <c r="P80" i="4" s="1"/>
  <c r="Q80" i="4" s="1"/>
  <c r="O67" i="4"/>
  <c r="P67" i="4" s="1"/>
  <c r="Q67" i="4" s="1"/>
  <c r="R71" i="4" s="1"/>
  <c r="R53" i="4"/>
  <c r="Q53" i="4"/>
  <c r="R95" i="4"/>
  <c r="Q95" i="4"/>
  <c r="R89" i="4"/>
  <c r="Q89" i="4"/>
  <c r="Q65" i="4"/>
  <c r="R65" i="4"/>
  <c r="R47" i="4"/>
  <c r="Q47" i="4"/>
  <c r="R77" i="4"/>
  <c r="Q77" i="4"/>
  <c r="Q83" i="4"/>
  <c r="R83" i="4"/>
  <c r="R59" i="4"/>
  <c r="Q59" i="4"/>
  <c r="Q41" i="4"/>
  <c r="R41" i="4"/>
  <c r="R101" i="4"/>
  <c r="Q101" i="4"/>
  <c r="O46" i="2"/>
  <c r="P46" i="2" s="1"/>
  <c r="Q46" i="2" s="1"/>
  <c r="O45" i="2"/>
  <c r="P45" i="2" s="1"/>
  <c r="Q45" i="2" s="1"/>
  <c r="O44" i="2"/>
  <c r="P44" i="2" s="1"/>
  <c r="Q44" i="2" s="1"/>
  <c r="N43" i="2"/>
  <c r="O43" i="2" s="1"/>
  <c r="P43" i="2" s="1"/>
  <c r="Q43" i="2" s="1"/>
  <c r="O42" i="2"/>
  <c r="P42" i="2" s="1"/>
  <c r="Q42" i="2" s="1"/>
  <c r="R47" i="2" s="1"/>
  <c r="O39" i="2"/>
  <c r="P39" i="2" s="1"/>
  <c r="Q39" i="2" s="1"/>
  <c r="O40" i="2"/>
  <c r="P40" i="2" s="1"/>
  <c r="Q40" i="2" s="1"/>
  <c r="D30" i="2"/>
  <c r="R53" i="2"/>
  <c r="Q53" i="2"/>
  <c r="Q59" i="2"/>
  <c r="R59" i="2"/>
  <c r="R101" i="2"/>
  <c r="Q101" i="2"/>
  <c r="R89" i="2"/>
  <c r="Q89" i="2"/>
  <c r="R41" i="2"/>
  <c r="Q41" i="2"/>
  <c r="R95" i="2"/>
  <c r="Q95" i="2"/>
  <c r="R77" i="2"/>
  <c r="Q77" i="2"/>
  <c r="Q83" i="2"/>
  <c r="R83" i="2"/>
  <c r="R71" i="2"/>
  <c r="Q71" i="2"/>
  <c r="R65" i="2"/>
  <c r="Q65" i="2"/>
  <c r="Q42" i="1"/>
  <c r="R83" i="1"/>
  <c r="Q83" i="1"/>
  <c r="R89" i="1"/>
  <c r="Q89" i="1"/>
  <c r="R95" i="1"/>
  <c r="Q95" i="1"/>
  <c r="R71" i="1"/>
  <c r="Q71" i="1"/>
  <c r="R59" i="1"/>
  <c r="Q59" i="1"/>
  <c r="D30" i="1"/>
  <c r="R65" i="1"/>
  <c r="Q65" i="1"/>
  <c r="R101" i="1"/>
  <c r="Q101" i="1"/>
  <c r="R53" i="1"/>
  <c r="Q53" i="1"/>
  <c r="Q41" i="1"/>
  <c r="R41" i="1"/>
  <c r="Q77" i="1"/>
  <c r="R77" i="1"/>
  <c r="AA76" i="5" l="1"/>
  <c r="AA78" i="5"/>
  <c r="R59" i="5"/>
  <c r="AB90" i="5"/>
  <c r="AA90" i="5"/>
  <c r="AA52" i="5"/>
  <c r="AB52" i="5"/>
  <c r="AA50" i="5"/>
  <c r="AB50" i="5"/>
  <c r="AC52" i="5" s="1"/>
  <c r="S83" i="5"/>
  <c r="AA57" i="5"/>
  <c r="AB57" i="5"/>
  <c r="AB60" i="5"/>
  <c r="AA60" i="5"/>
  <c r="AB81" i="5"/>
  <c r="AA81" i="5"/>
  <c r="AA91" i="5"/>
  <c r="AB91" i="5"/>
  <c r="AC40" i="5"/>
  <c r="AB92" i="5"/>
  <c r="AA92" i="5"/>
  <c r="AA88" i="5"/>
  <c r="AB88" i="5"/>
  <c r="AA61" i="5"/>
  <c r="AB61" i="5"/>
  <c r="AA87" i="5"/>
  <c r="AB87" i="5"/>
  <c r="AA84" i="5"/>
  <c r="AB84" i="5"/>
  <c r="P36" i="5"/>
  <c r="Q36" i="5" s="1"/>
  <c r="R36" i="5" s="1"/>
  <c r="AC76" i="5"/>
  <c r="S89" i="5"/>
  <c r="AA79" i="5"/>
  <c r="AB79" i="5"/>
  <c r="AC82" i="5" s="1"/>
  <c r="AA64" i="5"/>
  <c r="AC46" i="5"/>
  <c r="AB58" i="5"/>
  <c r="AA58" i="5"/>
  <c r="AA70" i="5"/>
  <c r="AA80" i="5"/>
  <c r="AB80" i="5"/>
  <c r="S95" i="5"/>
  <c r="AA86" i="5"/>
  <c r="AB86" i="5"/>
  <c r="AA56" i="5"/>
  <c r="AB56" i="5"/>
  <c r="AA36" i="5"/>
  <c r="AA63" i="5"/>
  <c r="AB63" i="5"/>
  <c r="S65" i="5"/>
  <c r="AA85" i="5"/>
  <c r="AB85" i="5"/>
  <c r="AA55" i="5"/>
  <c r="AB55" i="5"/>
  <c r="AA62" i="5"/>
  <c r="AB62" i="5"/>
  <c r="AA69" i="5"/>
  <c r="S77" i="5"/>
  <c r="AA51" i="5"/>
  <c r="AB51" i="5"/>
  <c r="AA82" i="5"/>
  <c r="AB82" i="5"/>
  <c r="AA54" i="5"/>
  <c r="AB54" i="5"/>
  <c r="AC58" i="5" s="1"/>
  <c r="Q71" i="4"/>
  <c r="Q47" i="2"/>
  <c r="R41" i="5" l="1"/>
  <c r="S41" i="5"/>
  <c r="AC64" i="5"/>
  <c r="AC94" i="5"/>
  <c r="AC88" i="5"/>
</calcChain>
</file>

<file path=xl/sharedStrings.xml><?xml version="1.0" encoding="utf-8"?>
<sst xmlns="http://schemas.openxmlformats.org/spreadsheetml/2006/main" count="1005" uniqueCount="72">
  <si>
    <t>umo 300 K interfaces</t>
  </si>
  <si>
    <t>bccU</t>
  </si>
  <si>
    <t>bccMo</t>
  </si>
  <si>
    <t>300K</t>
  </si>
  <si>
    <t>E</t>
  </si>
  <si>
    <t>V</t>
  </si>
  <si>
    <t>E/at</t>
  </si>
  <si>
    <t>V/at</t>
  </si>
  <si>
    <t>Ef</t>
  </si>
  <si>
    <t>cMo</t>
  </si>
  <si>
    <t>u5mo</t>
  </si>
  <si>
    <t>eV/Ang^2</t>
  </si>
  <si>
    <t>J/m^2</t>
  </si>
  <si>
    <t>T</t>
  </si>
  <si>
    <t>P</t>
  </si>
  <si>
    <t>Lx</t>
  </si>
  <si>
    <t>Ly</t>
  </si>
  <si>
    <t>Lz</t>
  </si>
  <si>
    <t>U</t>
  </si>
  <si>
    <t>Mo</t>
  </si>
  <si>
    <t>E ref</t>
  </si>
  <si>
    <t>Ef/A</t>
  </si>
  <si>
    <t>sigma210</t>
  </si>
  <si>
    <t>sigma310</t>
  </si>
  <si>
    <t>sigma510</t>
  </si>
  <si>
    <t>sigma910</t>
  </si>
  <si>
    <t>210_100</t>
  </si>
  <si>
    <t>u10mo</t>
  </si>
  <si>
    <t>u15mo</t>
  </si>
  <si>
    <t>u50mo</t>
  </si>
  <si>
    <t>sigma710</t>
  </si>
  <si>
    <t>sigma410</t>
  </si>
  <si>
    <t>sigma730</t>
  </si>
  <si>
    <t>sigma530</t>
  </si>
  <si>
    <t>sigma320</t>
  </si>
  <si>
    <t>sigma430</t>
  </si>
  <si>
    <t>(190)</t>
  </si>
  <si>
    <t>(170)</t>
  </si>
  <si>
    <t>(150)</t>
  </si>
  <si>
    <t>(140)</t>
  </si>
  <si>
    <t>(130)</t>
  </si>
  <si>
    <t>(370)</t>
  </si>
  <si>
    <t>(120)</t>
  </si>
  <si>
    <t>(350)</t>
  </si>
  <si>
    <t>(230)</t>
  </si>
  <si>
    <t>(340)</t>
  </si>
  <si>
    <t>avg</t>
  </si>
  <si>
    <t>looking all at iso</t>
  </si>
  <si>
    <t>umo 600 K interfaces</t>
  </si>
  <si>
    <t>u5mo 600k fit:</t>
  </si>
  <si>
    <t>-2.5608x - 4.1122</t>
  </si>
  <si>
    <t xml:space="preserve">   </t>
  </si>
  <si>
    <t>step</t>
  </si>
  <si>
    <t>angle</t>
  </si>
  <si>
    <t>dir</t>
  </si>
  <si>
    <t>stdev</t>
  </si>
  <si>
    <t>umo 800 K interfaces</t>
  </si>
  <si>
    <t>umo 1000 K interfaces</t>
  </si>
  <si>
    <t>umo 1200 K interfaces</t>
  </si>
  <si>
    <t>averaging over all 10 symmetric tilt grain boundaries</t>
  </si>
  <si>
    <t>utilizing iso for all</t>
  </si>
  <si>
    <t>this is the previous work, utilizing aniso</t>
  </si>
  <si>
    <t>average over 4 symmetric and 1 asymmetric</t>
  </si>
  <si>
    <t>U5Mo</t>
  </si>
  <si>
    <t>U10Mo</t>
  </si>
  <si>
    <t>U15Mo</t>
  </si>
  <si>
    <t>U50Mo</t>
  </si>
  <si>
    <t>iso-aniso</t>
  </si>
  <si>
    <t>E ref2</t>
  </si>
  <si>
    <r>
      <t>= -0.2785x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- 2.3386x - 4.0896</t>
    </r>
  </si>
  <si>
    <r>
      <t>= -0.6094x</t>
    </r>
    <r>
      <rPr>
        <vertAlign val="super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 xml:space="preserve"> + 0.5993x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- 2.6874x - 4.0553</t>
    </r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</si>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</sst>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2" fontId="0" fillId="0" borderId="0" xfId="0" applyNumberFormat="1" applyFont="1"/>
    <xf numFmtId="49" fontId="0" fillId="0" borderId="0" xfId="0" applyNumberFormat="1" applyFont="1"/>
    <xf numFmtId="2" fontId="1" fillId="0" borderId="0" xfId="0" applyNumberFormat="1" applyFont="1"/>
    <xf numFmtId="49" fontId="0" fillId="0" borderId="0" xfId="0" applyNumberFormat="1"/>
    <xf numFmtId="2" fontId="0" fillId="0" borderId="0" xfId="0" applyNumberFormat="1"/>
    <xf numFmtId="0" fontId="0" fillId="0" borderId="1" xfId="0" applyBorder="1"/>
    <xf numFmtId="0" fontId="0" fillId="0" borderId="2" xfId="0" applyBorder="1"/>
    <xf numFmtId="2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2" fontId="1" fillId="0" borderId="0" xfId="0" applyNumberFormat="1" applyFont="1" applyBorder="1"/>
    <xf numFmtId="2" fontId="1" fillId="0" borderId="5" xfId="0" applyNumberFormat="1" applyFont="1" applyBorder="1"/>
    <xf numFmtId="0" fontId="0" fillId="0" borderId="6" xfId="0" applyBorder="1"/>
    <xf numFmtId="2" fontId="1" fillId="0" borderId="7" xfId="0" applyNumberFormat="1" applyFont="1" applyBorder="1"/>
    <xf numFmtId="2" fontId="1" fillId="0" borderId="8" xfId="0" applyNumberFormat="1" applyFont="1" applyBorder="1"/>
    <xf numFmtId="0" fontId="2" fillId="0" borderId="0" xfId="0" applyFont="1"/>
    <xf numFmtId="2" fontId="3" fillId="0" borderId="0" xfId="0" applyNumberFormat="1" applyFont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 (2)'!$D$12:$G$12</c:f>
              <c:numCache>
                <c:formatCode>General</c:formatCode>
                <c:ptCount val="4"/>
                <c:pt idx="0">
                  <c:v>0.12</c:v>
                </c:pt>
                <c:pt idx="1">
                  <c:v>0.22</c:v>
                </c:pt>
                <c:pt idx="2">
                  <c:v>0.3</c:v>
                </c:pt>
                <c:pt idx="3">
                  <c:v>0.71</c:v>
                </c:pt>
              </c:numCache>
            </c:numRef>
          </c:xVal>
          <c:yVal>
            <c:numRef>
              <c:f>'summary (2)'!$D$13:$G$13</c:f>
              <c:numCache>
                <c:formatCode>0.00</c:formatCode>
                <c:ptCount val="4"/>
                <c:pt idx="0">
                  <c:v>0.48887745334661548</c:v>
                </c:pt>
                <c:pt idx="1">
                  <c:v>0.58718016693767594</c:v>
                </c:pt>
                <c:pt idx="2">
                  <c:v>0.71142561324869569</c:v>
                </c:pt>
                <c:pt idx="3">
                  <c:v>1.2586000232054046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E5-1947-B0E1-C601D133473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 (2)'!$D$12:$G$12</c:f>
              <c:numCache>
                <c:formatCode>General</c:formatCode>
                <c:ptCount val="4"/>
                <c:pt idx="0">
                  <c:v>0.12</c:v>
                </c:pt>
                <c:pt idx="1">
                  <c:v>0.22</c:v>
                </c:pt>
                <c:pt idx="2">
                  <c:v>0.3</c:v>
                </c:pt>
                <c:pt idx="3">
                  <c:v>0.71</c:v>
                </c:pt>
              </c:numCache>
            </c:numRef>
          </c:xVal>
          <c:yVal>
            <c:numRef>
              <c:f>'summary (2)'!$D$14:$G$14</c:f>
              <c:numCache>
                <c:formatCode>0.00</c:formatCode>
                <c:ptCount val="4"/>
                <c:pt idx="0">
                  <c:v>0.49056483507699677</c:v>
                </c:pt>
                <c:pt idx="1">
                  <c:v>0.59073001675386971</c:v>
                </c:pt>
                <c:pt idx="2">
                  <c:v>0.68832757270399325</c:v>
                </c:pt>
                <c:pt idx="3">
                  <c:v>1.2522998236443896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E5-1947-B0E1-C601D133473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'summary (2)'!$D$12:$G$12</c:f>
              <c:numCache>
                <c:formatCode>General</c:formatCode>
                <c:ptCount val="4"/>
                <c:pt idx="0">
                  <c:v>0.12</c:v>
                </c:pt>
                <c:pt idx="1">
                  <c:v>0.22</c:v>
                </c:pt>
                <c:pt idx="2">
                  <c:v>0.3</c:v>
                </c:pt>
                <c:pt idx="3">
                  <c:v>0.71</c:v>
                </c:pt>
              </c:numCache>
            </c:numRef>
          </c:xVal>
          <c:yVal>
            <c:numRef>
              <c:f>'summary (2)'!$D$15:$G$15</c:f>
              <c:numCache>
                <c:formatCode>0.00</c:formatCode>
                <c:ptCount val="4"/>
                <c:pt idx="0">
                  <c:v>0.51493405708062334</c:v>
                </c:pt>
                <c:pt idx="1">
                  <c:v>0.62845085060481021</c:v>
                </c:pt>
                <c:pt idx="2">
                  <c:v>0.77288489054365317</c:v>
                </c:pt>
                <c:pt idx="3">
                  <c:v>1.1450995322784023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E5-1947-B0E1-C601D133473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'summary (2)'!$D$12:$G$12</c:f>
              <c:numCache>
                <c:formatCode>General</c:formatCode>
                <c:ptCount val="4"/>
                <c:pt idx="0">
                  <c:v>0.12</c:v>
                </c:pt>
                <c:pt idx="1">
                  <c:v>0.22</c:v>
                </c:pt>
                <c:pt idx="2">
                  <c:v>0.3</c:v>
                </c:pt>
                <c:pt idx="3">
                  <c:v>0.71</c:v>
                </c:pt>
              </c:numCache>
            </c:numRef>
          </c:xVal>
          <c:yVal>
            <c:numRef>
              <c:f>'summary (2)'!$D$16:$G$16</c:f>
              <c:numCache>
                <c:formatCode>0.00</c:formatCode>
                <c:ptCount val="4"/>
                <c:pt idx="0">
                  <c:v>0.59558129034401708</c:v>
                </c:pt>
                <c:pt idx="1">
                  <c:v>0.66943437510187409</c:v>
                </c:pt>
                <c:pt idx="2">
                  <c:v>0.62184458022448819</c:v>
                </c:pt>
                <c:pt idx="3">
                  <c:v>1.2253024711958544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E5-1947-B0E1-C601D133473B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'summary (2)'!$D$12:$G$12</c:f>
              <c:numCache>
                <c:formatCode>General</c:formatCode>
                <c:ptCount val="4"/>
                <c:pt idx="0">
                  <c:v>0.12</c:v>
                </c:pt>
                <c:pt idx="1">
                  <c:v>0.22</c:v>
                </c:pt>
                <c:pt idx="2">
                  <c:v>0.3</c:v>
                </c:pt>
                <c:pt idx="3">
                  <c:v>0.71</c:v>
                </c:pt>
              </c:numCache>
            </c:numRef>
          </c:xVal>
          <c:yVal>
            <c:numRef>
              <c:f>'summary (2)'!$D$17:$G$17</c:f>
              <c:numCache>
                <c:formatCode>0.00</c:formatCode>
                <c:ptCount val="4"/>
                <c:pt idx="0">
                  <c:v>0.65311054425723203</c:v>
                </c:pt>
                <c:pt idx="1">
                  <c:v>0.71661615455085692</c:v>
                </c:pt>
                <c:pt idx="2">
                  <c:v>0.77773942373707405</c:v>
                </c:pt>
                <c:pt idx="3">
                  <c:v>1.1789729666191218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E5-1947-B0E1-C601D1334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925056"/>
        <c:axId val="1019294032"/>
      </c:scatterChart>
      <c:valAx>
        <c:axId val="102392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294032"/>
        <c:crosses val="autoZero"/>
        <c:crossBetween val="midCat"/>
      </c:valAx>
      <c:valAx>
        <c:axId val="101929403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2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587729658792652"/>
                  <c:y val="-0.10230314960629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'300K'!$W$17:$W$26</c:f>
              <c:numCache>
                <c:formatCode>General</c:formatCode>
                <c:ptCount val="10"/>
                <c:pt idx="0">
                  <c:v>0.72750000000000004</c:v>
                </c:pt>
                <c:pt idx="1">
                  <c:v>0.73550000000000004</c:v>
                </c:pt>
                <c:pt idx="2">
                  <c:v>0.70399999999999996</c:v>
                </c:pt>
                <c:pt idx="3">
                  <c:v>0.72</c:v>
                </c:pt>
                <c:pt idx="4">
                  <c:v>0.71150000000000002</c:v>
                </c:pt>
                <c:pt idx="5">
                  <c:v>0.72199999999999998</c:v>
                </c:pt>
                <c:pt idx="6">
                  <c:v>0.71599999999999997</c:v>
                </c:pt>
                <c:pt idx="7">
                  <c:v>0.73050000000000004</c:v>
                </c:pt>
                <c:pt idx="8">
                  <c:v>0.71950000000000003</c:v>
                </c:pt>
                <c:pt idx="9">
                  <c:v>0.71399999999999997</c:v>
                </c:pt>
              </c:numCache>
            </c:numRef>
          </c:xVal>
          <c:yVal>
            <c:numRef>
              <c:f>'300K'!$U$17:$U$26</c:f>
              <c:numCache>
                <c:formatCode>General</c:formatCode>
                <c:ptCount val="10"/>
                <c:pt idx="0">
                  <c:v>-6.0233842984999999</c:v>
                </c:pt>
                <c:pt idx="1">
                  <c:v>-6.0452045740000004</c:v>
                </c:pt>
                <c:pt idx="2">
                  <c:v>-5.9632901524999999</c:v>
                </c:pt>
                <c:pt idx="3">
                  <c:v>-6.0051031249999998</c:v>
                </c:pt>
                <c:pt idx="4">
                  <c:v>-5.9815239195000007</c:v>
                </c:pt>
                <c:pt idx="5">
                  <c:v>-6.0077949720000001</c:v>
                </c:pt>
                <c:pt idx="6">
                  <c:v>-5.9907942224999999</c:v>
                </c:pt>
                <c:pt idx="7">
                  <c:v>-6.032785853</c:v>
                </c:pt>
                <c:pt idx="8">
                  <c:v>-6.0032676119999993</c:v>
                </c:pt>
                <c:pt idx="9">
                  <c:v>-5.9883840435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7F-2A49-AF7F-68ABA2A09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956096"/>
        <c:axId val="943948944"/>
      </c:scatterChart>
      <c:valAx>
        <c:axId val="94395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948944"/>
        <c:crosses val="autoZero"/>
        <c:crossBetween val="midCat"/>
      </c:valAx>
      <c:valAx>
        <c:axId val="943948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95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'300K'!$W$35:$W$46</c:f>
                <c:numCache>
                  <c:formatCode>General</c:formatCode>
                  <c:ptCount val="12"/>
                  <c:pt idx="1">
                    <c:v>4.7351574993574251E-2</c:v>
                  </c:pt>
                  <c:pt idx="2">
                    <c:v>5.5552887633633787E-2</c:v>
                  </c:pt>
                  <c:pt idx="3">
                    <c:v>4.751312665562088E-2</c:v>
                  </c:pt>
                  <c:pt idx="4">
                    <c:v>5.1030459803631981E-2</c:v>
                  </c:pt>
                  <c:pt idx="5">
                    <c:v>3.4052652354069055E-2</c:v>
                  </c:pt>
                  <c:pt idx="6">
                    <c:v>2.1852434847708827E-2</c:v>
                  </c:pt>
                  <c:pt idx="7">
                    <c:v>3.4253639990180731E-2</c:v>
                  </c:pt>
                  <c:pt idx="8">
                    <c:v>8.3128903014754965E-2</c:v>
                  </c:pt>
                  <c:pt idx="9">
                    <c:v>3.9394064958688614E-2</c:v>
                  </c:pt>
                  <c:pt idx="10">
                    <c:v>5.6160318163827418E-2</c:v>
                  </c:pt>
                </c:numCache>
              </c:numRef>
            </c:plus>
            <c:minus>
              <c:numRef>
                <c:f>'300K'!$W$35:$W$46</c:f>
                <c:numCache>
                  <c:formatCode>General</c:formatCode>
                  <c:ptCount val="12"/>
                  <c:pt idx="1">
                    <c:v>4.7351574993574251E-2</c:v>
                  </c:pt>
                  <c:pt idx="2">
                    <c:v>5.5552887633633787E-2</c:v>
                  </c:pt>
                  <c:pt idx="3">
                    <c:v>4.751312665562088E-2</c:v>
                  </c:pt>
                  <c:pt idx="4">
                    <c:v>5.1030459803631981E-2</c:v>
                  </c:pt>
                  <c:pt idx="5">
                    <c:v>3.4052652354069055E-2</c:v>
                  </c:pt>
                  <c:pt idx="6">
                    <c:v>2.1852434847708827E-2</c:v>
                  </c:pt>
                  <c:pt idx="7">
                    <c:v>3.4253639990180731E-2</c:v>
                  </c:pt>
                  <c:pt idx="8">
                    <c:v>8.3128903014754965E-2</c:v>
                  </c:pt>
                  <c:pt idx="9">
                    <c:v>3.9394064958688614E-2</c:v>
                  </c:pt>
                  <c:pt idx="10">
                    <c:v>5.6160318163827418E-2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'300K'!$T$35:$T$46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12.68</c:v>
                </c:pt>
                <c:pt idx="2">
                  <c:v>16.260000000000002</c:v>
                </c:pt>
                <c:pt idx="3">
                  <c:v>22.62</c:v>
                </c:pt>
                <c:pt idx="4">
                  <c:v>27.6760219742164</c:v>
                </c:pt>
                <c:pt idx="5">
                  <c:v>36.869999999999997</c:v>
                </c:pt>
                <c:pt idx="6">
                  <c:v>46.145146311133402</c:v>
                </c:pt>
                <c:pt idx="7">
                  <c:v>53.13</c:v>
                </c:pt>
                <c:pt idx="8">
                  <c:v>61.71</c:v>
                </c:pt>
                <c:pt idx="9">
                  <c:v>67.724661178359398</c:v>
                </c:pt>
                <c:pt idx="10">
                  <c:v>73.933636606903903</c:v>
                </c:pt>
                <c:pt idx="11">
                  <c:v>90</c:v>
                </c:pt>
              </c:numCache>
            </c:numRef>
          </c:xVal>
          <c:yVal>
            <c:numRef>
              <c:f>'300K'!$V$35:$V$46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0.44465985394754454</c:v>
                </c:pt>
                <c:pt idx="2">
                  <c:v>0.46894882259020398</c:v>
                </c:pt>
                <c:pt idx="3">
                  <c:v>0.49917983657298343</c:v>
                </c:pt>
                <c:pt idx="4">
                  <c:v>0.56514363468329187</c:v>
                </c:pt>
                <c:pt idx="5">
                  <c:v>0.40288646784162302</c:v>
                </c:pt>
                <c:pt idx="6">
                  <c:v>0.53598227237116569</c:v>
                </c:pt>
                <c:pt idx="7">
                  <c:v>0.42087263802782304</c:v>
                </c:pt>
                <c:pt idx="8">
                  <c:v>0.54475518656878408</c:v>
                </c:pt>
                <c:pt idx="9">
                  <c:v>0.53728565842313691</c:v>
                </c:pt>
                <c:pt idx="10">
                  <c:v>0.46906016243959786</c:v>
                </c:pt>
                <c:pt idx="11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F1-6D49-9DC8-E52E29552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075648"/>
        <c:axId val="950077344"/>
      </c:scatterChart>
      <c:valAx>
        <c:axId val="950075648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077344"/>
        <c:crosses val="autoZero"/>
        <c:crossBetween val="midCat"/>
      </c:valAx>
      <c:valAx>
        <c:axId val="950077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07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'600K'!$L$5:$L$14</c:f>
              <c:numCache>
                <c:formatCode>General</c:formatCode>
                <c:ptCount val="10"/>
                <c:pt idx="0">
                  <c:v>0.11550000000000001</c:v>
                </c:pt>
                <c:pt idx="1">
                  <c:v>0.1065</c:v>
                </c:pt>
                <c:pt idx="2">
                  <c:v>0.1235</c:v>
                </c:pt>
                <c:pt idx="3">
                  <c:v>0.1245</c:v>
                </c:pt>
                <c:pt idx="4">
                  <c:v>0.1305</c:v>
                </c:pt>
                <c:pt idx="5">
                  <c:v>0.123</c:v>
                </c:pt>
                <c:pt idx="6">
                  <c:v>0.112</c:v>
                </c:pt>
                <c:pt idx="7">
                  <c:v>0.1125</c:v>
                </c:pt>
                <c:pt idx="8">
                  <c:v>0.121</c:v>
                </c:pt>
                <c:pt idx="9">
                  <c:v>0.1235</c:v>
                </c:pt>
              </c:numCache>
            </c:numRef>
          </c:xVal>
          <c:yVal>
            <c:numRef>
              <c:f>'600K'!$J$5:$J$14</c:f>
              <c:numCache>
                <c:formatCode>General</c:formatCode>
                <c:ptCount val="10"/>
                <c:pt idx="0">
                  <c:v>-4.4078220904999998</c:v>
                </c:pt>
                <c:pt idx="1">
                  <c:v>-4.3852972374999997</c:v>
                </c:pt>
                <c:pt idx="2">
                  <c:v>-4.4287318555000006</c:v>
                </c:pt>
                <c:pt idx="3">
                  <c:v>-4.4312376630000001</c:v>
                </c:pt>
                <c:pt idx="4">
                  <c:v>-4.4464796054999995</c:v>
                </c:pt>
                <c:pt idx="5">
                  <c:v>-4.4280044850000007</c:v>
                </c:pt>
                <c:pt idx="6">
                  <c:v>-4.3995934490000002</c:v>
                </c:pt>
                <c:pt idx="7">
                  <c:v>-4.4002595039999992</c:v>
                </c:pt>
                <c:pt idx="8">
                  <c:v>-4.4224051145000001</c:v>
                </c:pt>
                <c:pt idx="9">
                  <c:v>-4.4286083230000006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73-A64C-B993-B6F35405B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956096"/>
        <c:axId val="943948944"/>
      </c:scatterChart>
      <c:valAx>
        <c:axId val="94395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948944"/>
        <c:crosses val="autoZero"/>
        <c:crossBetween val="midCat"/>
      </c:valAx>
      <c:valAx>
        <c:axId val="943948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95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703384733158354"/>
                  <c:y val="-3.7464275298920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'600K'!$L$17:$L$26</c:f>
              <c:numCache>
                <c:formatCode>General</c:formatCode>
                <c:ptCount val="10"/>
                <c:pt idx="0">
                  <c:v>0.2</c:v>
                </c:pt>
                <c:pt idx="1">
                  <c:v>0.221</c:v>
                </c:pt>
                <c:pt idx="2">
                  <c:v>0.216</c:v>
                </c:pt>
                <c:pt idx="3">
                  <c:v>0.222</c:v>
                </c:pt>
                <c:pt idx="4">
                  <c:v>0.21299999999999999</c:v>
                </c:pt>
                <c:pt idx="5">
                  <c:v>0.216</c:v>
                </c:pt>
                <c:pt idx="6">
                  <c:v>0.20449999999999999</c:v>
                </c:pt>
                <c:pt idx="7">
                  <c:v>0.20849999999999999</c:v>
                </c:pt>
                <c:pt idx="8">
                  <c:v>0.20100000000000001</c:v>
                </c:pt>
                <c:pt idx="9">
                  <c:v>0.191</c:v>
                </c:pt>
              </c:numCache>
            </c:numRef>
          </c:xVal>
          <c:yVal>
            <c:numRef>
              <c:f>'600K'!$J$17:$J$26</c:f>
              <c:numCache>
                <c:formatCode>General</c:formatCode>
                <c:ptCount val="10"/>
                <c:pt idx="0">
                  <c:v>-4.6244647269999994</c:v>
                </c:pt>
                <c:pt idx="1">
                  <c:v>-4.6789576010000005</c:v>
                </c:pt>
                <c:pt idx="2">
                  <c:v>-4.6654117534999999</c:v>
                </c:pt>
                <c:pt idx="3">
                  <c:v>-4.6811531880000006</c:v>
                </c:pt>
                <c:pt idx="4">
                  <c:v>-4.6589757920000006</c:v>
                </c:pt>
                <c:pt idx="5">
                  <c:v>-4.666012995</c:v>
                </c:pt>
                <c:pt idx="6">
                  <c:v>-4.6375972584999996</c:v>
                </c:pt>
                <c:pt idx="7">
                  <c:v>-4.6475820445</c:v>
                </c:pt>
                <c:pt idx="8">
                  <c:v>-4.6271999729999997</c:v>
                </c:pt>
                <c:pt idx="9">
                  <c:v>-4.6026332355000008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36-1A44-B7FC-649205983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956096"/>
        <c:axId val="943948944"/>
      </c:scatterChart>
      <c:valAx>
        <c:axId val="94395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948944"/>
        <c:crosses val="autoZero"/>
        <c:crossBetween val="midCat"/>
      </c:valAx>
      <c:valAx>
        <c:axId val="943948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95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'600K'!$W$5:$W$14</c:f>
              <c:numCache>
                <c:formatCode>General</c:formatCode>
                <c:ptCount val="10"/>
                <c:pt idx="0">
                  <c:v>0.3155</c:v>
                </c:pt>
                <c:pt idx="1">
                  <c:v>0.30399999999999999</c:v>
                </c:pt>
                <c:pt idx="2">
                  <c:v>0.31850000000000001</c:v>
                </c:pt>
                <c:pt idx="3">
                  <c:v>0.29499999999999998</c:v>
                </c:pt>
                <c:pt idx="4">
                  <c:v>0.3155</c:v>
                </c:pt>
                <c:pt idx="5">
                  <c:v>0.31950000000000001</c:v>
                </c:pt>
                <c:pt idx="6">
                  <c:v>0.29899999999999999</c:v>
                </c:pt>
                <c:pt idx="7">
                  <c:v>0.32050000000000001</c:v>
                </c:pt>
                <c:pt idx="8">
                  <c:v>0.33150000000000002</c:v>
                </c:pt>
                <c:pt idx="9">
                  <c:v>0.30349999999999999</c:v>
                </c:pt>
              </c:numCache>
            </c:numRef>
          </c:xVal>
          <c:yVal>
            <c:numRef>
              <c:f>'600K'!$U$5:$U$14</c:f>
              <c:numCache>
                <c:formatCode>General</c:formatCode>
                <c:ptCount val="10"/>
                <c:pt idx="0">
                  <c:v>-4.9191269615</c:v>
                </c:pt>
                <c:pt idx="1">
                  <c:v>-4.8900268505</c:v>
                </c:pt>
                <c:pt idx="2">
                  <c:v>-4.9263815640000006</c:v>
                </c:pt>
                <c:pt idx="3">
                  <c:v>-4.8680046464999993</c:v>
                </c:pt>
                <c:pt idx="4">
                  <c:v>-4.9202830200000003</c:v>
                </c:pt>
                <c:pt idx="5">
                  <c:v>-4.9306269949999999</c:v>
                </c:pt>
                <c:pt idx="6">
                  <c:v>-4.8799704739999994</c:v>
                </c:pt>
                <c:pt idx="7">
                  <c:v>-4.9337519329999999</c:v>
                </c:pt>
                <c:pt idx="8">
                  <c:v>-4.9623049344999997</c:v>
                </c:pt>
                <c:pt idx="9">
                  <c:v>-4.8917481645000001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F6-C241-ADF9-04637C8F9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956096"/>
        <c:axId val="943948944"/>
      </c:scatterChart>
      <c:valAx>
        <c:axId val="94395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948944"/>
        <c:crosses val="autoZero"/>
        <c:crossBetween val="midCat"/>
      </c:valAx>
      <c:valAx>
        <c:axId val="943948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95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'600K'!$W$17:$W$26</c:f>
              <c:numCache>
                <c:formatCode>General</c:formatCode>
                <c:ptCount val="10"/>
                <c:pt idx="0">
                  <c:v>0.72</c:v>
                </c:pt>
                <c:pt idx="1">
                  <c:v>0.71250000000000002</c:v>
                </c:pt>
                <c:pt idx="2">
                  <c:v>0.70750000000000002</c:v>
                </c:pt>
                <c:pt idx="3">
                  <c:v>0.72699999999999998</c:v>
                </c:pt>
                <c:pt idx="4">
                  <c:v>0.72250000000000003</c:v>
                </c:pt>
                <c:pt idx="5">
                  <c:v>0.72399999999999998</c:v>
                </c:pt>
                <c:pt idx="6">
                  <c:v>0.71499999999999997</c:v>
                </c:pt>
                <c:pt idx="7">
                  <c:v>0.70950000000000002</c:v>
                </c:pt>
                <c:pt idx="8">
                  <c:v>0.72499999999999998</c:v>
                </c:pt>
                <c:pt idx="9">
                  <c:v>0.69850000000000001</c:v>
                </c:pt>
              </c:numCache>
            </c:numRef>
          </c:xVal>
          <c:yVal>
            <c:numRef>
              <c:f>'600K'!$U$17:$U$26</c:f>
              <c:numCache>
                <c:formatCode>General</c:formatCode>
                <c:ptCount val="10"/>
                <c:pt idx="0">
                  <c:v>-5.9655113380000007</c:v>
                </c:pt>
                <c:pt idx="1">
                  <c:v>-5.94213579</c:v>
                </c:pt>
                <c:pt idx="2">
                  <c:v>-5.9318753619999995</c:v>
                </c:pt>
                <c:pt idx="3">
                  <c:v>-5.9825876705000001</c:v>
                </c:pt>
                <c:pt idx="4">
                  <c:v>-5.9694594475000002</c:v>
                </c:pt>
                <c:pt idx="5">
                  <c:v>-5.9738894385000005</c:v>
                </c:pt>
                <c:pt idx="6">
                  <c:v>-5.948037384</c:v>
                </c:pt>
                <c:pt idx="7">
                  <c:v>-5.9356365315000001</c:v>
                </c:pt>
                <c:pt idx="8">
                  <c:v>-5.9788016549999998</c:v>
                </c:pt>
                <c:pt idx="9">
                  <c:v>-5.9071034284999993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A8-1544-B4EB-22B9FC251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956096"/>
        <c:axId val="943948944"/>
      </c:scatterChart>
      <c:valAx>
        <c:axId val="94395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948944"/>
        <c:crosses val="autoZero"/>
        <c:crossBetween val="midCat"/>
      </c:valAx>
      <c:valAx>
        <c:axId val="943948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95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'800K'!$L$5:$L$14</c:f>
              <c:numCache>
                <c:formatCode>General</c:formatCode>
                <c:ptCount val="10"/>
                <c:pt idx="0">
                  <c:v>0.122</c:v>
                </c:pt>
                <c:pt idx="1">
                  <c:v>0.11849999999999999</c:v>
                </c:pt>
                <c:pt idx="2">
                  <c:v>0.11899999999999999</c:v>
                </c:pt>
                <c:pt idx="3">
                  <c:v>0.12</c:v>
                </c:pt>
                <c:pt idx="4">
                  <c:v>0.12</c:v>
                </c:pt>
                <c:pt idx="5">
                  <c:v>0.124</c:v>
                </c:pt>
                <c:pt idx="6">
                  <c:v>0.13850000000000001</c:v>
                </c:pt>
                <c:pt idx="7">
                  <c:v>0.126</c:v>
                </c:pt>
                <c:pt idx="8">
                  <c:v>0.125</c:v>
                </c:pt>
                <c:pt idx="9">
                  <c:v>0.13500000000000001</c:v>
                </c:pt>
              </c:numCache>
            </c:numRef>
          </c:xVal>
          <c:yVal>
            <c:numRef>
              <c:f>'800K'!$J$5:$J$14</c:f>
              <c:numCache>
                <c:formatCode>General</c:formatCode>
                <c:ptCount val="10"/>
                <c:pt idx="0">
                  <c:v>-4.3986734775</c:v>
                </c:pt>
                <c:pt idx="1">
                  <c:v>-4.3901187029999997</c:v>
                </c:pt>
                <c:pt idx="2">
                  <c:v>-4.3906308784999997</c:v>
                </c:pt>
                <c:pt idx="3">
                  <c:v>-4.3927833325000005</c:v>
                </c:pt>
                <c:pt idx="4">
                  <c:v>-4.3951868125000004</c:v>
                </c:pt>
                <c:pt idx="5">
                  <c:v>-4.4051091275000003</c:v>
                </c:pt>
                <c:pt idx="6">
                  <c:v>-4.4422909659999998</c:v>
                </c:pt>
                <c:pt idx="7">
                  <c:v>-4.4092579345000003</c:v>
                </c:pt>
                <c:pt idx="8">
                  <c:v>-4.4059334889999997</c:v>
                </c:pt>
                <c:pt idx="9">
                  <c:v>-4.4331720075000005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9C-8B41-B6A0-482F77167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956096"/>
        <c:axId val="943948944"/>
      </c:scatterChart>
      <c:valAx>
        <c:axId val="94395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948944"/>
        <c:crosses val="autoZero"/>
        <c:crossBetween val="midCat"/>
      </c:valAx>
      <c:valAx>
        <c:axId val="943948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95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993383639545054"/>
                  <c:y val="-5.76319626713328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'800K'!$L$17:$L$26</c:f>
              <c:numCache>
                <c:formatCode>General</c:formatCode>
                <c:ptCount val="10"/>
                <c:pt idx="0">
                  <c:v>0.1905</c:v>
                </c:pt>
                <c:pt idx="1">
                  <c:v>0.221</c:v>
                </c:pt>
                <c:pt idx="2">
                  <c:v>0.19800000000000001</c:v>
                </c:pt>
                <c:pt idx="3">
                  <c:v>0.21199999999999999</c:v>
                </c:pt>
                <c:pt idx="4">
                  <c:v>0.21</c:v>
                </c:pt>
                <c:pt idx="5">
                  <c:v>0.20300000000000001</c:v>
                </c:pt>
                <c:pt idx="6">
                  <c:v>0.2</c:v>
                </c:pt>
                <c:pt idx="7">
                  <c:v>0.19400000000000001</c:v>
                </c:pt>
                <c:pt idx="8">
                  <c:v>0.216</c:v>
                </c:pt>
                <c:pt idx="9">
                  <c:v>0.20200000000000001</c:v>
                </c:pt>
              </c:numCache>
            </c:numRef>
          </c:xVal>
          <c:yVal>
            <c:numRef>
              <c:f>'800K'!$J$17:$J$26</c:f>
              <c:numCache>
                <c:formatCode>General</c:formatCode>
                <c:ptCount val="10"/>
                <c:pt idx="0">
                  <c:v>-4.5725494294999995</c:v>
                </c:pt>
                <c:pt idx="1">
                  <c:v>-4.6513432960000003</c:v>
                </c:pt>
                <c:pt idx="2">
                  <c:v>-4.5935271460000004</c:v>
                </c:pt>
                <c:pt idx="3">
                  <c:v>-4.6307912155000004</c:v>
                </c:pt>
                <c:pt idx="4">
                  <c:v>-4.6236983189999998</c:v>
                </c:pt>
                <c:pt idx="5">
                  <c:v>-4.6060107584999992</c:v>
                </c:pt>
                <c:pt idx="6">
                  <c:v>-4.598100649</c:v>
                </c:pt>
                <c:pt idx="7">
                  <c:v>-4.5840237424999994</c:v>
                </c:pt>
                <c:pt idx="8">
                  <c:v>-4.6388005830000001</c:v>
                </c:pt>
                <c:pt idx="9">
                  <c:v>-4.6055834055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30-7B4D-8BC5-E81F00CB5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956096"/>
        <c:axId val="943948944"/>
      </c:scatterChart>
      <c:valAx>
        <c:axId val="94395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948944"/>
        <c:crosses val="autoZero"/>
        <c:crossBetween val="midCat"/>
      </c:valAx>
      <c:valAx>
        <c:axId val="943948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95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'800K'!$W$5:$W$14</c:f>
              <c:numCache>
                <c:formatCode>General</c:formatCode>
                <c:ptCount val="10"/>
                <c:pt idx="0">
                  <c:v>0.3135</c:v>
                </c:pt>
                <c:pt idx="1">
                  <c:v>0.32450000000000001</c:v>
                </c:pt>
                <c:pt idx="2">
                  <c:v>0.30199999999999999</c:v>
                </c:pt>
                <c:pt idx="3">
                  <c:v>0.30249999999999999</c:v>
                </c:pt>
                <c:pt idx="4">
                  <c:v>0.33200000000000002</c:v>
                </c:pt>
                <c:pt idx="5">
                  <c:v>0.30349999999999999</c:v>
                </c:pt>
                <c:pt idx="6">
                  <c:v>0.3105</c:v>
                </c:pt>
                <c:pt idx="7">
                  <c:v>0.29899999999999999</c:v>
                </c:pt>
                <c:pt idx="8">
                  <c:v>0.312</c:v>
                </c:pt>
                <c:pt idx="9">
                  <c:v>0.30099999999999999</c:v>
                </c:pt>
              </c:numCache>
            </c:numRef>
          </c:xVal>
          <c:yVal>
            <c:numRef>
              <c:f>'800K'!$U$5:$U$14</c:f>
              <c:numCache>
                <c:formatCode>General</c:formatCode>
                <c:ptCount val="10"/>
                <c:pt idx="0">
                  <c:v>-4.8863034239999994</c:v>
                </c:pt>
                <c:pt idx="1">
                  <c:v>-4.9154352274999997</c:v>
                </c:pt>
                <c:pt idx="2">
                  <c:v>-4.860920267</c:v>
                </c:pt>
                <c:pt idx="3">
                  <c:v>-4.8610922069999996</c:v>
                </c:pt>
                <c:pt idx="4">
                  <c:v>-4.9345454855000002</c:v>
                </c:pt>
                <c:pt idx="5">
                  <c:v>-4.8632424069999995</c:v>
                </c:pt>
                <c:pt idx="6">
                  <c:v>-4.8798210675</c:v>
                </c:pt>
                <c:pt idx="7">
                  <c:v>-4.8511250099999996</c:v>
                </c:pt>
                <c:pt idx="8">
                  <c:v>-4.8843364204999995</c:v>
                </c:pt>
                <c:pt idx="9">
                  <c:v>-4.8555222759999994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B9-2844-AA73-E9B594F84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956096"/>
        <c:axId val="943948944"/>
      </c:scatterChart>
      <c:valAx>
        <c:axId val="94395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948944"/>
        <c:crosses val="autoZero"/>
        <c:crossBetween val="midCat"/>
      </c:valAx>
      <c:valAx>
        <c:axId val="943948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95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'800K'!$W$17:$W$26</c:f>
              <c:numCache>
                <c:formatCode>General</c:formatCode>
                <c:ptCount val="10"/>
                <c:pt idx="0">
                  <c:v>0.72</c:v>
                </c:pt>
                <c:pt idx="1">
                  <c:v>0.72950000000000004</c:v>
                </c:pt>
                <c:pt idx="2">
                  <c:v>0.72250000000000003</c:v>
                </c:pt>
                <c:pt idx="3">
                  <c:v>0.72050000000000003</c:v>
                </c:pt>
                <c:pt idx="4">
                  <c:v>0.70150000000000001</c:v>
                </c:pt>
                <c:pt idx="5">
                  <c:v>0.71650000000000003</c:v>
                </c:pt>
                <c:pt idx="6">
                  <c:v>0.72250000000000003</c:v>
                </c:pt>
                <c:pt idx="7">
                  <c:v>0.73099999999999998</c:v>
                </c:pt>
                <c:pt idx="8">
                  <c:v>0.73850000000000005</c:v>
                </c:pt>
                <c:pt idx="9">
                  <c:v>0.71650000000000003</c:v>
                </c:pt>
              </c:numCache>
            </c:numRef>
          </c:xVal>
          <c:yVal>
            <c:numRef>
              <c:f>'800K'!$U$17:$U$26</c:f>
              <c:numCache>
                <c:formatCode>General</c:formatCode>
                <c:ptCount val="10"/>
                <c:pt idx="0">
                  <c:v>-5.9329723805000008</c:v>
                </c:pt>
                <c:pt idx="1">
                  <c:v>-5.9624303840000001</c:v>
                </c:pt>
                <c:pt idx="2">
                  <c:v>-5.9402271584999999</c:v>
                </c:pt>
                <c:pt idx="3">
                  <c:v>-5.9367535790000003</c:v>
                </c:pt>
                <c:pt idx="4">
                  <c:v>-5.8858831684999995</c:v>
                </c:pt>
                <c:pt idx="5">
                  <c:v>-5.9252449594999996</c:v>
                </c:pt>
                <c:pt idx="6">
                  <c:v>-5.9417540185000002</c:v>
                </c:pt>
                <c:pt idx="7">
                  <c:v>-5.9629292025000007</c:v>
                </c:pt>
                <c:pt idx="8">
                  <c:v>-5.9865916009999998</c:v>
                </c:pt>
                <c:pt idx="9">
                  <c:v>-5.9240670670000002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9F-2E40-9AC9-BCF88BA36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956096"/>
        <c:axId val="943948944"/>
      </c:scatterChart>
      <c:valAx>
        <c:axId val="94395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948944"/>
        <c:crosses val="autoZero"/>
        <c:crossBetween val="midCat"/>
      </c:valAx>
      <c:valAx>
        <c:axId val="943948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95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 (2)'!$I$2:$N$2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0.11542192046556742</c:v>
                </c:pt>
                <c:pt idx="2">
                  <c:v>0.2159709618874773</c:v>
                </c:pt>
                <c:pt idx="3">
                  <c:v>0.30434782608695649</c:v>
                </c:pt>
                <c:pt idx="4">
                  <c:v>0.71257485029940115</c:v>
                </c:pt>
                <c:pt idx="5">
                  <c:v>1</c:v>
                </c:pt>
              </c:numCache>
            </c:numRef>
          </c:xVal>
          <c:yVal>
            <c:numRef>
              <c:f>'summary (2)'!$I$4:$N$4</c:f>
              <c:numCache>
                <c:formatCode>0.00</c:formatCode>
                <c:ptCount val="6"/>
                <c:pt idx="0">
                  <c:v>0.40607829346140145</c:v>
                </c:pt>
                <c:pt idx="1">
                  <c:v>0.43599597997343748</c:v>
                </c:pt>
                <c:pt idx="2">
                  <c:v>0.55816681231918397</c:v>
                </c:pt>
                <c:pt idx="3">
                  <c:v>0.62825394555811465</c:v>
                </c:pt>
                <c:pt idx="4">
                  <c:v>1.1304234683198486</c:v>
                </c:pt>
                <c:pt idx="5">
                  <c:v>1.6342582638605947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C7-B84A-9309-653B60AC6EB9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'summary (2)'!$I$2:$N$2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0.11542192046556742</c:v>
                </c:pt>
                <c:pt idx="2">
                  <c:v>0.2159709618874773</c:v>
                </c:pt>
                <c:pt idx="3">
                  <c:v>0.30434782608695649</c:v>
                </c:pt>
                <c:pt idx="4">
                  <c:v>0.71257485029940115</c:v>
                </c:pt>
                <c:pt idx="5">
                  <c:v>1</c:v>
                </c:pt>
              </c:numCache>
            </c:numRef>
          </c:xVal>
          <c:yVal>
            <c:numRef>
              <c:f>'summary (2)'!$I$5:$N$5</c:f>
              <c:numCache>
                <c:formatCode>0.00</c:formatCode>
                <c:ptCount val="6"/>
                <c:pt idx="0">
                  <c:v>0.48145343263143292</c:v>
                </c:pt>
                <c:pt idx="1">
                  <c:v>0.49488666106981849</c:v>
                </c:pt>
                <c:pt idx="2">
                  <c:v>0.58749283895511772</c:v>
                </c:pt>
                <c:pt idx="3">
                  <c:v>0.6464677547908636</c:v>
                </c:pt>
                <c:pt idx="4">
                  <c:v>1.1122356214745128</c:v>
                </c:pt>
                <c:pt idx="5">
                  <c:v>1.6330472918992343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C7-B84A-9309-653B60AC6EB9}"/>
            </c:ext>
          </c:extLst>
        </c:ser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'summary (2)'!$I$2:$N$2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0.11542192046556742</c:v>
                </c:pt>
                <c:pt idx="2">
                  <c:v>0.2159709618874773</c:v>
                </c:pt>
                <c:pt idx="3">
                  <c:v>0.30434782608695649</c:v>
                </c:pt>
                <c:pt idx="4">
                  <c:v>0.71257485029940115</c:v>
                </c:pt>
                <c:pt idx="5">
                  <c:v>1</c:v>
                </c:pt>
              </c:numCache>
            </c:numRef>
          </c:xVal>
          <c:yVal>
            <c:numRef>
              <c:f>'summary (2)'!$I$6:$N$6</c:f>
              <c:numCache>
                <c:formatCode>0.00</c:formatCode>
                <c:ptCount val="6"/>
                <c:pt idx="0">
                  <c:v>0.52569783844204221</c:v>
                </c:pt>
                <c:pt idx="1">
                  <c:v>0.5467033590692989</c:v>
                </c:pt>
                <c:pt idx="2">
                  <c:v>0.63413885803764647</c:v>
                </c:pt>
                <c:pt idx="3">
                  <c:v>0.66771393726475647</c:v>
                </c:pt>
                <c:pt idx="4">
                  <c:v>1.162464376933189</c:v>
                </c:pt>
                <c:pt idx="5">
                  <c:v>1.6535091467471457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C7-B84A-9309-653B60AC6EB9}"/>
            </c:ext>
          </c:extLst>
        </c:ser>
        <c:ser>
          <c:idx val="4"/>
          <c:order val="3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'summary (2)'!$I$2:$N$2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0.11542192046556742</c:v>
                </c:pt>
                <c:pt idx="2">
                  <c:v>0.2159709618874773</c:v>
                </c:pt>
                <c:pt idx="3">
                  <c:v>0.30434782608695649</c:v>
                </c:pt>
                <c:pt idx="4">
                  <c:v>0.71257485029940115</c:v>
                </c:pt>
                <c:pt idx="5">
                  <c:v>1</c:v>
                </c:pt>
              </c:numCache>
            </c:numRef>
          </c:xVal>
          <c:yVal>
            <c:numRef>
              <c:f>'summary (2)'!$I$7:$N$7</c:f>
              <c:numCache>
                <c:formatCode>0.00</c:formatCode>
                <c:ptCount val="6"/>
                <c:pt idx="0">
                  <c:v>0.70465618893488702</c:v>
                </c:pt>
                <c:pt idx="1">
                  <c:v>0.65331013805528448</c:v>
                </c:pt>
                <c:pt idx="2">
                  <c:v>0.69817505043730599</c:v>
                </c:pt>
                <c:pt idx="3">
                  <c:v>0.68781704402271271</c:v>
                </c:pt>
                <c:pt idx="4">
                  <c:v>1.17394702806994</c:v>
                </c:pt>
                <c:pt idx="5">
                  <c:v>1.6659914956822086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C7-B84A-9309-653B60AC6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925056"/>
        <c:axId val="1019294032"/>
      </c:scatterChart>
      <c:valAx>
        <c:axId val="102392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294032"/>
        <c:crosses val="autoZero"/>
        <c:crossBetween val="midCat"/>
      </c:valAx>
      <c:valAx>
        <c:axId val="101929403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2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528953412073491"/>
                  <c:y val="6.114027413240011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'1000K'!$L$5:$L$14</c:f>
              <c:numCache>
                <c:formatCode>General</c:formatCode>
                <c:ptCount val="10"/>
                <c:pt idx="0">
                  <c:v>0.11849999999999999</c:v>
                </c:pt>
                <c:pt idx="1">
                  <c:v>0.1235</c:v>
                </c:pt>
                <c:pt idx="2">
                  <c:v>0.126</c:v>
                </c:pt>
                <c:pt idx="3">
                  <c:v>0.1255</c:v>
                </c:pt>
                <c:pt idx="4">
                  <c:v>0.111</c:v>
                </c:pt>
                <c:pt idx="5">
                  <c:v>0.11650000000000001</c:v>
                </c:pt>
                <c:pt idx="6">
                  <c:v>0.1265</c:v>
                </c:pt>
                <c:pt idx="7">
                  <c:v>0.1285</c:v>
                </c:pt>
                <c:pt idx="8">
                  <c:v>0.11</c:v>
                </c:pt>
                <c:pt idx="9">
                  <c:v>0.1295</c:v>
                </c:pt>
              </c:numCache>
            </c:numRef>
          </c:xVal>
          <c:yVal>
            <c:numRef>
              <c:f>'1000K'!$J$5:$J$14</c:f>
              <c:numCache>
                <c:formatCode>General</c:formatCode>
                <c:ptCount val="10"/>
                <c:pt idx="0">
                  <c:v>-4.3632419415000001</c:v>
                </c:pt>
                <c:pt idx="1">
                  <c:v>-4.3767471745000002</c:v>
                </c:pt>
                <c:pt idx="2">
                  <c:v>-4.3841651519999996</c:v>
                </c:pt>
                <c:pt idx="3">
                  <c:v>-4.3811156389999999</c:v>
                </c:pt>
                <c:pt idx="4">
                  <c:v>-4.3451662805</c:v>
                </c:pt>
                <c:pt idx="5">
                  <c:v>-4.3585464410000005</c:v>
                </c:pt>
                <c:pt idx="6">
                  <c:v>-4.3851204754999999</c:v>
                </c:pt>
                <c:pt idx="7">
                  <c:v>-4.3919067180000004</c:v>
                </c:pt>
                <c:pt idx="8">
                  <c:v>-4.3431088889999998</c:v>
                </c:pt>
                <c:pt idx="9">
                  <c:v>-4.3924184450000006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64-2A4B-B7F5-213DB5E90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956096"/>
        <c:axId val="943948944"/>
      </c:scatterChart>
      <c:valAx>
        <c:axId val="94395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948944"/>
        <c:crosses val="autoZero"/>
        <c:crossBetween val="midCat"/>
      </c:valAx>
      <c:valAx>
        <c:axId val="943948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95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528953412073491"/>
                  <c:y val="6.114027413240011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'1000K'!$L$17:$L$26</c:f>
              <c:numCache>
                <c:formatCode>General</c:formatCode>
                <c:ptCount val="10"/>
                <c:pt idx="0">
                  <c:v>0.20499999999999999</c:v>
                </c:pt>
                <c:pt idx="1">
                  <c:v>0.2135</c:v>
                </c:pt>
                <c:pt idx="2">
                  <c:v>0.214</c:v>
                </c:pt>
                <c:pt idx="3">
                  <c:v>0.21249999999999999</c:v>
                </c:pt>
                <c:pt idx="4">
                  <c:v>0.21</c:v>
                </c:pt>
                <c:pt idx="5">
                  <c:v>0.216</c:v>
                </c:pt>
                <c:pt idx="6">
                  <c:v>0.214</c:v>
                </c:pt>
                <c:pt idx="7">
                  <c:v>0.20649999999999999</c:v>
                </c:pt>
                <c:pt idx="8">
                  <c:v>0.21199999999999999</c:v>
                </c:pt>
                <c:pt idx="9">
                  <c:v>0.20899999999999999</c:v>
                </c:pt>
              </c:numCache>
            </c:numRef>
          </c:xVal>
          <c:yVal>
            <c:numRef>
              <c:f>'1000K'!$J$17:$J$26</c:f>
              <c:numCache>
                <c:formatCode>General</c:formatCode>
                <c:ptCount val="10"/>
                <c:pt idx="0">
                  <c:v>-4.5848619780000002</c:v>
                </c:pt>
                <c:pt idx="1">
                  <c:v>-4.6070530805000001</c:v>
                </c:pt>
                <c:pt idx="2">
                  <c:v>-4.6061288825000002</c:v>
                </c:pt>
                <c:pt idx="3">
                  <c:v>-4.6019183664999996</c:v>
                </c:pt>
                <c:pt idx="4">
                  <c:v>-4.5984698625</c:v>
                </c:pt>
                <c:pt idx="5">
                  <c:v>-4.6131646310000001</c:v>
                </c:pt>
                <c:pt idx="6">
                  <c:v>-4.6087989465000003</c:v>
                </c:pt>
                <c:pt idx="7">
                  <c:v>-4.5889109365000005</c:v>
                </c:pt>
                <c:pt idx="8">
                  <c:v>-4.6032560249999994</c:v>
                </c:pt>
                <c:pt idx="9">
                  <c:v>-4.5927068040000005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FE-7744-965F-BE3271A42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956096"/>
        <c:axId val="943948944"/>
      </c:scatterChart>
      <c:valAx>
        <c:axId val="94395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948944"/>
        <c:crosses val="autoZero"/>
        <c:crossBetween val="midCat"/>
      </c:valAx>
      <c:valAx>
        <c:axId val="943948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95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528953412073491"/>
                  <c:y val="6.114027413240011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'1000K'!$W$5:$W$14</c:f>
              <c:numCache>
                <c:formatCode>General</c:formatCode>
                <c:ptCount val="10"/>
                <c:pt idx="0">
                  <c:v>0.30399999999999999</c:v>
                </c:pt>
                <c:pt idx="1">
                  <c:v>0.311</c:v>
                </c:pt>
                <c:pt idx="2">
                  <c:v>0.3165</c:v>
                </c:pt>
                <c:pt idx="3">
                  <c:v>0.29599999999999999</c:v>
                </c:pt>
                <c:pt idx="4">
                  <c:v>0.32750000000000001</c:v>
                </c:pt>
                <c:pt idx="5">
                  <c:v>0.31850000000000001</c:v>
                </c:pt>
                <c:pt idx="6">
                  <c:v>0.307</c:v>
                </c:pt>
                <c:pt idx="7">
                  <c:v>0.3095</c:v>
                </c:pt>
                <c:pt idx="8">
                  <c:v>0.3145</c:v>
                </c:pt>
                <c:pt idx="9">
                  <c:v>0.3105</c:v>
                </c:pt>
              </c:numCache>
            </c:numRef>
          </c:xVal>
          <c:yVal>
            <c:numRef>
              <c:f>'1000K'!$U$5:$U$14</c:f>
              <c:numCache>
                <c:formatCode>General</c:formatCode>
                <c:ptCount val="10"/>
                <c:pt idx="0">
                  <c:v>-4.8368392814999996</c:v>
                </c:pt>
                <c:pt idx="1">
                  <c:v>-4.8553847884999994</c:v>
                </c:pt>
                <c:pt idx="2">
                  <c:v>-4.8669931755000002</c:v>
                </c:pt>
                <c:pt idx="3">
                  <c:v>-4.8138263495000002</c:v>
                </c:pt>
                <c:pt idx="4">
                  <c:v>-4.8991058105</c:v>
                </c:pt>
                <c:pt idx="5">
                  <c:v>-4.8734128760000006</c:v>
                </c:pt>
                <c:pt idx="6">
                  <c:v>-4.844700768</c:v>
                </c:pt>
                <c:pt idx="7">
                  <c:v>-4.8491205590000002</c:v>
                </c:pt>
                <c:pt idx="8">
                  <c:v>-4.863421615</c:v>
                </c:pt>
                <c:pt idx="9">
                  <c:v>-4.8530100264999998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00-8F4E-A3E0-DAEBC8FC2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956096"/>
        <c:axId val="943948944"/>
      </c:scatterChart>
      <c:valAx>
        <c:axId val="94395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948944"/>
        <c:crosses val="autoZero"/>
        <c:crossBetween val="midCat"/>
      </c:valAx>
      <c:valAx>
        <c:axId val="943948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95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528953412073491"/>
                  <c:y val="6.114027413240011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'1000K'!$W$17:$W$26</c:f>
              <c:numCache>
                <c:formatCode>General</c:formatCode>
                <c:ptCount val="10"/>
                <c:pt idx="0">
                  <c:v>0.73650000000000004</c:v>
                </c:pt>
                <c:pt idx="1">
                  <c:v>0.72899999999999998</c:v>
                </c:pt>
                <c:pt idx="2">
                  <c:v>0.71650000000000003</c:v>
                </c:pt>
                <c:pt idx="3">
                  <c:v>0.71550000000000002</c:v>
                </c:pt>
                <c:pt idx="4">
                  <c:v>0.69799999999999995</c:v>
                </c:pt>
                <c:pt idx="5">
                  <c:v>0.70899999999999996</c:v>
                </c:pt>
                <c:pt idx="6">
                  <c:v>0.71099999999999997</c:v>
                </c:pt>
                <c:pt idx="7">
                  <c:v>0.72150000000000003</c:v>
                </c:pt>
                <c:pt idx="8">
                  <c:v>0.72250000000000003</c:v>
                </c:pt>
                <c:pt idx="9">
                  <c:v>0.69799999999999995</c:v>
                </c:pt>
              </c:numCache>
            </c:numRef>
          </c:xVal>
          <c:yVal>
            <c:numRef>
              <c:f>'1000K'!$U$17:$U$26</c:f>
              <c:numCache>
                <c:formatCode>General</c:formatCode>
                <c:ptCount val="10"/>
                <c:pt idx="0">
                  <c:v>-5.9499117850000003</c:v>
                </c:pt>
                <c:pt idx="1">
                  <c:v>-5.9319405864999997</c:v>
                </c:pt>
                <c:pt idx="2">
                  <c:v>-5.8943274789999993</c:v>
                </c:pt>
                <c:pt idx="3">
                  <c:v>-5.8969061609999995</c:v>
                </c:pt>
                <c:pt idx="4">
                  <c:v>-5.8466312909999996</c:v>
                </c:pt>
                <c:pt idx="5">
                  <c:v>-5.8793077359999995</c:v>
                </c:pt>
                <c:pt idx="6">
                  <c:v>-5.8785727004999995</c:v>
                </c:pt>
                <c:pt idx="7">
                  <c:v>-5.9090376310000003</c:v>
                </c:pt>
                <c:pt idx="8">
                  <c:v>-5.9145953149999997</c:v>
                </c:pt>
                <c:pt idx="9">
                  <c:v>-5.8436718229999993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BE-2C44-8A4C-A83046C60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956096"/>
        <c:axId val="943948944"/>
      </c:scatterChart>
      <c:valAx>
        <c:axId val="94395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948944"/>
        <c:crosses val="autoZero"/>
        <c:crossBetween val="midCat"/>
      </c:valAx>
      <c:valAx>
        <c:axId val="943948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95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'1000K'!$T$35:$T$46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12.68</c:v>
                </c:pt>
                <c:pt idx="2">
                  <c:v>16.260000000000002</c:v>
                </c:pt>
                <c:pt idx="3">
                  <c:v>22.62</c:v>
                </c:pt>
                <c:pt idx="4">
                  <c:v>27.6760219742164</c:v>
                </c:pt>
                <c:pt idx="5">
                  <c:v>36.869999999999997</c:v>
                </c:pt>
                <c:pt idx="6">
                  <c:v>46.145146311133402</c:v>
                </c:pt>
                <c:pt idx="7">
                  <c:v>53.13</c:v>
                </c:pt>
                <c:pt idx="8">
                  <c:v>61.71</c:v>
                </c:pt>
                <c:pt idx="9">
                  <c:v>67.724661178359398</c:v>
                </c:pt>
                <c:pt idx="10">
                  <c:v>73.933636606903903</c:v>
                </c:pt>
                <c:pt idx="11">
                  <c:v>90</c:v>
                </c:pt>
              </c:numCache>
            </c:numRef>
          </c:xVal>
          <c:yVal>
            <c:numRef>
              <c:f>'1000K'!$V$35:$V$46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0.50446922548649664</c:v>
                </c:pt>
                <c:pt idx="2">
                  <c:v>0.53511984262444745</c:v>
                </c:pt>
                <c:pt idx="3">
                  <c:v>0.56877451174685079</c:v>
                </c:pt>
                <c:pt idx="4">
                  <c:v>0.62263936366465433</c:v>
                </c:pt>
                <c:pt idx="5">
                  <c:v>0.50253919410053327</c:v>
                </c:pt>
                <c:pt idx="6">
                  <c:v>0.70851657833975368</c:v>
                </c:pt>
                <c:pt idx="7">
                  <c:v>0.61238738983812624</c:v>
                </c:pt>
                <c:pt idx="8">
                  <c:v>0.70364504632698477</c:v>
                </c:pt>
                <c:pt idx="9">
                  <c:v>0.6190754251139341</c:v>
                </c:pt>
                <c:pt idx="10">
                  <c:v>0.57864632619839051</c:v>
                </c:pt>
                <c:pt idx="11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5B-FA4E-A72F-454AD586453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'1000K'!$T$50:$T$61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12.68</c:v>
                </c:pt>
                <c:pt idx="2">
                  <c:v>16.260000000000002</c:v>
                </c:pt>
                <c:pt idx="3">
                  <c:v>22.62</c:v>
                </c:pt>
                <c:pt idx="4">
                  <c:v>27.6760219742164</c:v>
                </c:pt>
                <c:pt idx="5">
                  <c:v>36.869999999999997</c:v>
                </c:pt>
                <c:pt idx="6">
                  <c:v>46.145146311133402</c:v>
                </c:pt>
                <c:pt idx="7">
                  <c:v>53.13</c:v>
                </c:pt>
                <c:pt idx="8">
                  <c:v>61.71</c:v>
                </c:pt>
                <c:pt idx="9">
                  <c:v>67.724661178359398</c:v>
                </c:pt>
                <c:pt idx="10">
                  <c:v>73.933636606903903</c:v>
                </c:pt>
                <c:pt idx="11">
                  <c:v>90</c:v>
                </c:pt>
              </c:numCache>
            </c:numRef>
          </c:xVal>
          <c:yVal>
            <c:numRef>
              <c:f>'1000K'!$V$50:$V$61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0.55781623120814561</c:v>
                </c:pt>
                <c:pt idx="2">
                  <c:v>0.60007515969512126</c:v>
                </c:pt>
                <c:pt idx="3">
                  <c:v>0.6589278881700229</c:v>
                </c:pt>
                <c:pt idx="4">
                  <c:v>0.72659026080201961</c:v>
                </c:pt>
                <c:pt idx="5">
                  <c:v>0.63847297340603892</c:v>
                </c:pt>
                <c:pt idx="6">
                  <c:v>0.70906828152054491</c:v>
                </c:pt>
                <c:pt idx="7">
                  <c:v>0.64831502638383631</c:v>
                </c:pt>
                <c:pt idx="8">
                  <c:v>0.75283411265756517</c:v>
                </c:pt>
                <c:pt idx="9">
                  <c:v>0.68281655778275729</c:v>
                </c:pt>
                <c:pt idx="10">
                  <c:v>0.71942725939268926</c:v>
                </c:pt>
                <c:pt idx="11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5B-FA4E-A72F-454AD586453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'1000K'!$T$65:$T$76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12.68</c:v>
                </c:pt>
                <c:pt idx="2">
                  <c:v>16.260000000000002</c:v>
                </c:pt>
                <c:pt idx="3">
                  <c:v>22.62</c:v>
                </c:pt>
                <c:pt idx="4">
                  <c:v>27.6760219742164</c:v>
                </c:pt>
                <c:pt idx="5">
                  <c:v>36.869999999999997</c:v>
                </c:pt>
                <c:pt idx="6">
                  <c:v>46.145146311133402</c:v>
                </c:pt>
                <c:pt idx="7">
                  <c:v>53.13</c:v>
                </c:pt>
                <c:pt idx="8">
                  <c:v>61.71</c:v>
                </c:pt>
                <c:pt idx="9">
                  <c:v>67.724661178359398</c:v>
                </c:pt>
                <c:pt idx="10">
                  <c:v>73.933636606903903</c:v>
                </c:pt>
                <c:pt idx="11">
                  <c:v>90</c:v>
                </c:pt>
              </c:numCache>
            </c:numRef>
          </c:xVal>
          <c:yVal>
            <c:numRef>
              <c:f>'1000K'!$V$65:$V$76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0.55200792202581861</c:v>
                </c:pt>
                <c:pt idx="2">
                  <c:v>0.54746309252273617</c:v>
                </c:pt>
                <c:pt idx="3">
                  <c:v>0.62510675440874408</c:v>
                </c:pt>
                <c:pt idx="4">
                  <c:v>0.68586907382509787</c:v>
                </c:pt>
                <c:pt idx="5">
                  <c:v>0.62880597003039063</c:v>
                </c:pt>
                <c:pt idx="6">
                  <c:v>0.7452057654355364</c:v>
                </c:pt>
                <c:pt idx="7">
                  <c:v>0.6728054558594776</c:v>
                </c:pt>
                <c:pt idx="8">
                  <c:v>0.69359818170083709</c:v>
                </c:pt>
                <c:pt idx="9">
                  <c:v>0.58340095978401618</c:v>
                </c:pt>
                <c:pt idx="10">
                  <c:v>0.48418262665222722</c:v>
                </c:pt>
                <c:pt idx="11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5B-FA4E-A72F-454AD586453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'1000K'!$T$80:$T$91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12.68</c:v>
                </c:pt>
                <c:pt idx="2">
                  <c:v>16.260000000000002</c:v>
                </c:pt>
                <c:pt idx="3">
                  <c:v>22.62</c:v>
                </c:pt>
                <c:pt idx="4">
                  <c:v>27.6760219742164</c:v>
                </c:pt>
                <c:pt idx="5">
                  <c:v>36.869999999999997</c:v>
                </c:pt>
                <c:pt idx="6">
                  <c:v>46.145146311133402</c:v>
                </c:pt>
                <c:pt idx="7">
                  <c:v>53.13</c:v>
                </c:pt>
                <c:pt idx="8">
                  <c:v>61.71</c:v>
                </c:pt>
                <c:pt idx="9">
                  <c:v>67.724661178359398</c:v>
                </c:pt>
                <c:pt idx="10">
                  <c:v>73.933636606903903</c:v>
                </c:pt>
                <c:pt idx="11">
                  <c:v>90</c:v>
                </c:pt>
              </c:numCache>
            </c:numRef>
          </c:xVal>
          <c:yVal>
            <c:numRef>
              <c:f>'1000K'!$V$80:$V$91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1.1408141442992705</c:v>
                </c:pt>
                <c:pt idx="2">
                  <c:v>1.0755149621198192</c:v>
                </c:pt>
                <c:pt idx="3">
                  <c:v>1.2020641594343822</c:v>
                </c:pt>
                <c:pt idx="4">
                  <c:v>1.432568884536386</c:v>
                </c:pt>
                <c:pt idx="5">
                  <c:v>1.2601185423196442</c:v>
                </c:pt>
                <c:pt idx="6">
                  <c:v>1.3508278648300291</c:v>
                </c:pt>
                <c:pt idx="7">
                  <c:v>1.1457809144080087</c:v>
                </c:pt>
                <c:pt idx="8">
                  <c:v>1.3764559506104899</c:v>
                </c:pt>
                <c:pt idx="9">
                  <c:v>1.1988364056418612</c:v>
                </c:pt>
                <c:pt idx="10">
                  <c:v>1.0700428837586542</c:v>
                </c:pt>
                <c:pt idx="11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5B-FA4E-A72F-454AD5864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286736"/>
        <c:axId val="979126576"/>
      </c:scatterChart>
      <c:valAx>
        <c:axId val="97928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126576"/>
        <c:crosses val="autoZero"/>
        <c:crossBetween val="midCat"/>
      </c:valAx>
      <c:valAx>
        <c:axId val="979126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28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571700021872266"/>
                  <c:y val="-0.511514654418197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('1000K'!$L$5:$L$14,'1000K'!$L$17:$L$26,'1000K'!$W$5:$W$14,'1000K'!$W$17:$W$26,'1000K'!$W$28:$W$29)</c:f>
              <c:numCache>
                <c:formatCode>General</c:formatCode>
                <c:ptCount val="42"/>
                <c:pt idx="0">
                  <c:v>0.11849999999999999</c:v>
                </c:pt>
                <c:pt idx="1">
                  <c:v>0.1235</c:v>
                </c:pt>
                <c:pt idx="2">
                  <c:v>0.126</c:v>
                </c:pt>
                <c:pt idx="3">
                  <c:v>0.1255</c:v>
                </c:pt>
                <c:pt idx="4">
                  <c:v>0.111</c:v>
                </c:pt>
                <c:pt idx="5">
                  <c:v>0.11650000000000001</c:v>
                </c:pt>
                <c:pt idx="6">
                  <c:v>0.1265</c:v>
                </c:pt>
                <c:pt idx="7">
                  <c:v>0.1285</c:v>
                </c:pt>
                <c:pt idx="8">
                  <c:v>0.11</c:v>
                </c:pt>
                <c:pt idx="9">
                  <c:v>0.1295</c:v>
                </c:pt>
                <c:pt idx="10">
                  <c:v>0.20499999999999999</c:v>
                </c:pt>
                <c:pt idx="11">
                  <c:v>0.2135</c:v>
                </c:pt>
                <c:pt idx="12">
                  <c:v>0.214</c:v>
                </c:pt>
                <c:pt idx="13">
                  <c:v>0.21249999999999999</c:v>
                </c:pt>
                <c:pt idx="14">
                  <c:v>0.21</c:v>
                </c:pt>
                <c:pt idx="15">
                  <c:v>0.216</c:v>
                </c:pt>
                <c:pt idx="16">
                  <c:v>0.214</c:v>
                </c:pt>
                <c:pt idx="17">
                  <c:v>0.20649999999999999</c:v>
                </c:pt>
                <c:pt idx="18">
                  <c:v>0.21199999999999999</c:v>
                </c:pt>
                <c:pt idx="19">
                  <c:v>0.20899999999999999</c:v>
                </c:pt>
                <c:pt idx="20">
                  <c:v>0.30399999999999999</c:v>
                </c:pt>
                <c:pt idx="21">
                  <c:v>0.311</c:v>
                </c:pt>
                <c:pt idx="22">
                  <c:v>0.3165</c:v>
                </c:pt>
                <c:pt idx="23">
                  <c:v>0.29599999999999999</c:v>
                </c:pt>
                <c:pt idx="24">
                  <c:v>0.32750000000000001</c:v>
                </c:pt>
                <c:pt idx="25">
                  <c:v>0.31850000000000001</c:v>
                </c:pt>
                <c:pt idx="26">
                  <c:v>0.307</c:v>
                </c:pt>
                <c:pt idx="27">
                  <c:v>0.3095</c:v>
                </c:pt>
                <c:pt idx="28">
                  <c:v>0.3145</c:v>
                </c:pt>
                <c:pt idx="29">
                  <c:v>0.3105</c:v>
                </c:pt>
                <c:pt idx="30">
                  <c:v>0.73650000000000004</c:v>
                </c:pt>
                <c:pt idx="31">
                  <c:v>0.72899999999999998</c:v>
                </c:pt>
                <c:pt idx="32">
                  <c:v>0.71650000000000003</c:v>
                </c:pt>
                <c:pt idx="33">
                  <c:v>0.71550000000000002</c:v>
                </c:pt>
                <c:pt idx="34">
                  <c:v>0.69799999999999995</c:v>
                </c:pt>
                <c:pt idx="35">
                  <c:v>0.70899999999999996</c:v>
                </c:pt>
                <c:pt idx="36">
                  <c:v>0.71099999999999997</c:v>
                </c:pt>
                <c:pt idx="37">
                  <c:v>0.72150000000000003</c:v>
                </c:pt>
                <c:pt idx="38">
                  <c:v>0.72250000000000003</c:v>
                </c:pt>
                <c:pt idx="39">
                  <c:v>0.69799999999999995</c:v>
                </c:pt>
                <c:pt idx="40">
                  <c:v>0</c:v>
                </c:pt>
                <c:pt idx="41">
                  <c:v>1</c:v>
                </c:pt>
              </c:numCache>
            </c:numRef>
          </c:xVal>
          <c:yVal>
            <c:numRef>
              <c:f>('1000K'!$J$5:$J$14,'1000K'!$J$17:$J$26,'1000K'!$U$5:$U$14,'1000K'!$U$17:$U$26,'1000K'!$U$28:$U$29)</c:f>
              <c:numCache>
                <c:formatCode>General</c:formatCode>
                <c:ptCount val="42"/>
                <c:pt idx="0">
                  <c:v>-4.3632419415000001</c:v>
                </c:pt>
                <c:pt idx="1">
                  <c:v>-4.3767471745000002</c:v>
                </c:pt>
                <c:pt idx="2">
                  <c:v>-4.3841651519999996</c:v>
                </c:pt>
                <c:pt idx="3">
                  <c:v>-4.3811156389999999</c:v>
                </c:pt>
                <c:pt idx="4">
                  <c:v>-4.3451662805</c:v>
                </c:pt>
                <c:pt idx="5">
                  <c:v>-4.3585464410000005</c:v>
                </c:pt>
                <c:pt idx="6">
                  <c:v>-4.3851204754999999</c:v>
                </c:pt>
                <c:pt idx="7">
                  <c:v>-4.3919067180000004</c:v>
                </c:pt>
                <c:pt idx="8">
                  <c:v>-4.3431088889999998</c:v>
                </c:pt>
                <c:pt idx="9">
                  <c:v>-4.3924184450000006</c:v>
                </c:pt>
                <c:pt idx="10">
                  <c:v>-4.5848619780000002</c:v>
                </c:pt>
                <c:pt idx="11">
                  <c:v>-4.6070530805000001</c:v>
                </c:pt>
                <c:pt idx="12">
                  <c:v>-4.6061288825000002</c:v>
                </c:pt>
                <c:pt idx="13">
                  <c:v>-4.6019183664999996</c:v>
                </c:pt>
                <c:pt idx="14">
                  <c:v>-4.5984698625</c:v>
                </c:pt>
                <c:pt idx="15">
                  <c:v>-4.6131646310000001</c:v>
                </c:pt>
                <c:pt idx="16">
                  <c:v>-4.6087989465000003</c:v>
                </c:pt>
                <c:pt idx="17">
                  <c:v>-4.5889109365000005</c:v>
                </c:pt>
                <c:pt idx="18">
                  <c:v>-4.6032560249999994</c:v>
                </c:pt>
                <c:pt idx="19">
                  <c:v>-4.5927068040000005</c:v>
                </c:pt>
                <c:pt idx="20">
                  <c:v>-4.8368392814999996</c:v>
                </c:pt>
                <c:pt idx="21">
                  <c:v>-4.8553847884999994</c:v>
                </c:pt>
                <c:pt idx="22">
                  <c:v>-4.8669931755000002</c:v>
                </c:pt>
                <c:pt idx="23">
                  <c:v>-4.8138263495000002</c:v>
                </c:pt>
                <c:pt idx="24">
                  <c:v>-4.8991058105</c:v>
                </c:pt>
                <c:pt idx="25">
                  <c:v>-4.8734128760000006</c:v>
                </c:pt>
                <c:pt idx="26">
                  <c:v>-4.844700768</c:v>
                </c:pt>
                <c:pt idx="27">
                  <c:v>-4.8491205590000002</c:v>
                </c:pt>
                <c:pt idx="28">
                  <c:v>-4.863421615</c:v>
                </c:pt>
                <c:pt idx="29">
                  <c:v>-4.8530100264999998</c:v>
                </c:pt>
                <c:pt idx="30">
                  <c:v>-5.9499117850000003</c:v>
                </c:pt>
                <c:pt idx="31">
                  <c:v>-5.9319405864999997</c:v>
                </c:pt>
                <c:pt idx="32">
                  <c:v>-5.8943274789999993</c:v>
                </c:pt>
                <c:pt idx="33">
                  <c:v>-5.8969061609999995</c:v>
                </c:pt>
                <c:pt idx="34">
                  <c:v>-5.8466312909999996</c:v>
                </c:pt>
                <c:pt idx="35">
                  <c:v>-5.8793077359999995</c:v>
                </c:pt>
                <c:pt idx="36">
                  <c:v>-5.8785727004999995</c:v>
                </c:pt>
                <c:pt idx="37">
                  <c:v>-5.9090376310000003</c:v>
                </c:pt>
                <c:pt idx="38">
                  <c:v>-5.9145953149999997</c:v>
                </c:pt>
                <c:pt idx="39">
                  <c:v>-5.8436718229999993</c:v>
                </c:pt>
                <c:pt idx="40">
                  <c:v>-4.0670886173333329</c:v>
                </c:pt>
                <c:pt idx="41">
                  <c:v>-6.7551178184999996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FA-3E43-8908-CA96B1E1A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956096"/>
        <c:axId val="943948944"/>
      </c:scatterChart>
      <c:valAx>
        <c:axId val="943956096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948944"/>
        <c:crosses val="autoZero"/>
        <c:crossBetween val="midCat"/>
      </c:valAx>
      <c:valAx>
        <c:axId val="943948944"/>
        <c:scaling>
          <c:orientation val="minMax"/>
          <c:max val="-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95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'1000K'!$T$35:$T$46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12.68</c:v>
                </c:pt>
                <c:pt idx="2">
                  <c:v>16.260000000000002</c:v>
                </c:pt>
                <c:pt idx="3">
                  <c:v>22.62</c:v>
                </c:pt>
                <c:pt idx="4">
                  <c:v>27.6760219742164</c:v>
                </c:pt>
                <c:pt idx="5">
                  <c:v>36.869999999999997</c:v>
                </c:pt>
                <c:pt idx="6">
                  <c:v>46.145146311133402</c:v>
                </c:pt>
                <c:pt idx="7">
                  <c:v>53.13</c:v>
                </c:pt>
                <c:pt idx="8">
                  <c:v>61.71</c:v>
                </c:pt>
                <c:pt idx="9">
                  <c:v>67.724661178359398</c:v>
                </c:pt>
                <c:pt idx="10">
                  <c:v>73.933636606903903</c:v>
                </c:pt>
                <c:pt idx="11">
                  <c:v>90</c:v>
                </c:pt>
              </c:numCache>
            </c:numRef>
          </c:xVal>
          <c:yVal>
            <c:numRef>
              <c:f>'1000K'!$Y$35:$Y$46</c:f>
              <c:numCache>
                <c:formatCode>General</c:formatCode>
                <c:ptCount val="12"/>
                <c:pt idx="0">
                  <c:v>0</c:v>
                </c:pt>
                <c:pt idx="1">
                  <c:v>0.65464060353501696</c:v>
                </c:pt>
                <c:pt idx="2">
                  <c:v>0.69034206643459939</c:v>
                </c:pt>
                <c:pt idx="3">
                  <c:v>0.68101768992490752</c:v>
                </c:pt>
                <c:pt idx="4">
                  <c:v>0.75616610172580345</c:v>
                </c:pt>
                <c:pt idx="5">
                  <c:v>0.60892974371114605</c:v>
                </c:pt>
                <c:pt idx="6">
                  <c:v>0.87015016510529897</c:v>
                </c:pt>
                <c:pt idx="7">
                  <c:v>0.68283402560775153</c:v>
                </c:pt>
                <c:pt idx="8">
                  <c:v>0.8985343718976182</c:v>
                </c:pt>
                <c:pt idx="9">
                  <c:v>0.77864899291860712</c:v>
                </c:pt>
                <c:pt idx="10">
                  <c:v>0.74294602113505559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DC-2045-8340-0EBC9549231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'1000K'!$T$50:$T$61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12.68</c:v>
                </c:pt>
                <c:pt idx="2">
                  <c:v>16.260000000000002</c:v>
                </c:pt>
                <c:pt idx="3">
                  <c:v>22.62</c:v>
                </c:pt>
                <c:pt idx="4">
                  <c:v>27.6760219742164</c:v>
                </c:pt>
                <c:pt idx="5">
                  <c:v>36.869999999999997</c:v>
                </c:pt>
                <c:pt idx="6">
                  <c:v>46.145146311133402</c:v>
                </c:pt>
                <c:pt idx="7">
                  <c:v>53.13</c:v>
                </c:pt>
                <c:pt idx="8">
                  <c:v>61.71</c:v>
                </c:pt>
                <c:pt idx="9">
                  <c:v>67.724661178359398</c:v>
                </c:pt>
                <c:pt idx="10">
                  <c:v>73.933636606903903</c:v>
                </c:pt>
                <c:pt idx="11">
                  <c:v>90</c:v>
                </c:pt>
              </c:numCache>
            </c:numRef>
          </c:xVal>
          <c:yVal>
            <c:numRef>
              <c:f>'1000K'!$Y$50:$Y$61</c:f>
              <c:numCache>
                <c:formatCode>General</c:formatCode>
                <c:ptCount val="12"/>
                <c:pt idx="0" formatCode="@">
                  <c:v>0</c:v>
                </c:pt>
                <c:pt idx="1">
                  <c:v>0.6331251969930195</c:v>
                </c:pt>
                <c:pt idx="2">
                  <c:v>0.68881917821149996</c:v>
                </c:pt>
                <c:pt idx="3">
                  <c:v>0.70614944133590263</c:v>
                </c:pt>
                <c:pt idx="4">
                  <c:v>0.80611470197428048</c:v>
                </c:pt>
                <c:pt idx="5">
                  <c:v>0.70100414504465625</c:v>
                </c:pt>
                <c:pt idx="6">
                  <c:v>0.80214647080935408</c:v>
                </c:pt>
                <c:pt idx="7">
                  <c:v>0.68473022138348549</c:v>
                </c:pt>
                <c:pt idx="8">
                  <c:v>0.86748755170556291</c:v>
                </c:pt>
                <c:pt idx="9">
                  <c:v>0.78226228109185081</c:v>
                </c:pt>
                <c:pt idx="10">
                  <c:v>0.82827139058822519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DC-2045-8340-0EBC9549231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'1000K'!$T$65:$T$76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12.68</c:v>
                </c:pt>
                <c:pt idx="2">
                  <c:v>16.260000000000002</c:v>
                </c:pt>
                <c:pt idx="3">
                  <c:v>22.62</c:v>
                </c:pt>
                <c:pt idx="4">
                  <c:v>27.6760219742164</c:v>
                </c:pt>
                <c:pt idx="5">
                  <c:v>36.869999999999997</c:v>
                </c:pt>
                <c:pt idx="6">
                  <c:v>46.145146311133402</c:v>
                </c:pt>
                <c:pt idx="7">
                  <c:v>53.13</c:v>
                </c:pt>
                <c:pt idx="8">
                  <c:v>61.71</c:v>
                </c:pt>
                <c:pt idx="9">
                  <c:v>67.724661178359398</c:v>
                </c:pt>
                <c:pt idx="10">
                  <c:v>73.933636606903903</c:v>
                </c:pt>
                <c:pt idx="11">
                  <c:v>90</c:v>
                </c:pt>
              </c:numCache>
            </c:numRef>
          </c:xVal>
          <c:yVal>
            <c:numRef>
              <c:f>'1000K'!$Y$65:$Y$76</c:f>
              <c:numCache>
                <c:formatCode>General</c:formatCode>
                <c:ptCount val="12"/>
                <c:pt idx="0">
                  <c:v>0</c:v>
                </c:pt>
                <c:pt idx="1">
                  <c:v>0.43478724024343818</c:v>
                </c:pt>
                <c:pt idx="2">
                  <c:v>0.56814126979574042</c:v>
                </c:pt>
                <c:pt idx="3">
                  <c:v>0.61989375619144838</c:v>
                </c:pt>
                <c:pt idx="4">
                  <c:v>0.63974129569514326</c:v>
                </c:pt>
                <c:pt idx="5">
                  <c:v>0.58579085597321057</c:v>
                </c:pt>
                <c:pt idx="6">
                  <c:v>0.66326626529678046</c:v>
                </c:pt>
                <c:pt idx="7">
                  <c:v>0.66298617598502818</c:v>
                </c:pt>
                <c:pt idx="8">
                  <c:v>0.65931207019049343</c:v>
                </c:pt>
                <c:pt idx="9">
                  <c:v>0.56648190012427058</c:v>
                </c:pt>
                <c:pt idx="10">
                  <c:v>0.45262403670647727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DC-2045-8340-0EBC9549231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'1000K'!$T$80:$T$91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12.68</c:v>
                </c:pt>
                <c:pt idx="2">
                  <c:v>16.260000000000002</c:v>
                </c:pt>
                <c:pt idx="3">
                  <c:v>22.62</c:v>
                </c:pt>
                <c:pt idx="4">
                  <c:v>27.6760219742164</c:v>
                </c:pt>
                <c:pt idx="5">
                  <c:v>36.869999999999997</c:v>
                </c:pt>
                <c:pt idx="6">
                  <c:v>46.145146311133402</c:v>
                </c:pt>
                <c:pt idx="7">
                  <c:v>53.13</c:v>
                </c:pt>
                <c:pt idx="8">
                  <c:v>61.71</c:v>
                </c:pt>
                <c:pt idx="9">
                  <c:v>67.724661178359398</c:v>
                </c:pt>
                <c:pt idx="10">
                  <c:v>73.933636606903903</c:v>
                </c:pt>
                <c:pt idx="11">
                  <c:v>90</c:v>
                </c:pt>
              </c:numCache>
            </c:numRef>
          </c:xVal>
          <c:yVal>
            <c:numRef>
              <c:f>'1000K'!$V$80:$V$91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1.1408141442992705</c:v>
                </c:pt>
                <c:pt idx="2">
                  <c:v>1.0755149621198192</c:v>
                </c:pt>
                <c:pt idx="3">
                  <c:v>1.2020641594343822</c:v>
                </c:pt>
                <c:pt idx="4">
                  <c:v>1.432568884536386</c:v>
                </c:pt>
                <c:pt idx="5">
                  <c:v>1.2601185423196442</c:v>
                </c:pt>
                <c:pt idx="6">
                  <c:v>1.3508278648300291</c:v>
                </c:pt>
                <c:pt idx="7">
                  <c:v>1.1457809144080087</c:v>
                </c:pt>
                <c:pt idx="8">
                  <c:v>1.3764559506104899</c:v>
                </c:pt>
                <c:pt idx="9">
                  <c:v>1.1988364056418612</c:v>
                </c:pt>
                <c:pt idx="10">
                  <c:v>1.0700428837586542</c:v>
                </c:pt>
                <c:pt idx="11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DC-2045-8340-0EBC95492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286736"/>
        <c:axId val="979126576"/>
      </c:scatterChart>
      <c:valAx>
        <c:axId val="97928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126576"/>
        <c:crosses val="autoZero"/>
        <c:crossBetween val="midCat"/>
      </c:valAx>
      <c:valAx>
        <c:axId val="979126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28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528953412073491"/>
                  <c:y val="6.114027413240011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'1200K'!$L$5:$L$14</c:f>
              <c:numCache>
                <c:formatCode>General</c:formatCode>
                <c:ptCount val="10"/>
                <c:pt idx="0">
                  <c:v>0.11600000000000001</c:v>
                </c:pt>
                <c:pt idx="1">
                  <c:v>0.11899999999999999</c:v>
                </c:pt>
                <c:pt idx="2">
                  <c:v>0.1205</c:v>
                </c:pt>
                <c:pt idx="3">
                  <c:v>0.111</c:v>
                </c:pt>
                <c:pt idx="4">
                  <c:v>0.11700000000000001</c:v>
                </c:pt>
                <c:pt idx="5">
                  <c:v>0.11749999999999999</c:v>
                </c:pt>
                <c:pt idx="6">
                  <c:v>0.115</c:v>
                </c:pt>
                <c:pt idx="7">
                  <c:v>0.1205</c:v>
                </c:pt>
                <c:pt idx="8">
                  <c:v>0.1285</c:v>
                </c:pt>
                <c:pt idx="9">
                  <c:v>0.1095</c:v>
                </c:pt>
              </c:numCache>
            </c:numRef>
          </c:xVal>
          <c:yVal>
            <c:numRef>
              <c:f>'1200K'!$J$5:$J$14</c:f>
              <c:numCache>
                <c:formatCode>General</c:formatCode>
                <c:ptCount val="10"/>
                <c:pt idx="0">
                  <c:v>-4.3288582944999998</c:v>
                </c:pt>
                <c:pt idx="1">
                  <c:v>-4.3372621394999999</c:v>
                </c:pt>
                <c:pt idx="2">
                  <c:v>-4.3416490210000003</c:v>
                </c:pt>
                <c:pt idx="3">
                  <c:v>-4.3172902100000004</c:v>
                </c:pt>
                <c:pt idx="4">
                  <c:v>-4.3313951559999992</c:v>
                </c:pt>
                <c:pt idx="5">
                  <c:v>-4.3323669909999998</c:v>
                </c:pt>
                <c:pt idx="6">
                  <c:v>-4.3269479650000005</c:v>
                </c:pt>
                <c:pt idx="7">
                  <c:v>-4.3400563140000008</c:v>
                </c:pt>
                <c:pt idx="8">
                  <c:v>-4.364245715</c:v>
                </c:pt>
                <c:pt idx="9">
                  <c:v>-4.3129760214999999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8E-6E4F-A5AC-C78F1883A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956096"/>
        <c:axId val="943948944"/>
      </c:scatterChart>
      <c:valAx>
        <c:axId val="94395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948944"/>
        <c:crosses val="autoZero"/>
        <c:crossBetween val="midCat"/>
      </c:valAx>
      <c:valAx>
        <c:axId val="943948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95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528953412073491"/>
                  <c:y val="6.114027413240011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'1200K'!$W$5:$W$14</c:f>
              <c:numCache>
                <c:formatCode>General</c:formatCode>
                <c:ptCount val="10"/>
                <c:pt idx="0">
                  <c:v>0.30449999999999999</c:v>
                </c:pt>
                <c:pt idx="1">
                  <c:v>0.30399999999999999</c:v>
                </c:pt>
                <c:pt idx="2">
                  <c:v>0.314</c:v>
                </c:pt>
                <c:pt idx="3">
                  <c:v>0.3075</c:v>
                </c:pt>
                <c:pt idx="4">
                  <c:v>0.30399999999999999</c:v>
                </c:pt>
                <c:pt idx="5">
                  <c:v>0.3095</c:v>
                </c:pt>
                <c:pt idx="6">
                  <c:v>0.3175</c:v>
                </c:pt>
                <c:pt idx="7">
                  <c:v>0.31</c:v>
                </c:pt>
                <c:pt idx="8">
                  <c:v>0.30549999999999999</c:v>
                </c:pt>
                <c:pt idx="9">
                  <c:v>0.32050000000000001</c:v>
                </c:pt>
              </c:numCache>
            </c:numRef>
          </c:xVal>
          <c:yVal>
            <c:numRef>
              <c:f>'1200K'!$U$5:$U$14</c:f>
              <c:numCache>
                <c:formatCode>General</c:formatCode>
                <c:ptCount val="10"/>
                <c:pt idx="0">
                  <c:v>-4.8098989075</c:v>
                </c:pt>
                <c:pt idx="1">
                  <c:v>-4.8078352869999996</c:v>
                </c:pt>
                <c:pt idx="2">
                  <c:v>-4.8324035585000003</c:v>
                </c:pt>
                <c:pt idx="3">
                  <c:v>-4.8179633759999998</c:v>
                </c:pt>
                <c:pt idx="4">
                  <c:v>-4.8072874455000001</c:v>
                </c:pt>
                <c:pt idx="5">
                  <c:v>-4.8230779240000006</c:v>
                </c:pt>
                <c:pt idx="6">
                  <c:v>-4.8424988464999998</c:v>
                </c:pt>
                <c:pt idx="7">
                  <c:v>-4.8228946130000008</c:v>
                </c:pt>
                <c:pt idx="8">
                  <c:v>-4.8120177439999994</c:v>
                </c:pt>
                <c:pt idx="9">
                  <c:v>-4.8522869430000002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CC-B540-83AD-D6C675BED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956096"/>
        <c:axId val="943948944"/>
      </c:scatterChart>
      <c:valAx>
        <c:axId val="94395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948944"/>
        <c:crosses val="autoZero"/>
        <c:crossBetween val="midCat"/>
      </c:valAx>
      <c:valAx>
        <c:axId val="943948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95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528953412073491"/>
                  <c:y val="6.114027413240011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'1200K'!$L$17:$L$26</c:f>
              <c:numCache>
                <c:formatCode>General</c:formatCode>
                <c:ptCount val="10"/>
                <c:pt idx="0">
                  <c:v>0.19850000000000001</c:v>
                </c:pt>
                <c:pt idx="1">
                  <c:v>0.21099999999999999</c:v>
                </c:pt>
                <c:pt idx="2">
                  <c:v>0.221</c:v>
                </c:pt>
                <c:pt idx="3">
                  <c:v>0.20649999999999999</c:v>
                </c:pt>
                <c:pt idx="4">
                  <c:v>0.2175</c:v>
                </c:pt>
                <c:pt idx="5">
                  <c:v>0.2205</c:v>
                </c:pt>
                <c:pt idx="6">
                  <c:v>0.217</c:v>
                </c:pt>
                <c:pt idx="7">
                  <c:v>0.20300000000000001</c:v>
                </c:pt>
                <c:pt idx="8">
                  <c:v>0.2</c:v>
                </c:pt>
                <c:pt idx="9">
                  <c:v>0.1845</c:v>
                </c:pt>
              </c:numCache>
            </c:numRef>
          </c:xVal>
          <c:yVal>
            <c:numRef>
              <c:f>'1200K'!$J$17:$J$26</c:f>
              <c:numCache>
                <c:formatCode>General</c:formatCode>
                <c:ptCount val="10"/>
                <c:pt idx="0">
                  <c:v>-4.5414942899999993</c:v>
                </c:pt>
                <c:pt idx="1">
                  <c:v>-4.5736409795000004</c:v>
                </c:pt>
                <c:pt idx="2">
                  <c:v>-4.5970462620000001</c:v>
                </c:pt>
                <c:pt idx="3">
                  <c:v>-4.5604870229999994</c:v>
                </c:pt>
                <c:pt idx="4">
                  <c:v>-4.5875728645000002</c:v>
                </c:pt>
                <c:pt idx="5">
                  <c:v>-4.5970263965000004</c:v>
                </c:pt>
                <c:pt idx="6">
                  <c:v>-4.5868406125000005</c:v>
                </c:pt>
                <c:pt idx="7">
                  <c:v>-4.5529937269999996</c:v>
                </c:pt>
                <c:pt idx="8">
                  <c:v>-4.5436744710000001</c:v>
                </c:pt>
                <c:pt idx="9">
                  <c:v>-4.5050592500000004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DA-9844-8338-8EC65144B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956096"/>
        <c:axId val="943948944"/>
      </c:scatterChart>
      <c:valAx>
        <c:axId val="94395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948944"/>
        <c:crosses val="autoZero"/>
        <c:crossBetween val="midCat"/>
      </c:valAx>
      <c:valAx>
        <c:axId val="943948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95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'summary (2)'!$C$28:$C$39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0.44465985394754454</c:v>
                </c:pt>
                <c:pt idx="2">
                  <c:v>0.46894882259020398</c:v>
                </c:pt>
                <c:pt idx="3">
                  <c:v>0.49917983657298343</c:v>
                </c:pt>
                <c:pt idx="4">
                  <c:v>0.56514363468329187</c:v>
                </c:pt>
                <c:pt idx="5">
                  <c:v>0.40288646784162302</c:v>
                </c:pt>
                <c:pt idx="6">
                  <c:v>0.53598227237116569</c:v>
                </c:pt>
                <c:pt idx="7">
                  <c:v>0.42087263802782304</c:v>
                </c:pt>
                <c:pt idx="8">
                  <c:v>0.54475518656878408</c:v>
                </c:pt>
                <c:pt idx="9">
                  <c:v>0.53728565842313691</c:v>
                </c:pt>
                <c:pt idx="10">
                  <c:v>0.46906016243959786</c:v>
                </c:pt>
                <c:pt idx="11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5A-B346-9739-660022943D6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'summary (2)'!$E$28:$E$39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0.45706043226859594</c:v>
                </c:pt>
                <c:pt idx="2">
                  <c:v>0.46591911876639847</c:v>
                </c:pt>
                <c:pt idx="3">
                  <c:v>0.46642325060690892</c:v>
                </c:pt>
                <c:pt idx="4">
                  <c:v>0.51052689022628139</c:v>
                </c:pt>
                <c:pt idx="5">
                  <c:v>0.43201438739346942</c:v>
                </c:pt>
                <c:pt idx="6">
                  <c:v>0.53498112009255749</c:v>
                </c:pt>
                <c:pt idx="7">
                  <c:v>0.47203784183508396</c:v>
                </c:pt>
                <c:pt idx="8">
                  <c:v>0.58151188697169442</c:v>
                </c:pt>
                <c:pt idx="9">
                  <c:v>0.49460858753198089</c:v>
                </c:pt>
                <c:pt idx="10">
                  <c:v>0.4789959389859475</c:v>
                </c:pt>
                <c:pt idx="11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5A-B346-9739-660022943D6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'summary (2)'!$G$28:$G$39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0.4549623520619841</c:v>
                </c:pt>
                <c:pt idx="2">
                  <c:v>0.48244032345215204</c:v>
                </c:pt>
                <c:pt idx="3">
                  <c:v>0.50688441641951854</c:v>
                </c:pt>
                <c:pt idx="4">
                  <c:v>0.59324213701075723</c:v>
                </c:pt>
                <c:pt idx="5">
                  <c:v>0.43740780350056258</c:v>
                </c:pt>
                <c:pt idx="6">
                  <c:v>0.54314416344795446</c:v>
                </c:pt>
                <c:pt idx="7">
                  <c:v>0.52326636241924229</c:v>
                </c:pt>
                <c:pt idx="8">
                  <c:v>0.60365452856062374</c:v>
                </c:pt>
                <c:pt idx="9">
                  <c:v>0.52752881234925186</c:v>
                </c:pt>
                <c:pt idx="10">
                  <c:v>0.47680967158418575</c:v>
                </c:pt>
                <c:pt idx="11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5A-B346-9739-660022943D6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'summary (2)'!$I$28:$I$39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0.50446922548649664</c:v>
                </c:pt>
                <c:pt idx="2">
                  <c:v>0.53511984262444745</c:v>
                </c:pt>
                <c:pt idx="3">
                  <c:v>0.56877451174685079</c:v>
                </c:pt>
                <c:pt idx="4">
                  <c:v>0.62263936366465433</c:v>
                </c:pt>
                <c:pt idx="5">
                  <c:v>0.50253919410053327</c:v>
                </c:pt>
                <c:pt idx="6">
                  <c:v>0.70851657833975368</c:v>
                </c:pt>
                <c:pt idx="7">
                  <c:v>0.61238738983812624</c:v>
                </c:pt>
                <c:pt idx="8">
                  <c:v>0.70364504632698477</c:v>
                </c:pt>
                <c:pt idx="9">
                  <c:v>0.6190754251139341</c:v>
                </c:pt>
                <c:pt idx="10">
                  <c:v>0.57864632619839051</c:v>
                </c:pt>
                <c:pt idx="11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5A-B346-9739-660022943D67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'summary (2)'!$K$28:$K$39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0.56440139666209743</c:v>
                </c:pt>
                <c:pt idx="2">
                  <c:v>0.53950169901013578</c:v>
                </c:pt>
                <c:pt idx="3">
                  <c:v>0.71901845517434682</c:v>
                </c:pt>
                <c:pt idx="4">
                  <c:v>0.67091843535653806</c:v>
                </c:pt>
                <c:pt idx="5">
                  <c:v>0.53907752476538751</c:v>
                </c:pt>
                <c:pt idx="6">
                  <c:v>0.70229589229448108</c:v>
                </c:pt>
                <c:pt idx="7">
                  <c:v>0.68543152610966085</c:v>
                </c:pt>
                <c:pt idx="8">
                  <c:v>0.7917810759862951</c:v>
                </c:pt>
                <c:pt idx="9">
                  <c:v>0.71209472635710058</c:v>
                </c:pt>
                <c:pt idx="10">
                  <c:v>0.60658471085627774</c:v>
                </c:pt>
                <c:pt idx="11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5A-B346-9739-660022943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880464"/>
        <c:axId val="1978014112"/>
      </c:scatterChart>
      <c:valAx>
        <c:axId val="1886880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014112"/>
        <c:crosses val="autoZero"/>
        <c:crossBetween val="midCat"/>
      </c:valAx>
      <c:valAx>
        <c:axId val="1978014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88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528953412073491"/>
                  <c:y val="6.114027413240011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'1200K'!$W$17:$W$26</c:f>
              <c:numCache>
                <c:formatCode>General</c:formatCode>
                <c:ptCount val="10"/>
                <c:pt idx="0">
                  <c:v>0.71550000000000002</c:v>
                </c:pt>
                <c:pt idx="1">
                  <c:v>0.73850000000000005</c:v>
                </c:pt>
                <c:pt idx="2">
                  <c:v>0.70950000000000002</c:v>
                </c:pt>
                <c:pt idx="3">
                  <c:v>0.71499999999999997</c:v>
                </c:pt>
                <c:pt idx="4">
                  <c:v>0.72699999999999998</c:v>
                </c:pt>
                <c:pt idx="5">
                  <c:v>0.71399999999999997</c:v>
                </c:pt>
                <c:pt idx="6">
                  <c:v>0.72650000000000003</c:v>
                </c:pt>
                <c:pt idx="7">
                  <c:v>0.70950000000000002</c:v>
                </c:pt>
                <c:pt idx="8">
                  <c:v>0.72250000000000003</c:v>
                </c:pt>
                <c:pt idx="9">
                  <c:v>0.70699999999999996</c:v>
                </c:pt>
              </c:numCache>
            </c:numRef>
          </c:xVal>
          <c:yVal>
            <c:numRef>
              <c:f>'1200K'!$U$17:$U$26</c:f>
              <c:numCache>
                <c:formatCode>General</c:formatCode>
                <c:ptCount val="10"/>
                <c:pt idx="0">
                  <c:v>-5.8604286725000003</c:v>
                </c:pt>
                <c:pt idx="1">
                  <c:v>-5.9224057869999998</c:v>
                </c:pt>
                <c:pt idx="2">
                  <c:v>-5.8462414459999996</c:v>
                </c:pt>
                <c:pt idx="3">
                  <c:v>-5.8611086155000001</c:v>
                </c:pt>
                <c:pt idx="4">
                  <c:v>-5.8932609624999994</c:v>
                </c:pt>
                <c:pt idx="5">
                  <c:v>-5.8568230974999995</c:v>
                </c:pt>
                <c:pt idx="6">
                  <c:v>-5.8916172960000006</c:v>
                </c:pt>
                <c:pt idx="7">
                  <c:v>-5.8462289854999998</c:v>
                </c:pt>
                <c:pt idx="8">
                  <c:v>-5.8833162049999999</c:v>
                </c:pt>
                <c:pt idx="9">
                  <c:v>-5.8390942080000006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D-0C45-AA12-048078804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956096"/>
        <c:axId val="943948944"/>
      </c:scatterChart>
      <c:valAx>
        <c:axId val="94395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948944"/>
        <c:crosses val="autoZero"/>
        <c:crossBetween val="midCat"/>
      </c:valAx>
      <c:valAx>
        <c:axId val="943948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95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'summary (2)'!$C$42:$C$53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0.5083340391902561</c:v>
                </c:pt>
                <c:pt idx="2">
                  <c:v>0.54603479755484341</c:v>
                </c:pt>
                <c:pt idx="3">
                  <c:v>0.54709137891775317</c:v>
                </c:pt>
                <c:pt idx="4">
                  <c:v>0.59849038685260092</c:v>
                </c:pt>
                <c:pt idx="5">
                  <c:v>0.53215984863180876</c:v>
                </c:pt>
                <c:pt idx="6">
                  <c:v>0.6705576397669597</c:v>
                </c:pt>
                <c:pt idx="7">
                  <c:v>0.59400485673215964</c:v>
                </c:pt>
                <c:pt idx="8">
                  <c:v>0.63024142752933132</c:v>
                </c:pt>
                <c:pt idx="9">
                  <c:v>0.6146765083179252</c:v>
                </c:pt>
                <c:pt idx="10">
                  <c:v>0.63021078588312118</c:v>
                </c:pt>
                <c:pt idx="11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79-3E4B-A6E1-680AC02FE2E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'summary (2)'!$E$42:$E$53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0.50752713181259401</c:v>
                </c:pt>
                <c:pt idx="2">
                  <c:v>0.56074345110259327</c:v>
                </c:pt>
                <c:pt idx="3">
                  <c:v>0.58066129771251918</c:v>
                </c:pt>
                <c:pt idx="4">
                  <c:v>0.65661499860173811</c:v>
                </c:pt>
                <c:pt idx="5">
                  <c:v>0.54405218929043608</c:v>
                </c:pt>
                <c:pt idx="6">
                  <c:v>0.67073669875619579</c:v>
                </c:pt>
                <c:pt idx="7">
                  <c:v>0.55736971209396313</c:v>
                </c:pt>
                <c:pt idx="8">
                  <c:v>0.68652317783616712</c:v>
                </c:pt>
                <c:pt idx="9">
                  <c:v>0.60303925733886643</c:v>
                </c:pt>
                <c:pt idx="10">
                  <c:v>0.54003225299362367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79-3E4B-A6E1-680AC02FE2E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'summary (2)'!$G$42:$G$53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0.56534829633362282</c:v>
                </c:pt>
                <c:pt idx="2">
                  <c:v>0.52781858182593799</c:v>
                </c:pt>
                <c:pt idx="3">
                  <c:v>0.65322922779834725</c:v>
                </c:pt>
                <c:pt idx="4">
                  <c:v>0.66709220970115124</c:v>
                </c:pt>
                <c:pt idx="5">
                  <c:v>0.56166418185040956</c:v>
                </c:pt>
                <c:pt idx="6">
                  <c:v>0.73256422991833903</c:v>
                </c:pt>
                <c:pt idx="7">
                  <c:v>0.61453047407258854</c:v>
                </c:pt>
                <c:pt idx="8">
                  <c:v>0.69127257072056858</c:v>
                </c:pt>
                <c:pt idx="9">
                  <c:v>0.68089572350265937</c:v>
                </c:pt>
                <c:pt idx="10">
                  <c:v>0.59009301032447881</c:v>
                </c:pt>
                <c:pt idx="11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79-3E4B-A6E1-680AC02FE2E2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'summary (2)'!$I$42:$I$53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0.55781623120814561</c:v>
                </c:pt>
                <c:pt idx="2">
                  <c:v>0.60007515969512126</c:v>
                </c:pt>
                <c:pt idx="3">
                  <c:v>0.6589278881700229</c:v>
                </c:pt>
                <c:pt idx="4">
                  <c:v>0.72659026080201961</c:v>
                </c:pt>
                <c:pt idx="5">
                  <c:v>0.63847297340603892</c:v>
                </c:pt>
                <c:pt idx="6">
                  <c:v>0.70906828152054491</c:v>
                </c:pt>
                <c:pt idx="7">
                  <c:v>0.64831502638383631</c:v>
                </c:pt>
                <c:pt idx="8">
                  <c:v>0.75283411265756517</c:v>
                </c:pt>
                <c:pt idx="9">
                  <c:v>0.68281655778275729</c:v>
                </c:pt>
                <c:pt idx="10">
                  <c:v>0.71942725939268926</c:v>
                </c:pt>
                <c:pt idx="11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79-3E4B-A6E1-680AC02FE2E2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'summary (2)'!$K$42:$K$53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0.5426907093168023</c:v>
                </c:pt>
                <c:pt idx="2">
                  <c:v>0.60171954725959631</c:v>
                </c:pt>
                <c:pt idx="3">
                  <c:v>0.69202675312756645</c:v>
                </c:pt>
                <c:pt idx="4">
                  <c:v>0.78239758941842374</c:v>
                </c:pt>
                <c:pt idx="5">
                  <c:v>0.67796771720552729</c:v>
                </c:pt>
                <c:pt idx="6">
                  <c:v>0.81753755626107572</c:v>
                </c:pt>
                <c:pt idx="7">
                  <c:v>0.73227090594083399</c:v>
                </c:pt>
                <c:pt idx="8">
                  <c:v>0.86970621036611706</c:v>
                </c:pt>
                <c:pt idx="9">
                  <c:v>0.7204482213578165</c:v>
                </c:pt>
                <c:pt idx="10">
                  <c:v>0.72939633525480896</c:v>
                </c:pt>
                <c:pt idx="11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79-3E4B-A6E1-680AC02FE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880464"/>
        <c:axId val="1978014112"/>
      </c:scatterChart>
      <c:valAx>
        <c:axId val="1886880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014112"/>
        <c:crosses val="autoZero"/>
        <c:crossBetween val="midCat"/>
      </c:valAx>
      <c:valAx>
        <c:axId val="1978014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88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'summary (2)'!$C$56:$C$67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0.64306204919471954</c:v>
                </c:pt>
                <c:pt idx="2">
                  <c:v>0.68283599852513743</c:v>
                </c:pt>
                <c:pt idx="3">
                  <c:v>0.6787302331240308</c:v>
                </c:pt>
                <c:pt idx="4">
                  <c:v>0.71140427792523897</c:v>
                </c:pt>
                <c:pt idx="5">
                  <c:v>0.64164837941376907</c:v>
                </c:pt>
                <c:pt idx="6">
                  <c:v>0.84341431985590898</c:v>
                </c:pt>
                <c:pt idx="7">
                  <c:v>0.65289041625387401</c:v>
                </c:pt>
                <c:pt idx="8">
                  <c:v>0.82114769652527309</c:v>
                </c:pt>
                <c:pt idx="9">
                  <c:v>0.77292297727916126</c:v>
                </c:pt>
                <c:pt idx="10">
                  <c:v>0.66619978438984384</c:v>
                </c:pt>
                <c:pt idx="11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7E-404B-A016-4423069A918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'summary (2)'!$E$56:$E$67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0.57097902767953934</c:v>
                </c:pt>
                <c:pt idx="2">
                  <c:v>0.63936682510400411</c:v>
                </c:pt>
                <c:pt idx="3">
                  <c:v>0.68909083532181847</c:v>
                </c:pt>
                <c:pt idx="4">
                  <c:v>0.76757343220759666</c:v>
                </c:pt>
                <c:pt idx="5">
                  <c:v>0.59620290292520317</c:v>
                </c:pt>
                <c:pt idx="6">
                  <c:v>0.77328586458369808</c:v>
                </c:pt>
                <c:pt idx="7">
                  <c:v>0.66920414238917059</c:v>
                </c:pt>
                <c:pt idx="8">
                  <c:v>0.80517431410977802</c:v>
                </c:pt>
                <c:pt idx="9">
                  <c:v>0.69790063095787203</c:v>
                </c:pt>
                <c:pt idx="10">
                  <c:v>0.67449775176125093</c:v>
                </c:pt>
                <c:pt idx="11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7E-404B-A016-4423069A918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'summary (2)'!$G$56:$G$67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0.69554936248700372</c:v>
                </c:pt>
                <c:pt idx="2">
                  <c:v>0.74934630337505359</c:v>
                </c:pt>
                <c:pt idx="3">
                  <c:v>0.78231219045359146</c:v>
                </c:pt>
                <c:pt idx="4">
                  <c:v>0.85334866152094335</c:v>
                </c:pt>
                <c:pt idx="5">
                  <c:v>0.73213697269467648</c:v>
                </c:pt>
                <c:pt idx="6">
                  <c:v>0.85008380945375284</c:v>
                </c:pt>
                <c:pt idx="7">
                  <c:v>0.71328699693102549</c:v>
                </c:pt>
                <c:pt idx="8">
                  <c:v>0.80983350786087749</c:v>
                </c:pt>
                <c:pt idx="9">
                  <c:v>0.7844003802747237</c:v>
                </c:pt>
                <c:pt idx="10">
                  <c:v>0.75855072038488358</c:v>
                </c:pt>
                <c:pt idx="11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7E-404B-A016-4423069A918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'summary (2)'!$I$56:$I$67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0.55200792202581861</c:v>
                </c:pt>
                <c:pt idx="2">
                  <c:v>0.54746309252273617</c:v>
                </c:pt>
                <c:pt idx="3">
                  <c:v>0.62510675440874408</c:v>
                </c:pt>
                <c:pt idx="4">
                  <c:v>0.68586907382509787</c:v>
                </c:pt>
                <c:pt idx="5">
                  <c:v>0.62880597003039063</c:v>
                </c:pt>
                <c:pt idx="6">
                  <c:v>0.7452057654355364</c:v>
                </c:pt>
                <c:pt idx="7">
                  <c:v>0.6728054558594776</c:v>
                </c:pt>
                <c:pt idx="8">
                  <c:v>0.69359818170083709</c:v>
                </c:pt>
                <c:pt idx="9">
                  <c:v>0.58340095978401618</c:v>
                </c:pt>
                <c:pt idx="10">
                  <c:v>0.48418262665222722</c:v>
                </c:pt>
                <c:pt idx="11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7E-404B-A016-4423069A918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'summary (2)'!$K$56:$K$67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0.6880801313275412</c:v>
                </c:pt>
                <c:pt idx="2">
                  <c:v>0.704551805730812</c:v>
                </c:pt>
                <c:pt idx="3">
                  <c:v>0.709690524365992</c:v>
                </c:pt>
                <c:pt idx="4">
                  <c:v>0.81701024381584253</c:v>
                </c:pt>
                <c:pt idx="5">
                  <c:v>0.7729759872819908</c:v>
                </c:pt>
                <c:pt idx="6">
                  <c:v>0.8742593577833434</c:v>
                </c:pt>
                <c:pt idx="7">
                  <c:v>0.80386668028955444</c:v>
                </c:pt>
                <c:pt idx="8">
                  <c:v>0.91249517627645482</c:v>
                </c:pt>
                <c:pt idx="9">
                  <c:v>0.77186721640976053</c:v>
                </c:pt>
                <c:pt idx="10">
                  <c:v>0.72259711408944871</c:v>
                </c:pt>
                <c:pt idx="11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7E-404B-A016-4423069A9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880464"/>
        <c:axId val="1978014112"/>
      </c:scatterChart>
      <c:valAx>
        <c:axId val="1886880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014112"/>
        <c:crosses val="autoZero"/>
        <c:crossBetween val="midCat"/>
      </c:valAx>
      <c:valAx>
        <c:axId val="1978014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88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'summary (2)'!$C$70:$C$81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1.1350463228107839</c:v>
                </c:pt>
                <c:pt idx="2">
                  <c:v>1.2317719440012211</c:v>
                </c:pt>
                <c:pt idx="3">
                  <c:v>1.2575636306207927</c:v>
                </c:pt>
                <c:pt idx="4">
                  <c:v>1.3596107083409497</c:v>
                </c:pt>
                <c:pt idx="5">
                  <c:v>1.158933190054289</c:v>
                </c:pt>
                <c:pt idx="6">
                  <c:v>1.4871491531766208</c:v>
                </c:pt>
                <c:pt idx="7">
                  <c:v>1.1620864578396153</c:v>
                </c:pt>
                <c:pt idx="8">
                  <c:v>1.3300600320336577</c:v>
                </c:pt>
                <c:pt idx="9">
                  <c:v>1.2494971613912134</c:v>
                </c:pt>
                <c:pt idx="10">
                  <c:v>1.2142816317849046</c:v>
                </c:pt>
                <c:pt idx="11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A-F241-8F45-BED4F322FF3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'summary (2)'!$E$70:$E$81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1.0828021673624695</c:v>
                </c:pt>
                <c:pt idx="2">
                  <c:v>1.3118367667481547</c:v>
                </c:pt>
                <c:pt idx="3">
                  <c:v>1.1630235038816672</c:v>
                </c:pt>
                <c:pt idx="4">
                  <c:v>1.4313400991924428</c:v>
                </c:pt>
                <c:pt idx="5">
                  <c:v>1.1723719621174393</c:v>
                </c:pt>
                <c:pt idx="6">
                  <c:v>1.3904437175838995</c:v>
                </c:pt>
                <c:pt idx="7">
                  <c:v>1.1841136175251397</c:v>
                </c:pt>
                <c:pt idx="8">
                  <c:v>1.3548137874194304</c:v>
                </c:pt>
                <c:pt idx="9">
                  <c:v>1.3061220404688421</c:v>
                </c:pt>
                <c:pt idx="10">
                  <c:v>1.1261305741444114</c:v>
                </c:pt>
                <c:pt idx="11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DA-F241-8F45-BED4F322FF3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'summary (2)'!$G$70:$G$81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1.0050420818008559</c:v>
                </c:pt>
                <c:pt idx="2">
                  <c:v>1.0534989546112274</c:v>
                </c:pt>
                <c:pt idx="3">
                  <c:v>1.1958572845749351</c:v>
                </c:pt>
                <c:pt idx="4">
                  <c:v>1.1543292015054178</c:v>
                </c:pt>
                <c:pt idx="5">
                  <c:v>1.1066076615883551</c:v>
                </c:pt>
                <c:pt idx="6">
                  <c:v>1.2068383246113981</c:v>
                </c:pt>
                <c:pt idx="7">
                  <c:v>1.1379887245477711</c:v>
                </c:pt>
                <c:pt idx="8">
                  <c:v>1.2881508247173781</c:v>
                </c:pt>
                <c:pt idx="9">
                  <c:v>1.2507758179712294</c:v>
                </c:pt>
                <c:pt idx="10">
                  <c:v>1.051906446855456</c:v>
                </c:pt>
                <c:pt idx="11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DA-F241-8F45-BED4F322FF3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'summary (2)'!$I$70:$I$81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1.1408141442992705</c:v>
                </c:pt>
                <c:pt idx="2">
                  <c:v>1.0755149621198192</c:v>
                </c:pt>
                <c:pt idx="3">
                  <c:v>1.2020641594343822</c:v>
                </c:pt>
                <c:pt idx="4">
                  <c:v>1.432568884536386</c:v>
                </c:pt>
                <c:pt idx="5">
                  <c:v>1.2601185423196442</c:v>
                </c:pt>
                <c:pt idx="6">
                  <c:v>1.3508278648300291</c:v>
                </c:pt>
                <c:pt idx="7">
                  <c:v>1.1457809144080087</c:v>
                </c:pt>
                <c:pt idx="8">
                  <c:v>1.3764559506104899</c:v>
                </c:pt>
                <c:pt idx="9">
                  <c:v>1.1988364056418612</c:v>
                </c:pt>
                <c:pt idx="10">
                  <c:v>1.0700428837586542</c:v>
                </c:pt>
                <c:pt idx="11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DA-F241-8F45-BED4F322FF3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'summary (2)'!$K$70:$K$81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0.90826881017649475</c:v>
                </c:pt>
                <c:pt idx="2">
                  <c:v>1.0725177513955813</c:v>
                </c:pt>
                <c:pt idx="3">
                  <c:v>1.2394538368424743</c:v>
                </c:pt>
                <c:pt idx="4">
                  <c:v>1.2272279015350542</c:v>
                </c:pt>
                <c:pt idx="5">
                  <c:v>1.2686831353351129</c:v>
                </c:pt>
                <c:pt idx="6">
                  <c:v>1.3335481936489106</c:v>
                </c:pt>
                <c:pt idx="7">
                  <c:v>1.2350922897728465</c:v>
                </c:pt>
                <c:pt idx="8">
                  <c:v>1.1764841271180368</c:v>
                </c:pt>
                <c:pt idx="9">
                  <c:v>1.129401541541643</c:v>
                </c:pt>
                <c:pt idx="10">
                  <c:v>1.1990520788250614</c:v>
                </c:pt>
                <c:pt idx="11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DA-F241-8F45-BED4F322F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880464"/>
        <c:axId val="1978014112"/>
      </c:scatterChart>
      <c:valAx>
        <c:axId val="1886880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014112"/>
        <c:crosses val="autoZero"/>
        <c:crossBetween val="midCat"/>
      </c:valAx>
      <c:valAx>
        <c:axId val="1978014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88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587729658792652"/>
                  <c:y val="-0.10230314960629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'300K'!$L$5:$L$14</c:f>
              <c:numCache>
                <c:formatCode>General</c:formatCode>
                <c:ptCount val="10"/>
                <c:pt idx="0">
                  <c:v>0.11849999999999999</c:v>
                </c:pt>
                <c:pt idx="1">
                  <c:v>0.114</c:v>
                </c:pt>
                <c:pt idx="2">
                  <c:v>0.11799999999999999</c:v>
                </c:pt>
                <c:pt idx="3">
                  <c:v>0.1265</c:v>
                </c:pt>
                <c:pt idx="4">
                  <c:v>0.11600000000000001</c:v>
                </c:pt>
                <c:pt idx="5">
                  <c:v>0.11849999999999999</c:v>
                </c:pt>
                <c:pt idx="6">
                  <c:v>0.11600000000000001</c:v>
                </c:pt>
                <c:pt idx="7">
                  <c:v>0.11700000000000001</c:v>
                </c:pt>
                <c:pt idx="8">
                  <c:v>0.1145</c:v>
                </c:pt>
                <c:pt idx="9">
                  <c:v>0.11650000000000001</c:v>
                </c:pt>
              </c:numCache>
            </c:numRef>
          </c:xVal>
          <c:yVal>
            <c:numRef>
              <c:f>'300K'!$J$5:$J$14</c:f>
              <c:numCache>
                <c:formatCode>General</c:formatCode>
                <c:ptCount val="10"/>
                <c:pt idx="0">
                  <c:v>-4.4651184524999996</c:v>
                </c:pt>
                <c:pt idx="1">
                  <c:v>-4.4576237799999996</c:v>
                </c:pt>
                <c:pt idx="2">
                  <c:v>-4.4700403379999996</c:v>
                </c:pt>
                <c:pt idx="3">
                  <c:v>-4.4877462695000006</c:v>
                </c:pt>
                <c:pt idx="4">
                  <c:v>-4.4609997359999998</c:v>
                </c:pt>
                <c:pt idx="5">
                  <c:v>-4.4673275255</c:v>
                </c:pt>
                <c:pt idx="6">
                  <c:v>-4.4599660379999992</c:v>
                </c:pt>
                <c:pt idx="7">
                  <c:v>-4.4646408165000002</c:v>
                </c:pt>
                <c:pt idx="8">
                  <c:v>-4.4589664789999999</c:v>
                </c:pt>
                <c:pt idx="9">
                  <c:v>-4.4636095815000001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07-D140-992B-1F8556F61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956096"/>
        <c:axId val="943948944"/>
      </c:scatterChart>
      <c:valAx>
        <c:axId val="94395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948944"/>
        <c:crosses val="autoZero"/>
        <c:crossBetween val="midCat"/>
      </c:valAx>
      <c:valAx>
        <c:axId val="943948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95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587729658792652"/>
                  <c:y val="-0.10230314960629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'300K'!$L$17:$L$26</c:f>
              <c:numCache>
                <c:formatCode>General</c:formatCode>
                <c:ptCount val="10"/>
                <c:pt idx="0">
                  <c:v>0.218</c:v>
                </c:pt>
                <c:pt idx="1">
                  <c:v>0.19</c:v>
                </c:pt>
                <c:pt idx="2">
                  <c:v>0.21049999999999999</c:v>
                </c:pt>
                <c:pt idx="3">
                  <c:v>0.218</c:v>
                </c:pt>
                <c:pt idx="4">
                  <c:v>0.221</c:v>
                </c:pt>
                <c:pt idx="5">
                  <c:v>0.2135</c:v>
                </c:pt>
                <c:pt idx="6">
                  <c:v>0.21149999999999999</c:v>
                </c:pt>
                <c:pt idx="7">
                  <c:v>0.20250000000000001</c:v>
                </c:pt>
                <c:pt idx="8">
                  <c:v>0.218</c:v>
                </c:pt>
                <c:pt idx="9">
                  <c:v>0.20499999999999999</c:v>
                </c:pt>
              </c:numCache>
            </c:numRef>
          </c:xVal>
          <c:yVal>
            <c:numRef>
              <c:f>'300K'!$J$17:$J$26</c:f>
              <c:numCache>
                <c:formatCode>General</c:formatCode>
                <c:ptCount val="10"/>
                <c:pt idx="0">
                  <c:v>-4.7146201364999998</c:v>
                </c:pt>
                <c:pt idx="1">
                  <c:v>-4.6431273085000004</c:v>
                </c:pt>
                <c:pt idx="2">
                  <c:v>-4.6962996599999993</c:v>
                </c:pt>
                <c:pt idx="3">
                  <c:v>-4.7169832290000002</c:v>
                </c:pt>
                <c:pt idx="4">
                  <c:v>-4.7218455419999996</c:v>
                </c:pt>
                <c:pt idx="5">
                  <c:v>-4.7049013820000001</c:v>
                </c:pt>
                <c:pt idx="6">
                  <c:v>-4.6988997509999999</c:v>
                </c:pt>
                <c:pt idx="7">
                  <c:v>-4.6752383355000005</c:v>
                </c:pt>
                <c:pt idx="8">
                  <c:v>-4.7154200714999996</c:v>
                </c:pt>
                <c:pt idx="9">
                  <c:v>-4.6821691495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09-A546-91F0-EF6E36948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956096"/>
        <c:axId val="943948944"/>
      </c:scatterChart>
      <c:valAx>
        <c:axId val="94395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948944"/>
        <c:crosses val="autoZero"/>
        <c:crossBetween val="midCat"/>
      </c:valAx>
      <c:valAx>
        <c:axId val="943948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95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587729658792652"/>
                  <c:y val="-0.10230314960629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'300K'!$W$5:$W$14</c:f>
              <c:numCache>
                <c:formatCode>General</c:formatCode>
                <c:ptCount val="10"/>
                <c:pt idx="0">
                  <c:v>0.29349999999999998</c:v>
                </c:pt>
                <c:pt idx="1">
                  <c:v>0.315</c:v>
                </c:pt>
                <c:pt idx="2">
                  <c:v>0.29299999999999998</c:v>
                </c:pt>
                <c:pt idx="3">
                  <c:v>0.29799999999999999</c:v>
                </c:pt>
                <c:pt idx="4">
                  <c:v>0.30199999999999999</c:v>
                </c:pt>
                <c:pt idx="5">
                  <c:v>0.3085</c:v>
                </c:pt>
                <c:pt idx="6">
                  <c:v>0.308</c:v>
                </c:pt>
                <c:pt idx="7">
                  <c:v>0.3165</c:v>
                </c:pt>
                <c:pt idx="8">
                  <c:v>0.3105</c:v>
                </c:pt>
                <c:pt idx="9">
                  <c:v>0.30399999999999999</c:v>
                </c:pt>
              </c:numCache>
            </c:numRef>
          </c:xVal>
          <c:yVal>
            <c:numRef>
              <c:f>'300K'!$U$5:$U$14</c:f>
              <c:numCache>
                <c:formatCode>General</c:formatCode>
                <c:ptCount val="10"/>
                <c:pt idx="0">
                  <c:v>-4.9088423455000001</c:v>
                </c:pt>
                <c:pt idx="1">
                  <c:v>-4.9616892164999999</c:v>
                </c:pt>
                <c:pt idx="2">
                  <c:v>-4.904920433</c:v>
                </c:pt>
                <c:pt idx="3">
                  <c:v>-4.9170372795000006</c:v>
                </c:pt>
                <c:pt idx="4">
                  <c:v>-4.9275797169999995</c:v>
                </c:pt>
                <c:pt idx="5">
                  <c:v>-4.9447991240000002</c:v>
                </c:pt>
                <c:pt idx="6">
                  <c:v>-4.9437742710000006</c:v>
                </c:pt>
                <c:pt idx="7">
                  <c:v>-4.9650908454999998</c:v>
                </c:pt>
                <c:pt idx="8">
                  <c:v>-4.9493322959999997</c:v>
                </c:pt>
                <c:pt idx="9">
                  <c:v>-4.9339803085000007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EF-D44F-B5ED-B65453A27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956096"/>
        <c:axId val="943948944"/>
      </c:scatterChart>
      <c:valAx>
        <c:axId val="94395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948944"/>
        <c:crosses val="autoZero"/>
        <c:crossBetween val="midCat"/>
      </c:valAx>
      <c:valAx>
        <c:axId val="943948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95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539750</xdr:colOff>
      <xdr:row>9</xdr:row>
      <xdr:rowOff>19050</xdr:rowOff>
    </xdr:from>
    <xdr:to>
      <xdr:col>12</xdr:col>
      <xdr:colOff>736600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A33C26-800E-1F45-A32C-51B787AC19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203200</xdr:colOff>
      <xdr:row>8</xdr:row>
      <xdr:rowOff>114300</xdr:rowOff>
    </xdr:from>
    <xdr:to>
      <xdr:col>20</xdr:col>
      <xdr:colOff>647700</xdr:colOff>
      <xdr:row>22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48553F-FBF6-4249-882B-AED4522831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95250</xdr:colOff>
      <xdr:row>25</xdr:row>
      <xdr:rowOff>95250</xdr:rowOff>
    </xdr:from>
    <xdr:to>
      <xdr:col>18</xdr:col>
      <xdr:colOff>539750</xdr:colOff>
      <xdr:row>38</xdr:row>
      <xdr:rowOff>196850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D6C95D-BE93-FE49-8825-E0EF43CE7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88900</xdr:colOff>
      <xdr:row>40</xdr:row>
      <xdr:rowOff>0</xdr:rowOff>
    </xdr:from>
    <xdr:to>
      <xdr:col>18</xdr:col>
      <xdr:colOff>533400</xdr:colOff>
      <xdr:row>53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E07E12-1718-5A4B-8782-5B0B474BEF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12700</xdr:colOff>
      <xdr:row>54</xdr:row>
      <xdr:rowOff>88900</xdr:rowOff>
    </xdr:from>
    <xdr:to>
      <xdr:col>18</xdr:col>
      <xdr:colOff>457200</xdr:colOff>
      <xdr:row>67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CBAB742-9EA3-A245-93C7-F3AD8D19B7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50800</xdr:colOff>
      <xdr:row>68</xdr:row>
      <xdr:rowOff>152400</xdr:rowOff>
    </xdr:from>
    <xdr:to>
      <xdr:col>18</xdr:col>
      <xdr:colOff>495300</xdr:colOff>
      <xdr:row>82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71F183C-F18E-8441-9F7D-4B3CB1E837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95250</xdr:colOff>
      <xdr:row>1</xdr:row>
      <xdr:rowOff>50800</xdr:rowOff>
    </xdr:from>
    <xdr:to>
      <xdr:col>16</xdr:col>
      <xdr:colOff>450850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74F8A9-9B1C-0044-807A-AE15B62FD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88900</xdr:colOff>
      <xdr:row>15</xdr:row>
      <xdr:rowOff>12700</xdr:rowOff>
    </xdr:from>
    <xdr:to>
      <xdr:col>16</xdr:col>
      <xdr:colOff>444500</xdr:colOff>
      <xdr:row>28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59097A-3361-804A-831C-E84EBD3D2F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266700</xdr:colOff>
      <xdr:row>1</xdr:row>
      <xdr:rowOff>25400</xdr:rowOff>
    </xdr:from>
    <xdr:to>
      <xdr:col>27</xdr:col>
      <xdr:colOff>622300</xdr:colOff>
      <xdr:row>14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17B8B9-86A5-8E44-A0BF-6E6D1F0055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127000</xdr:colOff>
      <xdr:row>15</xdr:row>
      <xdr:rowOff>25400</xdr:rowOff>
    </xdr:from>
    <xdr:to>
      <xdr:col>27</xdr:col>
      <xdr:colOff>482600</xdr:colOff>
      <xdr:row>28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D5E7BF-419A-4242-8EB2-B997473544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323850</xdr:colOff>
      <xdr:row>33</xdr:row>
      <xdr:rowOff>57150</xdr:rowOff>
    </xdr:from>
    <xdr:to>
      <xdr:col>28</xdr:col>
      <xdr:colOff>114300</xdr:colOff>
      <xdr:row>46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6A88FE8-1A5B-1843-84E4-EC8E98113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95250</xdr:colOff>
      <xdr:row>1</xdr:row>
      <xdr:rowOff>50800</xdr:rowOff>
    </xdr:from>
    <xdr:to>
      <xdr:col>16</xdr:col>
      <xdr:colOff>450850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DD7C13-A26D-9241-BE6D-9ABC07898C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16</xdr:col>
      <xdr:colOff>355600</xdr:colOff>
      <xdr:row>30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0DC1C4E-F4B3-F947-8A1D-003D1ECD8A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266700</xdr:colOff>
      <xdr:row>0</xdr:row>
      <xdr:rowOff>63500</xdr:rowOff>
    </xdr:from>
    <xdr:to>
      <xdr:col>27</xdr:col>
      <xdr:colOff>622300</xdr:colOff>
      <xdr:row>13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35CC609-25B1-E349-AD8F-C3CEC4C62E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406400</xdr:colOff>
      <xdr:row>15</xdr:row>
      <xdr:rowOff>76200</xdr:rowOff>
    </xdr:from>
    <xdr:to>
      <xdr:col>27</xdr:col>
      <xdr:colOff>762000</xdr:colOff>
      <xdr:row>28</xdr:row>
      <xdr:rowOff>177800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FABCCD6-D4AA-D24E-A3D2-A8F6161180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95250</xdr:colOff>
      <xdr:row>1</xdr:row>
      <xdr:rowOff>50800</xdr:rowOff>
    </xdr:from>
    <xdr:to>
      <xdr:col>16</xdr:col>
      <xdr:colOff>450850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DE6B43-5D0D-6045-B608-8CEDE3963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88900</xdr:colOff>
      <xdr:row>15</xdr:row>
      <xdr:rowOff>12700</xdr:rowOff>
    </xdr:from>
    <xdr:to>
      <xdr:col>16</xdr:col>
      <xdr:colOff>444500</xdr:colOff>
      <xdr:row>28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7CA6E2-8DAB-414C-BF51-72C0B7A173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381000</xdr:colOff>
      <xdr:row>1</xdr:row>
      <xdr:rowOff>50800</xdr:rowOff>
    </xdr:from>
    <xdr:to>
      <xdr:col>27</xdr:col>
      <xdr:colOff>736600</xdr:colOff>
      <xdr:row>14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6AC860D-BE95-F849-ACFD-E0E39B639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355600</xdr:colOff>
      <xdr:row>15</xdr:row>
      <xdr:rowOff>76200</xdr:rowOff>
    </xdr:from>
    <xdr:to>
      <xdr:col>27</xdr:col>
      <xdr:colOff>711200</xdr:colOff>
      <xdr:row>28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43BFB2-3CC0-9F46-AF6D-3AB1E70D80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95250</xdr:colOff>
      <xdr:row>1</xdr:row>
      <xdr:rowOff>50800</xdr:rowOff>
    </xdr:from>
    <xdr:to>
      <xdr:col>16</xdr:col>
      <xdr:colOff>450850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34FD7D-71CC-D742-BFAA-26E706653F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139700</xdr:colOff>
      <xdr:row>15</xdr:row>
      <xdr:rowOff>139700</xdr:rowOff>
    </xdr:from>
    <xdr:to>
      <xdr:col>16</xdr:col>
      <xdr:colOff>495300</xdr:colOff>
      <xdr:row>29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EFC9B5-52A2-7A4E-881F-3A6EAF85D4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215900</xdr:colOff>
      <xdr:row>1</xdr:row>
      <xdr:rowOff>114300</xdr:rowOff>
    </xdr:from>
    <xdr:to>
      <xdr:col>27</xdr:col>
      <xdr:colOff>571500</xdr:colOff>
      <xdr:row>15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81695D-B18E-004C-9052-18DE0ED7D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304800</xdr:colOff>
      <xdr:row>15</xdr:row>
      <xdr:rowOff>127000</xdr:rowOff>
    </xdr:from>
    <xdr:to>
      <xdr:col>27</xdr:col>
      <xdr:colOff>660400</xdr:colOff>
      <xdr:row>29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A8D4E9-43B9-7346-8D2F-AED94D7AFA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723900</xdr:colOff>
      <xdr:row>29</xdr:row>
      <xdr:rowOff>69850</xdr:rowOff>
    </xdr:from>
    <xdr:to>
      <xdr:col>35</xdr:col>
      <xdr:colOff>596900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5FA475B-32AC-224B-80B5-1849B613F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304800</xdr:colOff>
      <xdr:row>5</xdr:row>
      <xdr:rowOff>0</xdr:rowOff>
    </xdr:from>
    <xdr:to>
      <xdr:col>34</xdr:col>
      <xdr:colOff>317500</xdr:colOff>
      <xdr:row>26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6D16129-EEC5-1E49-8A86-9B1FA5C103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0</xdr:colOff>
      <xdr:row>49</xdr:row>
      <xdr:rowOff>0</xdr:rowOff>
    </xdr:from>
    <xdr:to>
      <xdr:col>35</xdr:col>
      <xdr:colOff>698500</xdr:colOff>
      <xdr:row>67</xdr:row>
      <xdr:rowOff>82550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868FE19-D113-FF43-9421-F7BA8C30B2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95250</xdr:colOff>
      <xdr:row>1</xdr:row>
      <xdr:rowOff>50800</xdr:rowOff>
    </xdr:from>
    <xdr:to>
      <xdr:col>16</xdr:col>
      <xdr:colOff>450850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150D79-4624-964D-9D5D-900A12CF31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228600</xdr:colOff>
      <xdr:row>1</xdr:row>
      <xdr:rowOff>76200</xdr:rowOff>
    </xdr:from>
    <xdr:to>
      <xdr:col>27</xdr:col>
      <xdr:colOff>584200</xdr:colOff>
      <xdr:row>14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7AE01-2C9B-3743-B709-D0A41C76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190500</xdr:colOff>
      <xdr:row>16</xdr:row>
      <xdr:rowOff>63500</xdr:rowOff>
    </xdr:from>
    <xdr:to>
      <xdr:col>16</xdr:col>
      <xdr:colOff>546100</xdr:colOff>
      <xdr:row>29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AB8E9F-7D47-FA42-BBFF-76FF50F139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177800</xdr:colOff>
      <xdr:row>15</xdr:row>
      <xdr:rowOff>101600</xdr:rowOff>
    </xdr:from>
    <xdr:to>
      <xdr:col>27</xdr:col>
      <xdr:colOff>533400</xdr:colOff>
      <xdr:row>29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7DF8F2-5085-5B44-9A87-5D8C3E2CA7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70CEE-2DF4-954B-956D-2A8F21CC9942}">
  <dimension ref="B1:P82"/>
  <sheetViews>
    <sheetView tabSelected="1" workbookViewId="0">
      <selection activeCell="O11" sqref="O11"/>
    </sheetView>
  </sheetViews>
  <sheetFormatPr baseColWidth="10" defaultRowHeight="16" x14ac:dyDescent="0.2"/>
  <sheetData>
    <row r="1" spans="2:16" ht="17" thickBot="1" x14ac:dyDescent="0.25"/>
    <row r="2" spans="2:16" x14ac:dyDescent="0.2">
      <c r="H2" s="7"/>
      <c r="I2" s="8">
        <v>0</v>
      </c>
      <c r="J2" s="9">
        <v>0.11542192046556742</v>
      </c>
      <c r="K2" s="9">
        <v>0.2159709618874773</v>
      </c>
      <c r="L2" s="9">
        <v>0.30434782608695649</v>
      </c>
      <c r="M2" s="9">
        <v>0.71257485029940115</v>
      </c>
      <c r="N2" s="10">
        <v>1</v>
      </c>
    </row>
    <row r="3" spans="2:16" x14ac:dyDescent="0.2">
      <c r="B3" t="s">
        <v>59</v>
      </c>
      <c r="H3" s="11"/>
      <c r="I3" s="12"/>
      <c r="J3" s="12"/>
      <c r="K3" s="12"/>
      <c r="L3" s="12"/>
      <c r="M3" s="12"/>
      <c r="N3" s="13"/>
      <c r="P3" t="s">
        <v>61</v>
      </c>
    </row>
    <row r="4" spans="2:16" x14ac:dyDescent="0.2">
      <c r="H4" s="11">
        <v>600</v>
      </c>
      <c r="I4" s="14">
        <v>0.40607829346140145</v>
      </c>
      <c r="J4" s="14">
        <v>0.43599597997343748</v>
      </c>
      <c r="K4" s="14">
        <v>0.55816681231918397</v>
      </c>
      <c r="L4" s="14">
        <v>0.62825394555811465</v>
      </c>
      <c r="M4" s="14">
        <v>1.1304234683198486</v>
      </c>
      <c r="N4" s="15">
        <v>1.6342582638605947</v>
      </c>
      <c r="P4" t="s">
        <v>62</v>
      </c>
    </row>
    <row r="5" spans="2:16" x14ac:dyDescent="0.2">
      <c r="B5" t="s">
        <v>60</v>
      </c>
      <c r="H5" s="11">
        <v>800</v>
      </c>
      <c r="I5" s="14">
        <v>0.48145343263143292</v>
      </c>
      <c r="J5" s="14">
        <v>0.49488666106981849</v>
      </c>
      <c r="K5" s="14">
        <v>0.58749283895511772</v>
      </c>
      <c r="L5" s="14">
        <v>0.6464677547908636</v>
      </c>
      <c r="M5" s="14">
        <v>1.1122356214745128</v>
      </c>
      <c r="N5" s="15">
        <v>1.6330472918992343</v>
      </c>
    </row>
    <row r="6" spans="2:16" x14ac:dyDescent="0.2">
      <c r="H6" s="11">
        <v>1000</v>
      </c>
      <c r="I6" s="14">
        <v>0.52569783844204221</v>
      </c>
      <c r="J6" s="14">
        <v>0.5467033590692989</v>
      </c>
      <c r="K6" s="14">
        <v>0.63413885803764647</v>
      </c>
      <c r="L6" s="14">
        <v>0.66771393726475647</v>
      </c>
      <c r="M6" s="14">
        <v>1.162464376933189</v>
      </c>
      <c r="N6" s="15">
        <v>1.6535091467471457</v>
      </c>
    </row>
    <row r="7" spans="2:16" ht="17" thickBot="1" x14ac:dyDescent="0.25">
      <c r="H7" s="16">
        <v>1200</v>
      </c>
      <c r="I7" s="17">
        <v>0.70465618893488702</v>
      </c>
      <c r="J7" s="17">
        <v>0.65331013805528448</v>
      </c>
      <c r="K7" s="17">
        <v>0.69817505043730599</v>
      </c>
      <c r="L7" s="17">
        <v>0.68781704402271271</v>
      </c>
      <c r="M7" s="17">
        <v>1.17394702806994</v>
      </c>
      <c r="N7" s="18">
        <v>1.6659914956822086</v>
      </c>
    </row>
    <row r="11" spans="2:16" x14ac:dyDescent="0.2">
      <c r="C11" t="s">
        <v>1</v>
      </c>
      <c r="D11" t="s">
        <v>10</v>
      </c>
      <c r="E11" t="s">
        <v>27</v>
      </c>
      <c r="F11" t="s">
        <v>28</v>
      </c>
      <c r="G11" t="s">
        <v>29</v>
      </c>
      <c r="H11" t="s">
        <v>2</v>
      </c>
    </row>
    <row r="12" spans="2:16" x14ac:dyDescent="0.2">
      <c r="C12" s="1">
        <v>0</v>
      </c>
      <c r="D12" s="1">
        <v>0.12</v>
      </c>
      <c r="E12" s="1">
        <v>0.22</v>
      </c>
      <c r="F12" s="1">
        <v>0.3</v>
      </c>
      <c r="G12" s="1">
        <v>0.71</v>
      </c>
      <c r="H12" s="1">
        <v>1</v>
      </c>
    </row>
    <row r="13" spans="2:16" x14ac:dyDescent="0.2">
      <c r="B13" s="1">
        <v>300</v>
      </c>
      <c r="D13" s="6">
        <v>0.48887745334661548</v>
      </c>
      <c r="E13" s="6">
        <v>0.58718016693767594</v>
      </c>
      <c r="F13" s="6">
        <v>0.71142561324869569</v>
      </c>
      <c r="G13" s="6">
        <v>1.2586000232054046</v>
      </c>
    </row>
    <row r="14" spans="2:16" x14ac:dyDescent="0.2">
      <c r="B14" s="1">
        <v>600</v>
      </c>
      <c r="D14" s="6">
        <v>0.49056483507699677</v>
      </c>
      <c r="E14" s="6">
        <v>0.59073001675386971</v>
      </c>
      <c r="F14" s="6">
        <v>0.68832757270399325</v>
      </c>
      <c r="G14" s="6">
        <v>1.2522998236443896</v>
      </c>
    </row>
    <row r="15" spans="2:16" x14ac:dyDescent="0.2">
      <c r="B15" s="1">
        <v>800</v>
      </c>
      <c r="D15" s="6">
        <v>0.51493405708062334</v>
      </c>
      <c r="E15" s="6">
        <v>0.62845085060481021</v>
      </c>
      <c r="F15" s="6">
        <v>0.77288489054365317</v>
      </c>
      <c r="G15" s="6">
        <v>1.1450995322784023</v>
      </c>
    </row>
    <row r="16" spans="2:16" x14ac:dyDescent="0.2">
      <c r="B16" s="1">
        <v>1000</v>
      </c>
      <c r="D16" s="6">
        <v>0.59558129034401708</v>
      </c>
      <c r="E16" s="6">
        <v>0.66943437510187409</v>
      </c>
      <c r="F16" s="6">
        <v>0.62184458022448819</v>
      </c>
      <c r="G16" s="6">
        <v>1.2253024711958544</v>
      </c>
    </row>
    <row r="17" spans="2:12" x14ac:dyDescent="0.2">
      <c r="B17" s="1">
        <v>1200</v>
      </c>
      <c r="D17" s="6">
        <v>0.65311054425723203</v>
      </c>
      <c r="E17" s="6">
        <v>0.71661615455085692</v>
      </c>
      <c r="F17" s="6">
        <v>0.77773942373707405</v>
      </c>
      <c r="G17" s="6">
        <v>1.1789729666191218</v>
      </c>
    </row>
    <row r="19" spans="2:12" x14ac:dyDescent="0.2">
      <c r="B19" t="s">
        <v>67</v>
      </c>
      <c r="D19" s="6">
        <f>D14-J4</f>
        <v>5.4568855103559299E-2</v>
      </c>
      <c r="E19" s="6">
        <f>E14-K4</f>
        <v>3.2563204434685744E-2</v>
      </c>
      <c r="F19" s="6">
        <f>F14-L4</f>
        <v>6.0073627145878605E-2</v>
      </c>
      <c r="G19" s="6">
        <f>G14-M4</f>
        <v>0.121876355324541</v>
      </c>
    </row>
    <row r="20" spans="2:12" x14ac:dyDescent="0.2">
      <c r="D20" s="6">
        <f>D15-J5</f>
        <v>2.0047396010804852E-2</v>
      </c>
      <c r="E20" s="6">
        <f>E15-K5</f>
        <v>4.0958011649692483E-2</v>
      </c>
      <c r="F20" s="6">
        <f>F15-L5</f>
        <v>0.12641713575278957</v>
      </c>
      <c r="G20" s="6">
        <f>G15-M5</f>
        <v>3.2863910803889507E-2</v>
      </c>
    </row>
    <row r="21" spans="2:12" x14ac:dyDescent="0.2">
      <c r="D21" s="6">
        <f>D16-J6</f>
        <v>4.8877931274718178E-2</v>
      </c>
      <c r="E21" s="6">
        <f>E16-K6</f>
        <v>3.5295517064227622E-2</v>
      </c>
      <c r="F21" s="6">
        <f>F16-L6</f>
        <v>-4.5869357040268288E-2</v>
      </c>
      <c r="G21" s="6">
        <f>G16-M6</f>
        <v>6.28380942626654E-2</v>
      </c>
    </row>
    <row r="22" spans="2:12" x14ac:dyDescent="0.2">
      <c r="D22" s="6">
        <f>D17-J7</f>
        <v>-1.9959379805245536E-4</v>
      </c>
      <c r="E22" s="6">
        <f>E17-K7</f>
        <v>1.8441104113550932E-2</v>
      </c>
      <c r="F22" s="6">
        <f>F17-L7</f>
        <v>8.9922379714361345E-2</v>
      </c>
      <c r="G22" s="6">
        <f>G17-M7</f>
        <v>5.0259385491817632E-3</v>
      </c>
    </row>
    <row r="26" spans="2:12" x14ac:dyDescent="0.2">
      <c r="C26" t="s">
        <v>3</v>
      </c>
      <c r="E26">
        <v>600</v>
      </c>
      <c r="G26">
        <v>800</v>
      </c>
      <c r="I26">
        <v>1000</v>
      </c>
      <c r="K26">
        <v>1200</v>
      </c>
    </row>
    <row r="27" spans="2:12" x14ac:dyDescent="0.2">
      <c r="C27" t="s">
        <v>10</v>
      </c>
      <c r="E27" t="s">
        <v>10</v>
      </c>
      <c r="G27" t="s">
        <v>10</v>
      </c>
      <c r="I27" t="s">
        <v>10</v>
      </c>
      <c r="K27" t="s">
        <v>10</v>
      </c>
    </row>
    <row r="28" spans="2:12" x14ac:dyDescent="0.2">
      <c r="C28">
        <v>0</v>
      </c>
      <c r="E28">
        <v>0</v>
      </c>
      <c r="G28">
        <v>0</v>
      </c>
      <c r="I28">
        <v>0</v>
      </c>
      <c r="K28">
        <v>0</v>
      </c>
    </row>
    <row r="29" spans="2:12" x14ac:dyDescent="0.2">
      <c r="C29" s="4">
        <v>0.44465985394754454</v>
      </c>
      <c r="D29" s="6">
        <v>4.7351574993574251E-2</v>
      </c>
      <c r="E29" s="4">
        <v>0.45706043226859594</v>
      </c>
      <c r="F29" s="6">
        <v>2.2208141765890359E-2</v>
      </c>
      <c r="G29" s="4">
        <v>0.4549623520619841</v>
      </c>
      <c r="H29" s="6">
        <v>5.2022238523068746E-2</v>
      </c>
      <c r="I29" s="4">
        <v>0.50446922548649664</v>
      </c>
      <c r="J29" s="6">
        <v>2.0741941050602973E-2</v>
      </c>
      <c r="K29" s="4">
        <v>0.56440139666209743</v>
      </c>
      <c r="L29" s="6">
        <v>2.1634053294481165E-2</v>
      </c>
    </row>
    <row r="30" spans="2:12" x14ac:dyDescent="0.2">
      <c r="C30" s="4">
        <v>0.46894882259020398</v>
      </c>
      <c r="D30" s="6">
        <v>5.5552887633633787E-2</v>
      </c>
      <c r="E30" s="4">
        <v>0.46591911876639847</v>
      </c>
      <c r="F30" s="6">
        <v>2.6890259110014851E-2</v>
      </c>
      <c r="G30" s="4">
        <v>0.48244032345215204</v>
      </c>
      <c r="H30" s="6">
        <v>4.6561161308143702E-2</v>
      </c>
      <c r="I30" s="4">
        <v>0.53511984262444745</v>
      </c>
      <c r="J30" s="6">
        <v>5.0358529075259305E-2</v>
      </c>
      <c r="K30" s="4">
        <v>0.53950169901013578</v>
      </c>
      <c r="L30" s="6">
        <v>9.3559864459006797E-2</v>
      </c>
    </row>
    <row r="31" spans="2:12" x14ac:dyDescent="0.2">
      <c r="C31" s="4">
        <v>0.49917983657298343</v>
      </c>
      <c r="D31" s="6">
        <v>4.751312665562088E-2</v>
      </c>
      <c r="E31" s="4">
        <v>0.46642325060690892</v>
      </c>
      <c r="F31" s="6">
        <v>1.9255880149228733E-2</v>
      </c>
      <c r="G31" s="4">
        <v>0.50688441641951854</v>
      </c>
      <c r="H31" s="6">
        <v>6.1982564894969304E-2</v>
      </c>
      <c r="I31" s="4">
        <v>0.56877451174685079</v>
      </c>
      <c r="J31" s="6">
        <v>4.7048404166924365E-2</v>
      </c>
      <c r="K31" s="4">
        <v>0.71901845517434682</v>
      </c>
      <c r="L31" s="6">
        <v>4.6460392782902149E-2</v>
      </c>
    </row>
    <row r="32" spans="2:12" x14ac:dyDescent="0.2">
      <c r="C32" s="4">
        <v>0.56514363468329187</v>
      </c>
      <c r="D32" s="6">
        <v>5.1030459803631981E-2</v>
      </c>
      <c r="E32" s="4">
        <v>0.51052689022628139</v>
      </c>
      <c r="F32" s="6">
        <v>1.1402135040670513E-2</v>
      </c>
      <c r="G32" s="4">
        <v>0.59324213701075723</v>
      </c>
      <c r="H32" s="6">
        <v>6.5276732915219987E-2</v>
      </c>
      <c r="I32" s="4">
        <v>0.62263936366465433</v>
      </c>
      <c r="J32" s="6">
        <v>4.4767418352776332E-2</v>
      </c>
      <c r="K32" s="4">
        <v>0.67091843535653806</v>
      </c>
      <c r="L32" s="6">
        <v>6.9272525864162937E-2</v>
      </c>
    </row>
    <row r="33" spans="3:12" x14ac:dyDescent="0.2">
      <c r="C33" s="4">
        <v>0.40288646784162302</v>
      </c>
      <c r="D33" s="6">
        <v>3.4052652354069055E-2</v>
      </c>
      <c r="E33" s="4">
        <v>0.43201438739346942</v>
      </c>
      <c r="F33" s="6">
        <v>1.3894137911562075E-2</v>
      </c>
      <c r="G33" s="4">
        <v>0.43740780350056258</v>
      </c>
      <c r="H33" s="6">
        <v>6.1366310794086637E-2</v>
      </c>
      <c r="I33" s="4">
        <v>0.50253919410053327</v>
      </c>
      <c r="J33" s="6">
        <v>5.1701935593729285E-2</v>
      </c>
      <c r="K33" s="4">
        <v>0.53907752476538751</v>
      </c>
      <c r="L33" s="6">
        <v>1.9644902740656122E-2</v>
      </c>
    </row>
    <row r="34" spans="3:12" x14ac:dyDescent="0.2">
      <c r="C34" s="4">
        <v>0.53598227237116569</v>
      </c>
      <c r="D34" s="6">
        <v>2.1852434847708827E-2</v>
      </c>
      <c r="E34" s="4">
        <v>0.53498112009255749</v>
      </c>
      <c r="F34" s="6">
        <v>3.430878986983877E-2</v>
      </c>
      <c r="G34" s="4">
        <v>0.54314416344795446</v>
      </c>
      <c r="H34" s="6">
        <v>5.8979440054687575E-2</v>
      </c>
      <c r="I34" s="4">
        <v>0.70851657833975368</v>
      </c>
      <c r="J34" s="6">
        <v>5.0025695267800166E-2</v>
      </c>
      <c r="K34" s="4">
        <v>0.70229589229448108</v>
      </c>
      <c r="L34" s="6">
        <v>0.10339238199161391</v>
      </c>
    </row>
    <row r="35" spans="3:12" x14ac:dyDescent="0.2">
      <c r="C35" s="4">
        <v>0.42087263802782304</v>
      </c>
      <c r="D35" s="6">
        <v>3.4253639990180731E-2</v>
      </c>
      <c r="E35" s="4">
        <v>0.47203784183508396</v>
      </c>
      <c r="F35" s="6">
        <v>2.3641957491298413E-2</v>
      </c>
      <c r="G35" s="4">
        <v>0.52326636241924229</v>
      </c>
      <c r="H35" s="6">
        <v>2.254255986815859E-2</v>
      </c>
      <c r="I35" s="4">
        <v>0.61238738983812624</v>
      </c>
      <c r="J35" s="6">
        <v>1.4357153813707205E-2</v>
      </c>
      <c r="K35" s="4">
        <v>0.68543152610966085</v>
      </c>
      <c r="L35" s="6">
        <v>2.1892526356167879E-2</v>
      </c>
    </row>
    <row r="36" spans="3:12" x14ac:dyDescent="0.2">
      <c r="C36" s="4">
        <v>0.54475518656878408</v>
      </c>
      <c r="D36" s="6">
        <v>8.3128903014754965E-2</v>
      </c>
      <c r="E36" s="4">
        <v>0.58151188697169442</v>
      </c>
      <c r="F36" s="6">
        <v>5.0357849004400289E-2</v>
      </c>
      <c r="G36" s="4">
        <v>0.60365452856062374</v>
      </c>
      <c r="H36" s="6">
        <v>5.3507938686556296E-2</v>
      </c>
      <c r="I36" s="4">
        <v>0.70364504632698477</v>
      </c>
      <c r="J36" s="6">
        <v>3.6825995774503691E-2</v>
      </c>
      <c r="K36" s="4">
        <v>0.7917810759862951</v>
      </c>
      <c r="L36" s="6">
        <v>0.10981560612512764</v>
      </c>
    </row>
    <row r="37" spans="3:12" x14ac:dyDescent="0.2">
      <c r="C37" s="4">
        <v>0.53728565842313691</v>
      </c>
      <c r="D37" s="6">
        <v>3.9394064958688614E-2</v>
      </c>
      <c r="E37" s="4">
        <v>0.49460858753198089</v>
      </c>
      <c r="F37" s="6">
        <v>4.031486575879558E-2</v>
      </c>
      <c r="G37" s="4">
        <v>0.52752881234925186</v>
      </c>
      <c r="H37" s="6">
        <v>3.9008465774174717E-2</v>
      </c>
      <c r="I37" s="4">
        <v>0.6190754251139341</v>
      </c>
      <c r="J37" s="6">
        <v>4.2266030598793851E-2</v>
      </c>
      <c r="K37" s="4">
        <v>0.71209472635710058</v>
      </c>
      <c r="L37" s="6">
        <v>0.11882410254495938</v>
      </c>
    </row>
    <row r="38" spans="3:12" x14ac:dyDescent="0.2">
      <c r="C38" s="4">
        <v>0.46906016243959786</v>
      </c>
      <c r="D38" s="6">
        <v>5.6160318163827418E-2</v>
      </c>
      <c r="E38" s="4">
        <v>0.4789959389859475</v>
      </c>
      <c r="F38" s="6">
        <v>2.770397306845768E-2</v>
      </c>
      <c r="G38" s="4">
        <v>0.47680967158418575</v>
      </c>
      <c r="H38" s="6">
        <v>4.0236009847005337E-2</v>
      </c>
      <c r="I38" s="4">
        <v>0.57864632619839051</v>
      </c>
      <c r="J38" s="6">
        <v>4.7233345686767118E-2</v>
      </c>
      <c r="K38" s="4">
        <v>0.60658471085627774</v>
      </c>
      <c r="L38" s="6">
        <v>7.5043819772390316E-2</v>
      </c>
    </row>
    <row r="39" spans="3:12" x14ac:dyDescent="0.2">
      <c r="C39" s="1">
        <v>0</v>
      </c>
      <c r="E39" s="1">
        <v>0</v>
      </c>
      <c r="G39" s="1">
        <v>0</v>
      </c>
      <c r="I39" s="1">
        <v>0</v>
      </c>
      <c r="K39" s="1">
        <v>0</v>
      </c>
    </row>
    <row r="40" spans="3:12" x14ac:dyDescent="0.2">
      <c r="C40" s="6">
        <v>0.48887745334661548</v>
      </c>
      <c r="D40" s="6"/>
      <c r="E40" s="6">
        <v>0.48940794546789179</v>
      </c>
      <c r="G40" s="6">
        <v>0.51493405708062334</v>
      </c>
      <c r="I40" s="6">
        <v>0.59558129034401708</v>
      </c>
      <c r="K40" s="6">
        <v>0.65311054425723203</v>
      </c>
    </row>
    <row r="41" spans="3:12" x14ac:dyDescent="0.2">
      <c r="C41" t="s">
        <v>27</v>
      </c>
      <c r="E41" t="s">
        <v>27</v>
      </c>
      <c r="G41" t="s">
        <v>27</v>
      </c>
      <c r="I41" t="s">
        <v>64</v>
      </c>
      <c r="J41" s="5"/>
      <c r="K41" t="s">
        <v>27</v>
      </c>
      <c r="L41" s="5"/>
    </row>
    <row r="42" spans="3:12" x14ac:dyDescent="0.2">
      <c r="C42" s="1">
        <v>0</v>
      </c>
      <c r="E42">
        <v>0</v>
      </c>
      <c r="F42" s="5"/>
      <c r="G42">
        <v>0</v>
      </c>
      <c r="H42" s="5"/>
      <c r="I42">
        <v>0</v>
      </c>
      <c r="J42" s="5"/>
      <c r="K42">
        <v>0</v>
      </c>
    </row>
    <row r="43" spans="3:12" x14ac:dyDescent="0.2">
      <c r="C43" s="4">
        <v>0.5083340391902561</v>
      </c>
      <c r="D43" s="6">
        <v>6.8492719272697969E-2</v>
      </c>
      <c r="E43" s="4">
        <v>0.50752713181259401</v>
      </c>
      <c r="F43" s="6">
        <v>3.3101341393068834E-2</v>
      </c>
      <c r="G43" s="4">
        <v>0.56534829633362282</v>
      </c>
      <c r="H43" s="6">
        <v>6.7091427974360185E-2</v>
      </c>
      <c r="I43" s="4">
        <v>0.55781623120814561</v>
      </c>
      <c r="J43" s="6">
        <v>6.7736230512093237E-2</v>
      </c>
      <c r="K43" s="4">
        <v>0.5426907093168023</v>
      </c>
      <c r="L43" s="6">
        <v>7.5671822238346162E-2</v>
      </c>
    </row>
    <row r="44" spans="3:12" x14ac:dyDescent="0.2">
      <c r="C44" s="4">
        <v>0.54603479755484341</v>
      </c>
      <c r="D44" s="6">
        <v>0.1100742435302645</v>
      </c>
      <c r="E44" s="4">
        <v>0.56074345110259327</v>
      </c>
      <c r="F44" s="6">
        <v>5.1809381017635471E-2</v>
      </c>
      <c r="G44" s="4">
        <v>0.52781858182593799</v>
      </c>
      <c r="H44" s="6">
        <v>9.6528710639639692E-2</v>
      </c>
      <c r="I44" s="4">
        <v>0.60007515969512126</v>
      </c>
      <c r="J44" s="6">
        <v>9.3329921421933776E-2</v>
      </c>
      <c r="K44" s="4">
        <v>0.60171954725959631</v>
      </c>
      <c r="L44" s="6">
        <v>7.1458147464899369E-2</v>
      </c>
    </row>
    <row r="45" spans="3:12" x14ac:dyDescent="0.2">
      <c r="C45" s="4">
        <v>0.54709137891775317</v>
      </c>
      <c r="D45" s="6">
        <v>8.7645126521571484E-2</v>
      </c>
      <c r="E45" s="4">
        <v>0.58066129771251918</v>
      </c>
      <c r="F45" s="6">
        <v>2.4609685294021147E-2</v>
      </c>
      <c r="G45" s="4">
        <v>0.65322922779834725</v>
      </c>
      <c r="H45" s="6">
        <v>1.9976077722108129E-2</v>
      </c>
      <c r="I45" s="4">
        <v>0.6589278881700229</v>
      </c>
      <c r="J45" s="6">
        <v>7.9653222033103613E-2</v>
      </c>
      <c r="K45" s="4">
        <v>0.69202675312756645</v>
      </c>
      <c r="L45" s="6">
        <v>4.3593166344185877E-2</v>
      </c>
    </row>
    <row r="46" spans="3:12" x14ac:dyDescent="0.2">
      <c r="C46" s="4">
        <v>0.59849038685260092</v>
      </c>
      <c r="D46" s="6">
        <v>3.4327506984367262E-2</v>
      </c>
      <c r="E46" s="4">
        <v>0.65661499860173811</v>
      </c>
      <c r="F46" s="6">
        <v>3.7705410168013681E-2</v>
      </c>
      <c r="G46" s="4">
        <v>0.66709220970115124</v>
      </c>
      <c r="H46" s="6">
        <v>5.4694509432568712E-2</v>
      </c>
      <c r="I46" s="4">
        <v>0.72659026080201961</v>
      </c>
      <c r="J46" s="6">
        <v>3.5489250169376881E-2</v>
      </c>
      <c r="K46" s="4">
        <v>0.78239758941842374</v>
      </c>
      <c r="L46" s="6">
        <v>7.8662450904699616E-2</v>
      </c>
    </row>
    <row r="47" spans="3:12" x14ac:dyDescent="0.2">
      <c r="C47" s="4">
        <v>0.53215984863180876</v>
      </c>
      <c r="D47" s="6">
        <v>4.9887077086268036E-2</v>
      </c>
      <c r="E47" s="4">
        <v>0.54405218929043608</v>
      </c>
      <c r="F47" s="6">
        <v>2.407709125407706E-2</v>
      </c>
      <c r="G47" s="4">
        <v>0.56166418185040956</v>
      </c>
      <c r="H47" s="6">
        <v>3.306507817474845E-2</v>
      </c>
      <c r="I47" s="4">
        <v>0.63847297340603892</v>
      </c>
      <c r="J47" s="6">
        <v>3.8166745164627876E-2</v>
      </c>
      <c r="K47" s="4">
        <v>0.67796771720552729</v>
      </c>
      <c r="L47" s="6">
        <v>8.9246012645189374E-2</v>
      </c>
    </row>
    <row r="48" spans="3:12" x14ac:dyDescent="0.2">
      <c r="C48" s="4">
        <v>0.6705576397669597</v>
      </c>
      <c r="D48" s="6">
        <v>0.1236663019611889</v>
      </c>
      <c r="E48" s="4">
        <v>0.67073669875619579</v>
      </c>
      <c r="F48" s="6">
        <v>1.7708737711580748E-2</v>
      </c>
      <c r="G48" s="4">
        <v>0.73256422991833903</v>
      </c>
      <c r="H48" s="6">
        <v>6.2227342912061147E-2</v>
      </c>
      <c r="I48" s="4">
        <v>0.70906828152054491</v>
      </c>
      <c r="J48" s="6">
        <v>8.3554949244807011E-2</v>
      </c>
      <c r="K48" s="4">
        <v>0.81753755626107572</v>
      </c>
      <c r="L48" s="6">
        <v>2.7653057594241668E-2</v>
      </c>
    </row>
    <row r="49" spans="3:12" x14ac:dyDescent="0.2">
      <c r="C49" s="4">
        <v>0.59400485673215964</v>
      </c>
      <c r="D49" s="6">
        <v>3.5782770418028569E-2</v>
      </c>
      <c r="E49" s="4">
        <v>0.55736971209396313</v>
      </c>
      <c r="F49" s="6">
        <v>2.4578922397721234E-2</v>
      </c>
      <c r="G49" s="4">
        <v>0.61453047407258854</v>
      </c>
      <c r="H49" s="6">
        <v>2.7922347668095166E-2</v>
      </c>
      <c r="I49" s="4">
        <v>0.64831502638383631</v>
      </c>
      <c r="J49" s="6">
        <v>2.487314048938951E-2</v>
      </c>
      <c r="K49" s="4">
        <v>0.73227090594083399</v>
      </c>
      <c r="L49" s="6">
        <v>2.3244723420314764E-2</v>
      </c>
    </row>
    <row r="50" spans="3:12" x14ac:dyDescent="0.2">
      <c r="C50" s="4">
        <v>0.63024142752933132</v>
      </c>
      <c r="D50" s="6">
        <v>6.1486019318409461E-2</v>
      </c>
      <c r="E50" s="4">
        <v>0.68652317783616712</v>
      </c>
      <c r="F50" s="6">
        <v>5.5158204867730071E-2</v>
      </c>
      <c r="G50" s="4">
        <v>0.69127257072056858</v>
      </c>
      <c r="H50" s="6">
        <v>2.3456420352875835E-2</v>
      </c>
      <c r="I50" s="4">
        <v>0.75283411265756517</v>
      </c>
      <c r="J50" s="6">
        <v>4.9981562998548612E-2</v>
      </c>
      <c r="K50" s="4">
        <v>0.86970621036611706</v>
      </c>
      <c r="L50" s="6">
        <v>4.5115470830707681E-2</v>
      </c>
    </row>
    <row r="51" spans="3:12" x14ac:dyDescent="0.2">
      <c r="C51" s="4">
        <v>0.6146765083179252</v>
      </c>
      <c r="D51" s="6">
        <v>6.744773037794137E-2</v>
      </c>
      <c r="E51" s="4">
        <v>0.60303925733886643</v>
      </c>
      <c r="F51" s="6">
        <v>7.1084736882608565E-2</v>
      </c>
      <c r="G51" s="4">
        <v>0.68089572350265937</v>
      </c>
      <c r="H51" s="6">
        <v>6.1633073215031801E-2</v>
      </c>
      <c r="I51" s="4">
        <v>0.68281655778275729</v>
      </c>
      <c r="J51" s="6">
        <v>5.380939290365528E-2</v>
      </c>
      <c r="K51" s="4">
        <v>0.7204482213578165</v>
      </c>
      <c r="L51" s="6">
        <v>4.6589506211920061E-2</v>
      </c>
    </row>
    <row r="52" spans="3:12" x14ac:dyDescent="0.2">
      <c r="C52" s="4">
        <v>0.63021078588312118</v>
      </c>
      <c r="D52" s="6">
        <v>9.0745325408004923E-2</v>
      </c>
      <c r="E52" s="4">
        <v>0.54003225299362367</v>
      </c>
      <c r="F52" s="6">
        <v>9.5407800481388139E-2</v>
      </c>
      <c r="G52" s="4">
        <v>0.59009301032447881</v>
      </c>
      <c r="H52" s="6">
        <v>4.636891550010902E-2</v>
      </c>
      <c r="I52" s="4">
        <v>0.71942725939268926</v>
      </c>
      <c r="J52" s="6">
        <v>9.1670812057544335E-2</v>
      </c>
      <c r="K52" s="4">
        <v>0.72939633525480896</v>
      </c>
      <c r="L52" s="6">
        <v>6.2452716115358325E-2</v>
      </c>
    </row>
    <row r="53" spans="3:12" x14ac:dyDescent="0.2">
      <c r="C53" s="1">
        <v>0</v>
      </c>
      <c r="E53" s="4">
        <v>0</v>
      </c>
      <c r="G53" s="1">
        <v>0</v>
      </c>
      <c r="I53" s="1">
        <v>0</v>
      </c>
      <c r="K53" s="1">
        <v>0</v>
      </c>
    </row>
    <row r="54" spans="3:12" x14ac:dyDescent="0.2">
      <c r="C54" s="6">
        <v>0.58718016693767594</v>
      </c>
      <c r="D54" s="6"/>
      <c r="E54" s="6">
        <v>0.59073001675386971</v>
      </c>
      <c r="G54" s="6">
        <v>0.62845085060481021</v>
      </c>
      <c r="I54" s="6">
        <v>0.66943437510187409</v>
      </c>
      <c r="K54" s="6">
        <v>0.71661615455085692</v>
      </c>
    </row>
    <row r="55" spans="3:12" x14ac:dyDescent="0.2">
      <c r="C55" t="s">
        <v>28</v>
      </c>
      <c r="E55" t="s">
        <v>28</v>
      </c>
      <c r="G55" s="6" t="s">
        <v>28</v>
      </c>
      <c r="I55" t="s">
        <v>65</v>
      </c>
      <c r="K55" t="s">
        <v>28</v>
      </c>
    </row>
    <row r="56" spans="3:12" x14ac:dyDescent="0.2">
      <c r="C56" s="1">
        <v>0</v>
      </c>
      <c r="E56">
        <v>0</v>
      </c>
      <c r="G56">
        <v>0</v>
      </c>
      <c r="I56">
        <v>0</v>
      </c>
      <c r="K56">
        <v>0</v>
      </c>
    </row>
    <row r="57" spans="3:12" x14ac:dyDescent="0.2">
      <c r="C57" s="4">
        <v>0.64306204919471954</v>
      </c>
      <c r="D57" s="6">
        <v>4.2881620380527764E-2</v>
      </c>
      <c r="E57" s="4">
        <v>0.57097902767953934</v>
      </c>
      <c r="F57" s="6">
        <v>6.7016483787417383E-2</v>
      </c>
      <c r="G57" s="4">
        <v>0.69554936248700372</v>
      </c>
      <c r="H57" s="6">
        <v>0.14798546115294051</v>
      </c>
      <c r="I57" s="4">
        <v>0.55200792202581861</v>
      </c>
      <c r="J57" s="6">
        <v>7.0100792048347682E-2</v>
      </c>
      <c r="K57" s="4">
        <v>0.6880801313275412</v>
      </c>
      <c r="L57" s="6">
        <v>5.0979755125844836E-2</v>
      </c>
    </row>
    <row r="58" spans="3:12" x14ac:dyDescent="0.2">
      <c r="C58" s="4">
        <v>0.68283599852513743</v>
      </c>
      <c r="D58" s="6">
        <v>5.2161324792489125E-2</v>
      </c>
      <c r="E58" s="4">
        <v>0.63936682510400411</v>
      </c>
      <c r="F58" s="6">
        <v>8.3048285914928299E-2</v>
      </c>
      <c r="G58" s="4">
        <v>0.74934630337505359</v>
      </c>
      <c r="H58" s="6">
        <v>0.12833345635184798</v>
      </c>
      <c r="I58" s="4">
        <v>0.54746309252273617</v>
      </c>
      <c r="J58" s="6">
        <v>9.4648460593028727E-2</v>
      </c>
      <c r="K58" s="4">
        <v>0.704551805730812</v>
      </c>
      <c r="L58" s="6">
        <v>7.0856375897455651E-2</v>
      </c>
    </row>
    <row r="59" spans="3:12" x14ac:dyDescent="0.2">
      <c r="C59" s="4">
        <v>0.6787302331240308</v>
      </c>
      <c r="D59" s="6">
        <v>3.144788991739849E-2</v>
      </c>
      <c r="E59" s="4">
        <v>0.68909083532181847</v>
      </c>
      <c r="F59" s="6">
        <v>8.7236201839813524E-2</v>
      </c>
      <c r="G59" s="4">
        <v>0.78231219045359146</v>
      </c>
      <c r="H59" s="6">
        <v>7.057144099323398E-2</v>
      </c>
      <c r="I59" s="4">
        <v>0.62510675440874408</v>
      </c>
      <c r="J59" s="6">
        <v>8.9607173531855364E-2</v>
      </c>
      <c r="K59" s="4">
        <v>0.709690524365992</v>
      </c>
      <c r="L59" s="6">
        <v>0.12090555889365794</v>
      </c>
    </row>
    <row r="60" spans="3:12" x14ac:dyDescent="0.2">
      <c r="C60" s="4">
        <v>0.71140427792523897</v>
      </c>
      <c r="D60" s="6">
        <v>0.12535025279922765</v>
      </c>
      <c r="E60" s="4">
        <v>0.76757343220759666</v>
      </c>
      <c r="F60" s="6">
        <v>6.0609027169169882E-2</v>
      </c>
      <c r="G60" s="4">
        <v>0.85334866152094335</v>
      </c>
      <c r="H60" s="6">
        <v>4.3237861333440909E-2</v>
      </c>
      <c r="I60" s="4">
        <v>0.68586907382509787</v>
      </c>
      <c r="J60" s="6">
        <v>6.8470643261170347E-2</v>
      </c>
      <c r="K60" s="4">
        <v>0.81701024381584253</v>
      </c>
      <c r="L60" s="6">
        <v>0.14400541934189304</v>
      </c>
    </row>
    <row r="61" spans="3:12" x14ac:dyDescent="0.2">
      <c r="C61" s="4">
        <v>0.64164837941376907</v>
      </c>
      <c r="D61" s="6">
        <v>4.8635355007315445E-2</v>
      </c>
      <c r="E61" s="4">
        <v>0.59620290292520317</v>
      </c>
      <c r="F61" s="6">
        <v>3.4585136763438662E-2</v>
      </c>
      <c r="G61" s="4">
        <v>0.73213697269467648</v>
      </c>
      <c r="H61" s="6">
        <v>5.5145267992456892E-2</v>
      </c>
      <c r="I61" s="4">
        <v>0.62880597003039063</v>
      </c>
      <c r="J61" s="6">
        <v>8.5957569057122832E-2</v>
      </c>
      <c r="K61" s="4">
        <v>0.7729759872819908</v>
      </c>
      <c r="L61" s="6">
        <v>0.11717910256048963</v>
      </c>
    </row>
    <row r="62" spans="3:12" x14ac:dyDescent="0.2">
      <c r="C62" s="4">
        <v>0.84341431985590898</v>
      </c>
      <c r="D62" s="6">
        <v>0.10780605270600992</v>
      </c>
      <c r="E62" s="4">
        <v>0.77328586458369808</v>
      </c>
      <c r="F62" s="6">
        <v>0.13201589602376398</v>
      </c>
      <c r="G62" s="4">
        <v>0.85008380945375284</v>
      </c>
      <c r="H62" s="6">
        <v>7.5721906386105292E-2</v>
      </c>
      <c r="I62" s="4">
        <v>0.7452057654355364</v>
      </c>
      <c r="J62" s="6">
        <v>0.20577347828161949</v>
      </c>
      <c r="K62" s="4">
        <v>0.8742593577833434</v>
      </c>
      <c r="L62" s="6">
        <v>8.8233766610722089E-2</v>
      </c>
    </row>
    <row r="63" spans="3:12" x14ac:dyDescent="0.2">
      <c r="C63" s="4">
        <v>0.65289041625387401</v>
      </c>
      <c r="D63" s="6">
        <v>2.9891771666467934E-2</v>
      </c>
      <c r="E63" s="4">
        <v>0.66920414238917059</v>
      </c>
      <c r="F63" s="6">
        <v>2.5359374795501856E-2</v>
      </c>
      <c r="G63" s="4">
        <v>0.71328699693102549</v>
      </c>
      <c r="H63" s="6">
        <v>2.2639485562419723E-2</v>
      </c>
      <c r="I63" s="4">
        <v>0.6728054558594776</v>
      </c>
      <c r="J63" s="6">
        <v>4.9142529695970397E-2</v>
      </c>
      <c r="K63" s="4">
        <v>0.80386668028955444</v>
      </c>
      <c r="L63" s="6">
        <v>1.9726916255294432E-2</v>
      </c>
    </row>
    <row r="64" spans="3:12" x14ac:dyDescent="0.2">
      <c r="C64" s="4">
        <v>0.82114769652527309</v>
      </c>
      <c r="D64" s="6">
        <v>6.2991900646629906E-2</v>
      </c>
      <c r="E64" s="4">
        <v>0.80517431410977802</v>
      </c>
      <c r="F64" s="6">
        <v>8.4120321478331206E-2</v>
      </c>
      <c r="G64" s="4">
        <v>0.80983350786087749</v>
      </c>
      <c r="H64" s="6">
        <v>5.343045656999975E-2</v>
      </c>
      <c r="I64" s="4">
        <v>0.69359818170083709</v>
      </c>
      <c r="J64" s="6">
        <v>0.11012974355960745</v>
      </c>
      <c r="K64" s="4">
        <v>0.91249517627645482</v>
      </c>
      <c r="L64" s="6">
        <v>8.7469628224411636E-2</v>
      </c>
    </row>
    <row r="65" spans="3:12" x14ac:dyDescent="0.2">
      <c r="C65" s="4">
        <v>0.77292297727916126</v>
      </c>
      <c r="D65" s="6">
        <v>7.1083281485230659E-2</v>
      </c>
      <c r="E65" s="4">
        <v>0.69790063095787203</v>
      </c>
      <c r="F65" s="6">
        <v>5.9503411761576773E-2</v>
      </c>
      <c r="G65" s="4">
        <v>0.7844003802747237</v>
      </c>
      <c r="H65" s="6">
        <v>9.337804673421024E-2</v>
      </c>
      <c r="I65" s="4">
        <v>0.58340095978401618</v>
      </c>
      <c r="J65" s="6">
        <v>7.0561070016663605E-2</v>
      </c>
      <c r="K65" s="4">
        <v>0.77186721640976053</v>
      </c>
      <c r="L65" s="6">
        <v>9.1230113947215544E-2</v>
      </c>
    </row>
    <row r="66" spans="3:12" x14ac:dyDescent="0.2">
      <c r="C66" s="4">
        <v>0.66619978438984384</v>
      </c>
      <c r="D66" s="6">
        <v>6.2422959227299915E-2</v>
      </c>
      <c r="E66" s="4">
        <v>0.67449775176125093</v>
      </c>
      <c r="F66" s="6">
        <v>8.3495505551627047E-2</v>
      </c>
      <c r="G66" s="4">
        <v>0.75855072038488358</v>
      </c>
      <c r="H66" s="6">
        <v>2.521566514046188E-2</v>
      </c>
      <c r="I66" s="4">
        <v>0.48418262665222722</v>
      </c>
      <c r="J66" s="6">
        <v>9.1653566868210939E-2</v>
      </c>
      <c r="K66" s="4">
        <v>0.72259711408944871</v>
      </c>
      <c r="L66" s="6">
        <v>7.3456210795625379E-2</v>
      </c>
    </row>
    <row r="67" spans="3:12" x14ac:dyDescent="0.2">
      <c r="C67" s="1">
        <v>0</v>
      </c>
      <c r="E67" s="1">
        <v>0</v>
      </c>
      <c r="G67" s="1">
        <v>0</v>
      </c>
      <c r="I67" s="1">
        <v>0</v>
      </c>
      <c r="K67" s="1">
        <v>0</v>
      </c>
    </row>
    <row r="68" spans="3:12" x14ac:dyDescent="0.2">
      <c r="C68" s="6">
        <v>0.71142561324869569</v>
      </c>
      <c r="D68" s="6"/>
      <c r="E68" s="6">
        <v>0.68832757270399325</v>
      </c>
      <c r="G68" s="20">
        <v>0.77288489054365317</v>
      </c>
      <c r="I68" s="20">
        <v>0.62184458022448819</v>
      </c>
      <c r="K68" s="6">
        <v>0.77773942373707405</v>
      </c>
    </row>
    <row r="69" spans="3:12" x14ac:dyDescent="0.2">
      <c r="C69" t="s">
        <v>29</v>
      </c>
      <c r="E69" t="s">
        <v>29</v>
      </c>
      <c r="G69" s="6" t="s">
        <v>29</v>
      </c>
      <c r="I69" t="s">
        <v>66</v>
      </c>
      <c r="K69" t="s">
        <v>29</v>
      </c>
    </row>
    <row r="70" spans="3:12" x14ac:dyDescent="0.2">
      <c r="C70">
        <v>0</v>
      </c>
      <c r="E70">
        <v>0</v>
      </c>
      <c r="G70">
        <v>0</v>
      </c>
      <c r="I70">
        <v>0</v>
      </c>
      <c r="K70">
        <v>0</v>
      </c>
    </row>
    <row r="71" spans="3:12" x14ac:dyDescent="0.2">
      <c r="C71" s="4">
        <v>1.1350463228107839</v>
      </c>
      <c r="D71" s="6">
        <v>9.9414021868181476E-2</v>
      </c>
      <c r="E71" s="4">
        <v>1.0828021673624695</v>
      </c>
      <c r="F71" s="6">
        <v>0.14552560197230077</v>
      </c>
      <c r="G71" s="4">
        <v>1.0050420818008559</v>
      </c>
      <c r="H71" s="6">
        <v>0.2455090414933849</v>
      </c>
      <c r="I71" s="4">
        <v>1.1408141442992705</v>
      </c>
      <c r="J71" s="6">
        <v>6.6303238397251843E-2</v>
      </c>
      <c r="K71" s="4">
        <v>0.90826881017649475</v>
      </c>
      <c r="L71" s="6">
        <v>0.1019670443352854</v>
      </c>
    </row>
    <row r="72" spans="3:12" x14ac:dyDescent="0.2">
      <c r="C72" s="4">
        <v>1.2317719440012211</v>
      </c>
      <c r="D72" s="6">
        <v>0.12691602114426462</v>
      </c>
      <c r="E72" s="4">
        <v>1.3118367667481547</v>
      </c>
      <c r="F72" s="6">
        <v>0.10284645179275025</v>
      </c>
      <c r="G72" s="4">
        <v>1.0534989546112274</v>
      </c>
      <c r="H72" s="6">
        <v>0.11319922100899207</v>
      </c>
      <c r="I72" s="4">
        <v>1.0755149621198192</v>
      </c>
      <c r="J72" s="6">
        <v>0.14636059653093175</v>
      </c>
      <c r="K72" s="4">
        <v>1.0725177513955813</v>
      </c>
      <c r="L72" s="6">
        <v>0.13381980403027607</v>
      </c>
    </row>
    <row r="73" spans="3:12" x14ac:dyDescent="0.2">
      <c r="C73" s="4">
        <v>1.2575636306207927</v>
      </c>
      <c r="D73" s="6">
        <v>0.14292118083790686</v>
      </c>
      <c r="E73" s="4">
        <v>1.1630235038816672</v>
      </c>
      <c r="F73" s="6">
        <v>0.10731215149637585</v>
      </c>
      <c r="G73" s="4">
        <v>1.1958572845749351</v>
      </c>
      <c r="H73" s="6">
        <v>0.10891448973350885</v>
      </c>
      <c r="I73" s="4">
        <v>1.2020641594343822</v>
      </c>
      <c r="J73" s="6">
        <v>7.5735670170164859E-2</v>
      </c>
      <c r="K73" s="4">
        <v>1.2394538368424743</v>
      </c>
      <c r="L73" s="6">
        <v>0.15420247946348078</v>
      </c>
    </row>
    <row r="74" spans="3:12" x14ac:dyDescent="0.2">
      <c r="C74" s="4">
        <v>1.3596107083409497</v>
      </c>
      <c r="D74" s="6">
        <v>6.4309773010397087E-2</v>
      </c>
      <c r="E74" s="4">
        <v>1.4313400991924428</v>
      </c>
      <c r="F74" s="6">
        <v>0.16201194246375203</v>
      </c>
      <c r="G74" s="4">
        <v>1.1543292015054178</v>
      </c>
      <c r="H74" s="6">
        <v>0.10817598570140527</v>
      </c>
      <c r="I74" s="4">
        <v>1.432568884536386</v>
      </c>
      <c r="J74" s="6">
        <v>0.14566955678487123</v>
      </c>
      <c r="K74" s="4">
        <v>1.2272279015350542</v>
      </c>
      <c r="L74" s="6">
        <v>6.9068034914377921E-2</v>
      </c>
    </row>
    <row r="75" spans="3:12" x14ac:dyDescent="0.2">
      <c r="C75" s="4">
        <v>1.158933190054289</v>
      </c>
      <c r="D75" s="6">
        <v>4.8823491957328345E-2</v>
      </c>
      <c r="E75" s="4">
        <v>1.1723719621174393</v>
      </c>
      <c r="F75" s="6">
        <v>9.2832162818535707E-2</v>
      </c>
      <c r="G75" s="4">
        <v>1.1066076615883551</v>
      </c>
      <c r="H75" s="6">
        <v>4.2644628163229857E-2</v>
      </c>
      <c r="I75" s="4">
        <v>1.2601185423196442</v>
      </c>
      <c r="J75" s="6">
        <v>0.17129141342889212</v>
      </c>
      <c r="K75" s="4">
        <v>1.2686831353351129</v>
      </c>
      <c r="L75" s="6">
        <v>8.8058871247983728E-2</v>
      </c>
    </row>
    <row r="76" spans="3:12" x14ac:dyDescent="0.2">
      <c r="C76" s="4">
        <v>1.4871491531766208</v>
      </c>
      <c r="D76" s="6">
        <v>8.0900753767232131E-2</v>
      </c>
      <c r="E76" s="4">
        <v>1.3904437175838995</v>
      </c>
      <c r="F76" s="6">
        <v>0.15707334343010276</v>
      </c>
      <c r="G76" s="4">
        <v>1.2068383246113981</v>
      </c>
      <c r="H76" s="6">
        <v>0.11465386358971748</v>
      </c>
      <c r="I76" s="4">
        <v>1.3508278648300291</v>
      </c>
      <c r="J76" s="6">
        <v>9.8398824728750556E-2</v>
      </c>
      <c r="K76" s="4">
        <v>1.3335481936489106</v>
      </c>
      <c r="L76" s="6">
        <v>0.15192340152289915</v>
      </c>
    </row>
    <row r="77" spans="3:12" x14ac:dyDescent="0.2">
      <c r="C77" s="4">
        <v>1.1620864578396153</v>
      </c>
      <c r="D77" s="6">
        <v>5.3498604011405569E-2</v>
      </c>
      <c r="E77" s="4">
        <v>1.1841136175251397</v>
      </c>
      <c r="F77" s="6">
        <v>7.5107716445470415E-2</v>
      </c>
      <c r="G77" s="4">
        <v>1.1379887245477711</v>
      </c>
      <c r="H77" s="6">
        <v>8.1157063096531659E-2</v>
      </c>
      <c r="I77" s="4">
        <v>1.1457809144080087</v>
      </c>
      <c r="J77" s="6">
        <v>4.4372879322343677E-2</v>
      </c>
      <c r="K77" s="4">
        <v>1.2350922897728465</v>
      </c>
      <c r="L77" s="6">
        <v>8.3855222547947098E-2</v>
      </c>
    </row>
    <row r="78" spans="3:12" x14ac:dyDescent="0.2">
      <c r="C78" s="4">
        <v>1.3300600320336577</v>
      </c>
      <c r="D78" s="6">
        <v>8.9630643658450207E-2</v>
      </c>
      <c r="E78" s="4">
        <v>1.3548137874194304</v>
      </c>
      <c r="F78" s="6">
        <v>0.17343376969069813</v>
      </c>
      <c r="G78" s="4">
        <v>1.2881508247173781</v>
      </c>
      <c r="H78" s="6">
        <v>0.13851771490672754</v>
      </c>
      <c r="I78" s="4">
        <v>1.3764559506104899</v>
      </c>
      <c r="J78" s="6">
        <v>6.0889717573316245E-2</v>
      </c>
      <c r="K78" s="4">
        <v>1.1764841271180368</v>
      </c>
      <c r="L78" s="6">
        <v>0.27964128851717956</v>
      </c>
    </row>
    <row r="79" spans="3:12" x14ac:dyDescent="0.2">
      <c r="C79" s="4">
        <v>1.2494971613912134</v>
      </c>
      <c r="D79" s="6">
        <v>0.18869316656073201</v>
      </c>
      <c r="E79" s="4">
        <v>1.3061220404688421</v>
      </c>
      <c r="F79" s="6">
        <v>0.13121231162157362</v>
      </c>
      <c r="G79" s="4">
        <v>1.2507758179712294</v>
      </c>
      <c r="H79" s="6">
        <v>0.1111305384763773</v>
      </c>
      <c r="I79" s="4">
        <v>1.1988364056418612</v>
      </c>
      <c r="J79" s="6">
        <v>0.10321878194612759</v>
      </c>
      <c r="K79" s="4">
        <v>1.129401541541643</v>
      </c>
      <c r="L79" s="6">
        <v>0.13088897092067819</v>
      </c>
    </row>
    <row r="80" spans="3:12" x14ac:dyDescent="0.2">
      <c r="C80" s="4">
        <v>1.2142816317849046</v>
      </c>
      <c r="D80" s="6">
        <v>8.739963860907142E-2</v>
      </c>
      <c r="E80" s="4">
        <v>1.1261305741444114</v>
      </c>
      <c r="F80" s="6">
        <v>0.17842929745959937</v>
      </c>
      <c r="G80" s="4">
        <v>1.051906446855456</v>
      </c>
      <c r="H80" s="6">
        <v>7.5691363434183742E-2</v>
      </c>
      <c r="I80" s="4">
        <v>1.0700428837586542</v>
      </c>
      <c r="J80" s="6">
        <v>0.12492900893379594</v>
      </c>
      <c r="K80" s="4">
        <v>1.1990520788250614</v>
      </c>
      <c r="L80" s="6">
        <v>0.14861524643341312</v>
      </c>
    </row>
    <row r="81" spans="3:11" x14ac:dyDescent="0.2">
      <c r="C81" s="1">
        <v>0</v>
      </c>
      <c r="E81" s="1">
        <v>0</v>
      </c>
      <c r="G81" s="1">
        <v>0</v>
      </c>
      <c r="I81" s="1">
        <v>0</v>
      </c>
      <c r="K81" s="1">
        <v>0</v>
      </c>
    </row>
    <row r="82" spans="3:11" x14ac:dyDescent="0.2">
      <c r="C82" s="6">
        <v>1.2586000232054046</v>
      </c>
      <c r="D82" s="6"/>
      <c r="E82" s="6">
        <v>1.2522998236443896</v>
      </c>
      <c r="G82" s="20">
        <v>1.1450995322784023</v>
      </c>
      <c r="I82" s="6">
        <v>1.2253024711958544</v>
      </c>
      <c r="K82" s="20">
        <v>1.1789729666191218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377"/>
  <sheetViews>
    <sheetView topLeftCell="E59" workbookViewId="0">
      <selection activeCell="V79" activeCellId="3" sqref="V34:W47 V49:W62 V64:W77 V79:W92"/>
    </sheetView>
  </sheetViews>
  <sheetFormatPr baseColWidth="10" defaultRowHeight="16" x14ac:dyDescent="0.2"/>
  <sheetData>
    <row r="2" spans="1:23" x14ac:dyDescent="0.2">
      <c r="A2" t="s">
        <v>0</v>
      </c>
      <c r="C2" t="s">
        <v>47</v>
      </c>
    </row>
    <row r="4" spans="1:23" x14ac:dyDescent="0.2">
      <c r="A4" t="s">
        <v>1</v>
      </c>
      <c r="G4" t="s">
        <v>10</v>
      </c>
      <c r="H4" t="s">
        <v>4</v>
      </c>
      <c r="I4" t="s">
        <v>5</v>
      </c>
      <c r="J4" t="s">
        <v>6</v>
      </c>
      <c r="K4" t="s">
        <v>7</v>
      </c>
      <c r="L4" t="s">
        <v>9</v>
      </c>
      <c r="R4" t="s">
        <v>28</v>
      </c>
      <c r="S4" t="s">
        <v>4</v>
      </c>
      <c r="T4" t="s">
        <v>5</v>
      </c>
      <c r="U4" t="s">
        <v>6</v>
      </c>
      <c r="V4" t="s">
        <v>7</v>
      </c>
      <c r="W4" t="s">
        <v>9</v>
      </c>
    </row>
    <row r="5" spans="1:23" x14ac:dyDescent="0.2">
      <c r="H5">
        <v>-8930.2369049999998</v>
      </c>
      <c r="I5">
        <v>40893.056328999999</v>
      </c>
      <c r="J5">
        <f>H5/2000</f>
        <v>-4.4651184524999996</v>
      </c>
      <c r="K5">
        <f>I5/2000</f>
        <v>20.446528164499998</v>
      </c>
      <c r="L5">
        <f>237/2000</f>
        <v>0.11849999999999999</v>
      </c>
      <c r="S5">
        <v>-9817.6846910000004</v>
      </c>
      <c r="T5">
        <v>38291.767454000001</v>
      </c>
      <c r="U5">
        <f>S5/2000</f>
        <v>-4.9088423455000001</v>
      </c>
      <c r="V5">
        <f>T5/2000</f>
        <v>19.145883727000001</v>
      </c>
      <c r="W5">
        <f>587/2000</f>
        <v>0.29349999999999998</v>
      </c>
    </row>
    <row r="6" spans="1:23" x14ac:dyDescent="0.2">
      <c r="H6">
        <v>-8915.2475599999998</v>
      </c>
      <c r="I6">
        <v>40998.038368000001</v>
      </c>
      <c r="J6">
        <f t="shared" ref="J6:K14" si="0">H6/2000</f>
        <v>-4.4576237799999996</v>
      </c>
      <c r="K6">
        <f t="shared" si="0"/>
        <v>20.499019184000002</v>
      </c>
      <c r="L6">
        <f>228/2000</f>
        <v>0.114</v>
      </c>
      <c r="S6">
        <v>-9923.3784329999999</v>
      </c>
      <c r="T6">
        <v>38084.045543</v>
      </c>
      <c r="U6">
        <f t="shared" ref="U6:U14" si="1">S6/2000</f>
        <v>-4.9616892164999999</v>
      </c>
      <c r="V6">
        <f t="shared" ref="V6:V14" si="2">T6/2000</f>
        <v>19.042022771500001</v>
      </c>
      <c r="W6">
        <f>630/2000</f>
        <v>0.315</v>
      </c>
    </row>
    <row r="7" spans="1:23" x14ac:dyDescent="0.2">
      <c r="H7">
        <v>-8940.0806759999996</v>
      </c>
      <c r="I7">
        <v>40982.030737000001</v>
      </c>
      <c r="J7">
        <f t="shared" si="0"/>
        <v>-4.4700403379999996</v>
      </c>
      <c r="K7">
        <f t="shared" si="0"/>
        <v>20.491015368500001</v>
      </c>
      <c r="L7">
        <f>236/2000</f>
        <v>0.11799999999999999</v>
      </c>
      <c r="S7">
        <v>-9809.8408660000005</v>
      </c>
      <c r="T7">
        <v>38335.240940000003</v>
      </c>
      <c r="U7">
        <f t="shared" si="1"/>
        <v>-4.904920433</v>
      </c>
      <c r="V7">
        <f t="shared" si="2"/>
        <v>19.167620470000003</v>
      </c>
      <c r="W7">
        <f>586/2000</f>
        <v>0.29299999999999998</v>
      </c>
    </row>
    <row r="8" spans="1:23" x14ac:dyDescent="0.2">
      <c r="H8">
        <v>-8975.4925390000008</v>
      </c>
      <c r="I8">
        <v>40815.845823000003</v>
      </c>
      <c r="J8">
        <f t="shared" si="0"/>
        <v>-4.4877462695000006</v>
      </c>
      <c r="K8">
        <f t="shared" si="0"/>
        <v>20.407922911500002</v>
      </c>
      <c r="L8">
        <f>253/2000</f>
        <v>0.1265</v>
      </c>
      <c r="S8">
        <v>-9834.0745590000006</v>
      </c>
      <c r="T8">
        <v>38274.830351999997</v>
      </c>
      <c r="U8">
        <f t="shared" si="1"/>
        <v>-4.9170372795000006</v>
      </c>
      <c r="V8">
        <f t="shared" si="2"/>
        <v>19.137415175999998</v>
      </c>
      <c r="W8">
        <f>596/2000</f>
        <v>0.29799999999999999</v>
      </c>
    </row>
    <row r="9" spans="1:23" x14ac:dyDescent="0.2">
      <c r="H9">
        <v>-8921.9994719999995</v>
      </c>
      <c r="I9">
        <v>40944.048925000003</v>
      </c>
      <c r="J9">
        <f t="shared" si="0"/>
        <v>-4.4609997359999998</v>
      </c>
      <c r="K9">
        <f t="shared" si="0"/>
        <v>20.472024462500002</v>
      </c>
      <c r="L9">
        <f>232/2000</f>
        <v>0.11600000000000001</v>
      </c>
      <c r="S9">
        <v>-9855.1594339999992</v>
      </c>
      <c r="T9">
        <v>38207.839251999998</v>
      </c>
      <c r="U9">
        <f t="shared" si="1"/>
        <v>-4.9275797169999995</v>
      </c>
      <c r="V9">
        <f t="shared" si="2"/>
        <v>19.103919626</v>
      </c>
      <c r="W9">
        <f>604/2000</f>
        <v>0.30199999999999999</v>
      </c>
    </row>
    <row r="10" spans="1:23" x14ac:dyDescent="0.2">
      <c r="H10">
        <v>-8934.6550509999997</v>
      </c>
      <c r="I10">
        <v>40933.048158999998</v>
      </c>
      <c r="J10">
        <f t="shared" si="0"/>
        <v>-4.4673275255</v>
      </c>
      <c r="K10">
        <f t="shared" si="0"/>
        <v>20.466524079499997</v>
      </c>
      <c r="L10">
        <f>237/2000</f>
        <v>0.11849999999999999</v>
      </c>
      <c r="S10">
        <v>-9889.5982480000002</v>
      </c>
      <c r="T10">
        <v>38153.957048999997</v>
      </c>
      <c r="U10">
        <f t="shared" si="1"/>
        <v>-4.9447991240000002</v>
      </c>
      <c r="V10">
        <f t="shared" si="2"/>
        <v>19.076978524499999</v>
      </c>
      <c r="W10">
        <f>617/2000</f>
        <v>0.3085</v>
      </c>
    </row>
    <row r="11" spans="1:23" x14ac:dyDescent="0.2">
      <c r="H11">
        <v>-8919.9320759999991</v>
      </c>
      <c r="I11">
        <v>40931.699830999998</v>
      </c>
      <c r="J11">
        <f t="shared" si="0"/>
        <v>-4.4599660379999992</v>
      </c>
      <c r="K11">
        <f t="shared" si="0"/>
        <v>20.465849915499998</v>
      </c>
      <c r="L11">
        <f>232/2000</f>
        <v>0.11600000000000001</v>
      </c>
      <c r="S11">
        <v>-9887.5485420000005</v>
      </c>
      <c r="T11">
        <v>38160.877019</v>
      </c>
      <c r="U11">
        <f t="shared" si="1"/>
        <v>-4.9437742710000006</v>
      </c>
      <c r="V11">
        <f t="shared" si="2"/>
        <v>19.080438509499999</v>
      </c>
      <c r="W11">
        <f>616/2000</f>
        <v>0.308</v>
      </c>
    </row>
    <row r="12" spans="1:23" x14ac:dyDescent="0.2">
      <c r="H12">
        <v>-8929.2816330000005</v>
      </c>
      <c r="I12">
        <v>40929.537920000002</v>
      </c>
      <c r="J12">
        <f t="shared" si="0"/>
        <v>-4.4646408165000002</v>
      </c>
      <c r="K12">
        <f t="shared" si="0"/>
        <v>20.464768960000001</v>
      </c>
      <c r="L12">
        <f>234/2000</f>
        <v>0.11700000000000001</v>
      </c>
      <c r="S12">
        <v>-9930.1816909999998</v>
      </c>
      <c r="T12">
        <v>38048.040523999996</v>
      </c>
      <c r="U12">
        <f t="shared" si="1"/>
        <v>-4.9650908454999998</v>
      </c>
      <c r="V12">
        <f t="shared" si="2"/>
        <v>19.024020261999997</v>
      </c>
      <c r="W12">
        <f>633/2000</f>
        <v>0.3165</v>
      </c>
    </row>
    <row r="13" spans="1:23" x14ac:dyDescent="0.2">
      <c r="H13">
        <v>-8917.9329579999994</v>
      </c>
      <c r="I13">
        <v>40995.515404999998</v>
      </c>
      <c r="J13">
        <f t="shared" si="0"/>
        <v>-4.4589664789999999</v>
      </c>
      <c r="K13">
        <f t="shared" si="0"/>
        <v>20.4977577025</v>
      </c>
      <c r="L13">
        <f>229/2000</f>
        <v>0.1145</v>
      </c>
      <c r="S13">
        <v>-9898.6645919999992</v>
      </c>
      <c r="T13">
        <v>38135.859959000001</v>
      </c>
      <c r="U13">
        <f t="shared" si="1"/>
        <v>-4.9493322959999997</v>
      </c>
      <c r="V13">
        <f t="shared" si="2"/>
        <v>19.067929979500001</v>
      </c>
      <c r="W13">
        <f>621/2000</f>
        <v>0.3105</v>
      </c>
    </row>
    <row r="14" spans="1:23" x14ac:dyDescent="0.2">
      <c r="H14">
        <v>-8927.2191629999998</v>
      </c>
      <c r="I14">
        <v>40971.567829</v>
      </c>
      <c r="J14">
        <f t="shared" si="0"/>
        <v>-4.4636095815000001</v>
      </c>
      <c r="K14">
        <f t="shared" si="0"/>
        <v>20.485783914500001</v>
      </c>
      <c r="L14">
        <f>233/2000</f>
        <v>0.11650000000000001</v>
      </c>
      <c r="S14">
        <v>-9867.9606170000006</v>
      </c>
      <c r="T14">
        <v>38175.201521000003</v>
      </c>
      <c r="U14">
        <f t="shared" si="1"/>
        <v>-4.9339803085000007</v>
      </c>
      <c r="V14">
        <f t="shared" si="2"/>
        <v>19.087600760500003</v>
      </c>
      <c r="W14">
        <f>608/2000</f>
        <v>0.30399999999999999</v>
      </c>
    </row>
    <row r="16" spans="1:23" x14ac:dyDescent="0.2">
      <c r="G16" t="s">
        <v>27</v>
      </c>
      <c r="R16" t="s">
        <v>29</v>
      </c>
      <c r="S16" t="s">
        <v>4</v>
      </c>
      <c r="T16" t="s">
        <v>5</v>
      </c>
      <c r="U16" t="s">
        <v>6</v>
      </c>
      <c r="V16" t="s">
        <v>7</v>
      </c>
      <c r="W16" t="s">
        <v>9</v>
      </c>
    </row>
    <row r="17" spans="1:23" x14ac:dyDescent="0.2">
      <c r="H17">
        <v>-9429.2402729999994</v>
      </c>
      <c r="I17">
        <v>39307.701560000001</v>
      </c>
      <c r="J17">
        <f t="shared" ref="J17" si="3">H17/2000</f>
        <v>-4.7146201364999998</v>
      </c>
      <c r="K17">
        <f t="shared" ref="K17" si="4">I17/2000</f>
        <v>19.653850779999999</v>
      </c>
      <c r="L17">
        <f>436/2000</f>
        <v>0.218</v>
      </c>
      <c r="S17">
        <v>-12046.768597</v>
      </c>
      <c r="T17">
        <v>34312.584372999998</v>
      </c>
      <c r="U17">
        <f>S17/2000</f>
        <v>-6.0233842984999999</v>
      </c>
      <c r="V17">
        <f>T17/2000</f>
        <v>17.1562921865</v>
      </c>
      <c r="W17">
        <f>1455/2000</f>
        <v>0.72750000000000004</v>
      </c>
    </row>
    <row r="18" spans="1:23" x14ac:dyDescent="0.2">
      <c r="H18">
        <v>-9286.2546170000005</v>
      </c>
      <c r="I18">
        <v>39702.945445999998</v>
      </c>
      <c r="J18">
        <f t="shared" ref="J18" si="5">H18/2000</f>
        <v>-4.6431273085000004</v>
      </c>
      <c r="K18">
        <f t="shared" ref="K18" si="6">I18/2000</f>
        <v>19.851472723000001</v>
      </c>
      <c r="L18">
        <f>380/2000</f>
        <v>0.19</v>
      </c>
      <c r="S18">
        <v>-12090.409148000001</v>
      </c>
      <c r="T18">
        <v>34218.636729999998</v>
      </c>
      <c r="U18">
        <f t="shared" ref="U18:U26" si="7">S18/2000</f>
        <v>-6.0452045740000004</v>
      </c>
      <c r="V18">
        <f t="shared" ref="V18:V26" si="8">T18/2000</f>
        <v>17.109318365</v>
      </c>
      <c r="W18">
        <f>1471/2000</f>
        <v>0.73550000000000004</v>
      </c>
    </row>
    <row r="19" spans="1:23" x14ac:dyDescent="0.2">
      <c r="A19" t="s">
        <v>2</v>
      </c>
      <c r="B19" t="s">
        <v>4</v>
      </c>
      <c r="C19" t="s">
        <v>5</v>
      </c>
      <c r="D19" t="s">
        <v>6</v>
      </c>
      <c r="E19" t="s">
        <v>7</v>
      </c>
      <c r="H19">
        <v>-9392.5993199999994</v>
      </c>
      <c r="I19">
        <v>39391.908973999998</v>
      </c>
      <c r="J19">
        <f t="shared" ref="J19:J26" si="9">H19/2000</f>
        <v>-4.6962996599999993</v>
      </c>
      <c r="K19">
        <f t="shared" ref="K19:K26" si="10">I19/2000</f>
        <v>19.695954486999998</v>
      </c>
      <c r="L19">
        <f>421/2000</f>
        <v>0.21049999999999999</v>
      </c>
      <c r="S19">
        <v>-11926.580304999999</v>
      </c>
      <c r="T19">
        <v>34482.753333000001</v>
      </c>
      <c r="U19">
        <f t="shared" si="7"/>
        <v>-5.9632901524999999</v>
      </c>
      <c r="V19">
        <f t="shared" si="8"/>
        <v>17.241376666499999</v>
      </c>
      <c r="W19">
        <f>1408/2000</f>
        <v>0.70399999999999996</v>
      </c>
    </row>
    <row r="20" spans="1:23" x14ac:dyDescent="0.2">
      <c r="B20">
        <v>-56145.856281</v>
      </c>
      <c r="C20">
        <v>128433.010733</v>
      </c>
      <c r="D20">
        <f>B20/8192</f>
        <v>-6.8537422218017579</v>
      </c>
      <c r="E20">
        <f>C20/8192</f>
        <v>15.677857755493164</v>
      </c>
      <c r="H20">
        <v>-9433.9664580000008</v>
      </c>
      <c r="I20">
        <v>39284.091883000001</v>
      </c>
      <c r="J20">
        <f t="shared" si="9"/>
        <v>-4.7169832290000002</v>
      </c>
      <c r="K20">
        <f t="shared" si="10"/>
        <v>19.642045941500001</v>
      </c>
      <c r="L20">
        <f>436/2000</f>
        <v>0.218</v>
      </c>
      <c r="S20">
        <v>-12010.206249999999</v>
      </c>
      <c r="T20">
        <v>34365.552267999999</v>
      </c>
      <c r="U20">
        <f t="shared" si="7"/>
        <v>-6.0051031249999998</v>
      </c>
      <c r="V20">
        <f t="shared" si="8"/>
        <v>17.182776134000001</v>
      </c>
      <c r="W20">
        <f>1440/2000</f>
        <v>0.72</v>
      </c>
    </row>
    <row r="21" spans="1:23" x14ac:dyDescent="0.2">
      <c r="B21">
        <v>-56145.782738000002</v>
      </c>
      <c r="C21">
        <v>128433.32764600001</v>
      </c>
      <c r="D21">
        <f t="shared" ref="D21:D27" si="11">B21/8192</f>
        <v>-6.8537332443847658</v>
      </c>
      <c r="E21">
        <f t="shared" ref="E21:E27" si="12">C21/8192</f>
        <v>15.67789644116211</v>
      </c>
      <c r="H21">
        <v>-9443.691084</v>
      </c>
      <c r="I21">
        <v>39243.303193</v>
      </c>
      <c r="J21">
        <f t="shared" si="9"/>
        <v>-4.7218455419999996</v>
      </c>
      <c r="K21">
        <f t="shared" si="10"/>
        <v>19.621651596500001</v>
      </c>
      <c r="L21">
        <f>442/2000</f>
        <v>0.221</v>
      </c>
      <c r="S21">
        <v>-11963.047839000001</v>
      </c>
      <c r="T21">
        <v>34429.659218000001</v>
      </c>
      <c r="U21">
        <f t="shared" si="7"/>
        <v>-5.9815239195000007</v>
      </c>
      <c r="V21">
        <f t="shared" si="8"/>
        <v>17.214829608999999</v>
      </c>
      <c r="W21">
        <f>1423/2000</f>
        <v>0.71150000000000002</v>
      </c>
    </row>
    <row r="22" spans="1:23" x14ac:dyDescent="0.2">
      <c r="B22">
        <v>-56145.840490000002</v>
      </c>
      <c r="C22">
        <v>128433.389258</v>
      </c>
      <c r="D22">
        <f t="shared" si="11"/>
        <v>-6.8537402941894534</v>
      </c>
      <c r="E22">
        <f t="shared" si="12"/>
        <v>15.677903962158203</v>
      </c>
      <c r="H22">
        <v>-9409.802764</v>
      </c>
      <c r="I22">
        <v>39355.926223000002</v>
      </c>
      <c r="J22">
        <f t="shared" si="9"/>
        <v>-4.7049013820000001</v>
      </c>
      <c r="K22">
        <f t="shared" si="10"/>
        <v>19.677963111500002</v>
      </c>
      <c r="L22">
        <f>427/2000</f>
        <v>0.2135</v>
      </c>
      <c r="S22">
        <v>-12015.589943999999</v>
      </c>
      <c r="T22">
        <v>34350.922253999997</v>
      </c>
      <c r="U22">
        <f t="shared" si="7"/>
        <v>-6.0077949720000001</v>
      </c>
      <c r="V22">
        <f t="shared" si="8"/>
        <v>17.175461126999998</v>
      </c>
      <c r="W22">
        <f>1444/2000</f>
        <v>0.72199999999999998</v>
      </c>
    </row>
    <row r="23" spans="1:23" x14ac:dyDescent="0.2">
      <c r="B23">
        <v>-56145.760191000001</v>
      </c>
      <c r="C23">
        <v>128433.020741</v>
      </c>
      <c r="D23">
        <f t="shared" si="11"/>
        <v>-6.8537304920654298</v>
      </c>
      <c r="E23">
        <f t="shared" si="12"/>
        <v>15.677858977172852</v>
      </c>
      <c r="H23">
        <v>-9397.7995019999998</v>
      </c>
      <c r="I23">
        <v>39363.973856999997</v>
      </c>
      <c r="J23">
        <f t="shared" si="9"/>
        <v>-4.6988997509999999</v>
      </c>
      <c r="K23">
        <f t="shared" si="10"/>
        <v>19.681986928499999</v>
      </c>
      <c r="L23">
        <f>423/2000</f>
        <v>0.21149999999999999</v>
      </c>
      <c r="S23">
        <v>-11981.588444999999</v>
      </c>
      <c r="T23">
        <v>34408.086861999996</v>
      </c>
      <c r="U23">
        <f t="shared" si="7"/>
        <v>-5.9907942224999999</v>
      </c>
      <c r="V23">
        <f t="shared" si="8"/>
        <v>17.204043430999999</v>
      </c>
      <c r="W23">
        <f>1432/2000</f>
        <v>0.71599999999999997</v>
      </c>
    </row>
    <row r="24" spans="1:23" x14ac:dyDescent="0.2">
      <c r="B24">
        <v>-56146.017575999998</v>
      </c>
      <c r="C24">
        <v>128432.489631</v>
      </c>
      <c r="D24">
        <f t="shared" si="11"/>
        <v>-6.8537619111328123</v>
      </c>
      <c r="E24">
        <f t="shared" si="12"/>
        <v>15.67779414440918</v>
      </c>
      <c r="H24">
        <v>-9350.4766710000004</v>
      </c>
      <c r="I24">
        <v>39514.877895999998</v>
      </c>
      <c r="J24">
        <f t="shared" si="9"/>
        <v>-4.6752383355000005</v>
      </c>
      <c r="K24">
        <f t="shared" si="10"/>
        <v>19.757438948000001</v>
      </c>
      <c r="L24">
        <f>405/2000</f>
        <v>0.20250000000000001</v>
      </c>
      <c r="S24">
        <v>-12065.571706000001</v>
      </c>
      <c r="T24">
        <v>34252.994318999998</v>
      </c>
      <c r="U24">
        <f t="shared" si="7"/>
        <v>-6.032785853</v>
      </c>
      <c r="V24">
        <f t="shared" si="8"/>
        <v>17.126497159499998</v>
      </c>
      <c r="W24">
        <f>1461/2000</f>
        <v>0.73050000000000004</v>
      </c>
    </row>
    <row r="25" spans="1:23" x14ac:dyDescent="0.2">
      <c r="B25">
        <v>-56146.052522999998</v>
      </c>
      <c r="C25">
        <v>128432.80095600001</v>
      </c>
      <c r="D25">
        <f t="shared" si="11"/>
        <v>-6.8537661771240233</v>
      </c>
      <c r="E25">
        <f t="shared" si="12"/>
        <v>15.67783214794922</v>
      </c>
      <c r="H25">
        <v>-9430.8401429999994</v>
      </c>
      <c r="I25">
        <v>39250.022794999997</v>
      </c>
      <c r="J25">
        <f t="shared" si="9"/>
        <v>-4.7154200714999996</v>
      </c>
      <c r="K25">
        <f t="shared" si="10"/>
        <v>19.6250113975</v>
      </c>
      <c r="L25">
        <f>436/2000</f>
        <v>0.218</v>
      </c>
      <c r="S25">
        <v>-12006.535223999999</v>
      </c>
      <c r="T25">
        <v>34360.520040000003</v>
      </c>
      <c r="U25">
        <f t="shared" si="7"/>
        <v>-6.0032676119999993</v>
      </c>
      <c r="V25">
        <f t="shared" si="8"/>
        <v>17.180260020000002</v>
      </c>
      <c r="W25">
        <f>1439/2000</f>
        <v>0.71950000000000003</v>
      </c>
    </row>
    <row r="26" spans="1:23" x14ac:dyDescent="0.2">
      <c r="B26">
        <v>-56145.766315000001</v>
      </c>
      <c r="C26">
        <v>128433.11771000001</v>
      </c>
      <c r="D26">
        <f t="shared" si="11"/>
        <v>-6.8537312396240235</v>
      </c>
      <c r="E26">
        <f t="shared" si="12"/>
        <v>15.677870814208985</v>
      </c>
      <c r="H26">
        <v>-9364.3382989999991</v>
      </c>
      <c r="I26">
        <v>39468.888527000003</v>
      </c>
      <c r="J26">
        <f t="shared" si="9"/>
        <v>-4.6821691495</v>
      </c>
      <c r="K26">
        <f t="shared" si="10"/>
        <v>19.734444263500002</v>
      </c>
      <c r="L26">
        <f>410/2000</f>
        <v>0.20499999999999999</v>
      </c>
      <c r="S26">
        <v>-11976.768087</v>
      </c>
      <c r="T26">
        <v>34418.192278000002</v>
      </c>
      <c r="U26">
        <f t="shared" si="7"/>
        <v>-5.9883840435</v>
      </c>
      <c r="V26">
        <f t="shared" si="8"/>
        <v>17.209096139</v>
      </c>
      <c r="W26">
        <f>1428/2000</f>
        <v>0.71399999999999997</v>
      </c>
    </row>
    <row r="27" spans="1:23" x14ac:dyDescent="0.2">
      <c r="B27">
        <v>-56145.831710999999</v>
      </c>
      <c r="C27">
        <v>128432.723226</v>
      </c>
      <c r="D27">
        <f t="shared" si="11"/>
        <v>-6.8537392225341796</v>
      </c>
      <c r="E27">
        <f t="shared" si="12"/>
        <v>15.677822659423828</v>
      </c>
    </row>
    <row r="28" spans="1:23" x14ac:dyDescent="0.2">
      <c r="B28">
        <v>-56145.685938000002</v>
      </c>
      <c r="C28">
        <v>128433.54932400001</v>
      </c>
      <c r="D28">
        <f t="shared" ref="D28:D29" si="13">B28/8192</f>
        <v>-6.8537214279785159</v>
      </c>
      <c r="E28">
        <f t="shared" ref="E28:E29" si="14">C28/8192</f>
        <v>15.677923501464845</v>
      </c>
    </row>
    <row r="29" spans="1:23" x14ac:dyDescent="0.2">
      <c r="B29">
        <v>-56145.770780999999</v>
      </c>
      <c r="C29">
        <v>128433.225133</v>
      </c>
      <c r="D29">
        <f t="shared" si="13"/>
        <v>-6.853731784790039</v>
      </c>
      <c r="E29">
        <f t="shared" si="14"/>
        <v>15.677883927368164</v>
      </c>
    </row>
    <row r="30" spans="1:23" x14ac:dyDescent="0.2">
      <c r="D30">
        <f>AVERAGE(D20:D29)</f>
        <v>-6.8537398015625</v>
      </c>
    </row>
    <row r="34" spans="3:23" x14ac:dyDescent="0.2">
      <c r="C34" t="s">
        <v>3</v>
      </c>
      <c r="D34" t="s">
        <v>10</v>
      </c>
      <c r="P34" t="s">
        <v>11</v>
      </c>
      <c r="Q34" t="s">
        <v>12</v>
      </c>
      <c r="V34" t="s">
        <v>10</v>
      </c>
    </row>
    <row r="35" spans="3:23" x14ac:dyDescent="0.2">
      <c r="D35" t="s">
        <v>13</v>
      </c>
      <c r="E35" t="s">
        <v>4</v>
      </c>
      <c r="F35" t="s">
        <v>5</v>
      </c>
      <c r="G35" t="s">
        <v>14</v>
      </c>
      <c r="H35" t="s">
        <v>15</v>
      </c>
      <c r="I35" t="s">
        <v>16</v>
      </c>
      <c r="J35" t="s">
        <v>17</v>
      </c>
      <c r="K35" t="s">
        <v>18</v>
      </c>
      <c r="L35" t="s">
        <v>19</v>
      </c>
      <c r="M35" t="s">
        <v>9</v>
      </c>
      <c r="N35" t="s">
        <v>20</v>
      </c>
      <c r="O35" t="s">
        <v>8</v>
      </c>
      <c r="P35" t="s">
        <v>21</v>
      </c>
      <c r="Q35" t="s">
        <v>21</v>
      </c>
      <c r="T35">
        <v>0</v>
      </c>
      <c r="U35" s="3"/>
      <c r="V35">
        <v>0</v>
      </c>
    </row>
    <row r="36" spans="3:23" x14ac:dyDescent="0.2">
      <c r="C36" t="s">
        <v>25</v>
      </c>
      <c r="D36">
        <v>260.31396100000001</v>
      </c>
      <c r="E36">
        <v>-17434.411660999998</v>
      </c>
      <c r="F36">
        <v>79884.152545999998</v>
      </c>
      <c r="G36">
        <v>0.199685</v>
      </c>
      <c r="H36">
        <v>31.117037</v>
      </c>
      <c r="I36">
        <v>186.74600000000001</v>
      </c>
      <c r="J36">
        <v>13.747097</v>
      </c>
      <c r="K36">
        <v>3436</v>
      </c>
      <c r="L36">
        <v>468</v>
      </c>
      <c r="M36">
        <f>L36/(L36+K36)</f>
        <v>0.11987704918032786</v>
      </c>
      <c r="N36">
        <f>-4.1793-2.4352*M36</f>
        <v>-4.471224590163934</v>
      </c>
      <c r="O36">
        <f>E36-(SUM(K36:L36)*N36)</f>
        <v>21.249138999999559</v>
      </c>
      <c r="P36">
        <f>O36/(2*H36*J36)</f>
        <v>2.4837169916845911E-2</v>
      </c>
      <c r="Q36">
        <f>P36*16.02</f>
        <v>0.39789146206787146</v>
      </c>
      <c r="T36" s="2">
        <v>12.68</v>
      </c>
      <c r="U36" s="3" t="s">
        <v>36</v>
      </c>
      <c r="V36" s="4">
        <v>0.44465985394754454</v>
      </c>
      <c r="W36" s="6">
        <v>4.7351574993574251E-2</v>
      </c>
    </row>
    <row r="37" spans="3:23" x14ac:dyDescent="0.2">
      <c r="D37">
        <v>260.29594500000002</v>
      </c>
      <c r="E37">
        <v>-17386.450122999999</v>
      </c>
      <c r="F37">
        <v>79973.628029</v>
      </c>
      <c r="G37">
        <v>0.14479</v>
      </c>
      <c r="H37">
        <v>31.12865</v>
      </c>
      <c r="I37">
        <v>186.815697</v>
      </c>
      <c r="J37">
        <v>13.752228000000001</v>
      </c>
      <c r="K37">
        <v>3454</v>
      </c>
      <c r="L37">
        <v>450</v>
      </c>
      <c r="M37">
        <f>L37/(L37+K37)</f>
        <v>0.11526639344262295</v>
      </c>
      <c r="N37">
        <f t="shared" ref="N37:N40" si="15">-4.1793-2.4352*M37</f>
        <v>-4.4599967213114748</v>
      </c>
      <c r="O37">
        <f>E37-(SUM(K37:L37)*N37)</f>
        <v>25.377076999997371</v>
      </c>
      <c r="P37">
        <f>O37/(2*H37*J37)</f>
        <v>2.9640003553473206E-2</v>
      </c>
      <c r="Q37">
        <f>P37*16.02</f>
        <v>0.47483285692664073</v>
      </c>
      <c r="T37" s="6">
        <v>16.260000000000002</v>
      </c>
      <c r="U37" s="3" t="s">
        <v>37</v>
      </c>
      <c r="V37" s="4">
        <v>0.46894882259020398</v>
      </c>
      <c r="W37" s="6">
        <v>5.5552887633633787E-2</v>
      </c>
    </row>
    <row r="38" spans="3:23" x14ac:dyDescent="0.2">
      <c r="D38">
        <v>260.308469</v>
      </c>
      <c r="E38">
        <v>-17467.654021999999</v>
      </c>
      <c r="F38">
        <v>79651.509833000004</v>
      </c>
      <c r="G38">
        <v>0.20974499999999999</v>
      </c>
      <c r="H38">
        <v>31.0868</v>
      </c>
      <c r="I38">
        <v>186.56453999999999</v>
      </c>
      <c r="J38">
        <v>13.733739</v>
      </c>
      <c r="K38">
        <v>3421</v>
      </c>
      <c r="L38">
        <v>483</v>
      </c>
      <c r="M38">
        <f>L38/(L38+K38)</f>
        <v>0.12371926229508197</v>
      </c>
      <c r="N38">
        <f t="shared" si="15"/>
        <v>-4.4805811475409829</v>
      </c>
      <c r="O38">
        <f>E38-(SUM(K38:L38)*N38)</f>
        <v>24.534777999997459</v>
      </c>
      <c r="P38">
        <f>O38/(2*H38*J38)</f>
        <v>2.8733420474479972E-2</v>
      </c>
      <c r="Q38">
        <f>P38*16.02</f>
        <v>0.46030939600116916</v>
      </c>
      <c r="T38" s="2">
        <v>22.62</v>
      </c>
      <c r="U38" s="3" t="s">
        <v>38</v>
      </c>
      <c r="V38" s="4">
        <v>0.49917983657298343</v>
      </c>
      <c r="W38" s="6">
        <v>4.751312665562088E-2</v>
      </c>
    </row>
    <row r="39" spans="3:23" x14ac:dyDescent="0.2">
      <c r="D39">
        <v>260.25865399999998</v>
      </c>
      <c r="E39">
        <v>-17426.628674</v>
      </c>
      <c r="F39">
        <v>79850.551053000003</v>
      </c>
      <c r="G39">
        <v>0.19908100000000001</v>
      </c>
      <c r="H39">
        <v>31.112673000000001</v>
      </c>
      <c r="I39">
        <v>186.71981199999999</v>
      </c>
      <c r="J39">
        <v>13.74517</v>
      </c>
      <c r="K39">
        <v>3437</v>
      </c>
      <c r="L39">
        <v>467</v>
      </c>
      <c r="M39">
        <f>L39/(L39+K39)</f>
        <v>0.11962090163934426</v>
      </c>
      <c r="N39">
        <f t="shared" si="15"/>
        <v>-4.4706008196721303</v>
      </c>
      <c r="O39">
        <f>E39-(SUM(K39:L39)*N39)</f>
        <v>26.596925999998348</v>
      </c>
      <c r="P39">
        <f>O39/(2*H39*J39)</f>
        <v>3.109667890315556E-2</v>
      </c>
      <c r="Q39">
        <f>P39*16.02</f>
        <v>0.49816879602855207</v>
      </c>
      <c r="T39" s="6">
        <v>27.6760219742164</v>
      </c>
      <c r="U39" s="5" t="s">
        <v>39</v>
      </c>
      <c r="V39" s="4">
        <v>0.56514363468329187</v>
      </c>
      <c r="W39" s="6">
        <v>5.1030459803631981E-2</v>
      </c>
    </row>
    <row r="40" spans="3:23" x14ac:dyDescent="0.2">
      <c r="D40">
        <v>260.24939699999999</v>
      </c>
      <c r="E40">
        <v>-17405.501207000001</v>
      </c>
      <c r="F40">
        <v>79869.941346000007</v>
      </c>
      <c r="G40">
        <v>0.18373500000000001</v>
      </c>
      <c r="H40">
        <v>31.115190999999999</v>
      </c>
      <c r="I40">
        <v>186.73492400000001</v>
      </c>
      <c r="J40">
        <v>13.746282000000001</v>
      </c>
      <c r="K40">
        <v>3448</v>
      </c>
      <c r="L40">
        <v>456</v>
      </c>
      <c r="M40">
        <f>L40/(L40+K40)</f>
        <v>0.11680327868852459</v>
      </c>
      <c r="N40">
        <f t="shared" si="15"/>
        <v>-4.4637393442622946</v>
      </c>
      <c r="O40">
        <f>E40-(SUM(K40:L40)*N40)</f>
        <v>20.937192999997933</v>
      </c>
      <c r="P40">
        <f>O40/(2*H40*J40)</f>
        <v>2.4475453103214074E-2</v>
      </c>
      <c r="Q40">
        <f>P40*16.02</f>
        <v>0.39209675871348948</v>
      </c>
      <c r="T40" s="2">
        <v>36.869999999999997</v>
      </c>
      <c r="U40" s="5" t="s">
        <v>40</v>
      </c>
      <c r="V40" s="4">
        <v>0.40288646784162302</v>
      </c>
      <c r="W40" s="6">
        <v>3.4052652354069055E-2</v>
      </c>
    </row>
    <row r="41" spans="3:23" x14ac:dyDescent="0.2">
      <c r="Q41" s="1">
        <f>AVERAGE(Q36:Q40)</f>
        <v>0.44465985394754454</v>
      </c>
      <c r="R41">
        <f>STDEV(Q36:Q40)</f>
        <v>4.7351574993574251E-2</v>
      </c>
      <c r="T41" s="6">
        <v>46.145146311133402</v>
      </c>
      <c r="U41" s="5" t="s">
        <v>41</v>
      </c>
      <c r="V41" s="4">
        <v>0.53598227237116569</v>
      </c>
      <c r="W41" s="6">
        <v>2.1852434847708827E-2</v>
      </c>
    </row>
    <row r="42" spans="3:23" x14ac:dyDescent="0.2">
      <c r="C42" t="s">
        <v>30</v>
      </c>
      <c r="D42">
        <v>278.822228</v>
      </c>
      <c r="E42">
        <v>-14121.554973</v>
      </c>
      <c r="F42">
        <v>64826.442801999998</v>
      </c>
      <c r="G42">
        <v>6.5615000000000007E-2</v>
      </c>
      <c r="H42">
        <v>24.283384000000002</v>
      </c>
      <c r="I42">
        <v>194.31083000000001</v>
      </c>
      <c r="J42">
        <v>13.738708000000001</v>
      </c>
      <c r="K42">
        <v>2798</v>
      </c>
      <c r="L42">
        <v>370</v>
      </c>
      <c r="M42">
        <f>L42/(L42+K42)</f>
        <v>0.1167929292929293</v>
      </c>
      <c r="N42">
        <f>-4.1793-2.4352*M42</f>
        <v>-4.4637141414141412</v>
      </c>
      <c r="O42">
        <f>E42-(SUM(K42:L42)*N42)</f>
        <v>19.491426999999021</v>
      </c>
      <c r="P42">
        <f>O42/(2*H42*J42)</f>
        <v>2.9211814847285064E-2</v>
      </c>
      <c r="Q42">
        <f>P42*16.02</f>
        <v>0.46797327385350673</v>
      </c>
      <c r="T42" s="2">
        <v>53.13</v>
      </c>
      <c r="U42" s="5" t="s">
        <v>42</v>
      </c>
      <c r="V42" s="4">
        <v>0.42087263802782304</v>
      </c>
      <c r="W42" s="6">
        <v>3.4253639990180731E-2</v>
      </c>
    </row>
    <row r="43" spans="3:23" x14ac:dyDescent="0.2">
      <c r="D43">
        <v>278.96108700000002</v>
      </c>
      <c r="E43">
        <v>-14221.743676</v>
      </c>
      <c r="F43">
        <v>64503.110237000001</v>
      </c>
      <c r="G43">
        <v>8.0282999999999993E-2</v>
      </c>
      <c r="H43">
        <v>24.242944999999999</v>
      </c>
      <c r="I43">
        <v>193.98723899999999</v>
      </c>
      <c r="J43">
        <v>13.715828</v>
      </c>
      <c r="K43">
        <v>2756</v>
      </c>
      <c r="L43">
        <v>412</v>
      </c>
      <c r="M43">
        <f>L43/(L43+K43)</f>
        <v>0.13005050505050506</v>
      </c>
      <c r="N43">
        <f t="shared" ref="N43:N46" si="16">-4.1793-2.4352*M43</f>
        <v>-4.4959989898989896</v>
      </c>
      <c r="O43">
        <f>E43-(SUM(K43:L43)*N43)</f>
        <v>21.581123999998454</v>
      </c>
      <c r="P43">
        <f>O43/(2*H43*J43)</f>
        <v>3.245164062800357E-2</v>
      </c>
      <c r="Q43">
        <f>P43*16.02</f>
        <v>0.51987528286061713</v>
      </c>
      <c r="T43" s="2">
        <v>61.71</v>
      </c>
      <c r="U43" s="5" t="s">
        <v>43</v>
      </c>
      <c r="V43" s="4">
        <v>0.54475518656878408</v>
      </c>
      <c r="W43" s="6">
        <v>8.3128903014754965E-2</v>
      </c>
    </row>
    <row r="44" spans="3:23" x14ac:dyDescent="0.2">
      <c r="D44">
        <v>278.963933</v>
      </c>
      <c r="E44">
        <v>-14154.192335</v>
      </c>
      <c r="F44">
        <v>64731.170071</v>
      </c>
      <c r="G44">
        <v>0.11587699999999999</v>
      </c>
      <c r="H44">
        <v>24.271483</v>
      </c>
      <c r="I44">
        <v>194.21559300000001</v>
      </c>
      <c r="J44">
        <v>13.731973999999999</v>
      </c>
      <c r="K44">
        <v>2784</v>
      </c>
      <c r="L44">
        <v>384</v>
      </c>
      <c r="M44">
        <f>L44/(L44+K44)</f>
        <v>0.12121212121212122</v>
      </c>
      <c r="N44">
        <f t="shared" si="16"/>
        <v>-4.4744757575757568</v>
      </c>
      <c r="O44">
        <f>E44-(SUM(K44:L44)*N44)</f>
        <v>20.94686499999807</v>
      </c>
      <c r="P44">
        <f>O44/(2*H44*J44)</f>
        <v>3.1423876035529243E-2</v>
      </c>
      <c r="Q44">
        <f>P44*16.02</f>
        <v>0.50341049408917848</v>
      </c>
      <c r="T44" s="6">
        <v>67.724661178359398</v>
      </c>
      <c r="U44" s="5" t="s">
        <v>44</v>
      </c>
      <c r="V44" s="4">
        <v>0.53728565842313691</v>
      </c>
      <c r="W44" s="6">
        <v>3.9394064958688614E-2</v>
      </c>
    </row>
    <row r="45" spans="3:23" x14ac:dyDescent="0.2">
      <c r="D45">
        <v>278.80986799999999</v>
      </c>
      <c r="E45">
        <v>-14169.206867999999</v>
      </c>
      <c r="F45">
        <v>64711.625245000003</v>
      </c>
      <c r="G45">
        <v>6.5975000000000006E-2</v>
      </c>
      <c r="H45">
        <v>24.26904</v>
      </c>
      <c r="I45">
        <v>194.196045</v>
      </c>
      <c r="J45">
        <v>13.730592</v>
      </c>
      <c r="K45">
        <v>2780</v>
      </c>
      <c r="L45">
        <v>388</v>
      </c>
      <c r="M45">
        <f>L45/(L45+K45)</f>
        <v>0.12247474747474747</v>
      </c>
      <c r="N45">
        <f t="shared" si="16"/>
        <v>-4.4775505050505044</v>
      </c>
      <c r="O45">
        <f>E45-(SUM(K45:L45)*N45)</f>
        <v>15.673131999998077</v>
      </c>
      <c r="P45">
        <f>O45/(2*H45*J45)</f>
        <v>2.3517109195545567E-2</v>
      </c>
      <c r="Q45">
        <f>P45*16.02</f>
        <v>0.37674408931263997</v>
      </c>
      <c r="T45" s="6">
        <v>73.933636606903903</v>
      </c>
      <c r="U45" s="5" t="s">
        <v>45</v>
      </c>
      <c r="V45" s="4">
        <v>0.46906016243959786</v>
      </c>
      <c r="W45" s="6">
        <v>5.6160318163827418E-2</v>
      </c>
    </row>
    <row r="46" spans="3:23" x14ac:dyDescent="0.2">
      <c r="D46">
        <v>278.85461400000003</v>
      </c>
      <c r="E46">
        <v>-14138.239807</v>
      </c>
      <c r="F46">
        <v>64808.739259000002</v>
      </c>
      <c r="G46">
        <v>5.6195000000000002E-2</v>
      </c>
      <c r="H46">
        <v>24.281174</v>
      </c>
      <c r="I46">
        <v>194.29313999999999</v>
      </c>
      <c r="J46">
        <v>13.737456999999999</v>
      </c>
      <c r="K46">
        <v>2791</v>
      </c>
      <c r="L46">
        <v>377</v>
      </c>
      <c r="M46">
        <f>L46/(L46+K46)</f>
        <v>0.11900252525252525</v>
      </c>
      <c r="N46">
        <f t="shared" si="16"/>
        <v>-4.4690949494949495</v>
      </c>
      <c r="O46">
        <f>E46-(SUM(K46:L46)*N46)</f>
        <v>19.852993000000424</v>
      </c>
      <c r="P46">
        <f>O46/(2*H46*J46)</f>
        <v>2.9759111912301992E-2</v>
      </c>
      <c r="Q46">
        <f>P46*16.02</f>
        <v>0.47674097283507788</v>
      </c>
      <c r="T46" s="2">
        <v>90</v>
      </c>
      <c r="V46" s="1">
        <v>0</v>
      </c>
    </row>
    <row r="47" spans="3:23" x14ac:dyDescent="0.2">
      <c r="Q47" s="1">
        <f>AVERAGE(Q42:Q46)</f>
        <v>0.46894882259020398</v>
      </c>
      <c r="R47">
        <f>STDEV(Q42:Q46)</f>
        <v>5.5552887633633787E-2</v>
      </c>
      <c r="U47" s="5" t="s">
        <v>46</v>
      </c>
      <c r="V47">
        <f>AVERAGE(V36:V45)</f>
        <v>0.48887745334661548</v>
      </c>
    </row>
    <row r="48" spans="3:23" x14ac:dyDescent="0.2">
      <c r="C48" t="s">
        <v>24</v>
      </c>
      <c r="D48">
        <v>278.88886500000001</v>
      </c>
      <c r="E48">
        <v>-11048.674972999999</v>
      </c>
      <c r="F48">
        <v>50483.442895</v>
      </c>
      <c r="G48">
        <v>4.6350000000000002E-3</v>
      </c>
      <c r="H48">
        <v>35.005032999999997</v>
      </c>
      <c r="I48">
        <v>140.04199700000001</v>
      </c>
      <c r="J48">
        <v>10.298170000000001</v>
      </c>
      <c r="K48">
        <v>2169</v>
      </c>
      <c r="L48">
        <v>303</v>
      </c>
      <c r="M48">
        <f>L48/(L48+K48)</f>
        <v>0.12257281553398058</v>
      </c>
      <c r="N48">
        <f>-4.1793-2.4352*M48</f>
        <v>-4.4777893203883492</v>
      </c>
      <c r="O48">
        <f>E48-(SUM(K48:L48)*N48)</f>
        <v>20.420227000000523</v>
      </c>
      <c r="P48">
        <f>O48/(2*H48*J48)</f>
        <v>2.8323050175149911E-2</v>
      </c>
      <c r="Q48">
        <f>P48*16.02</f>
        <v>0.45373526380590157</v>
      </c>
    </row>
    <row r="49" spans="3:23" x14ac:dyDescent="0.2">
      <c r="D49">
        <v>278.82646999999997</v>
      </c>
      <c r="E49">
        <v>-10988.661432000001</v>
      </c>
      <c r="F49">
        <v>50700.639899000002</v>
      </c>
      <c r="G49">
        <v>-3.7671999999999997E-2</v>
      </c>
      <c r="H49">
        <v>35.055163</v>
      </c>
      <c r="I49">
        <v>140.242546</v>
      </c>
      <c r="J49">
        <v>10.312918</v>
      </c>
      <c r="K49">
        <v>2192</v>
      </c>
      <c r="L49">
        <v>280</v>
      </c>
      <c r="M49">
        <f>L49/(L49+K49)</f>
        <v>0.11326860841423948</v>
      </c>
      <c r="N49">
        <f t="shared" ref="N49:N52" si="17">-4.1793-2.4352*M49</f>
        <v>-4.4551317152103556</v>
      </c>
      <c r="O49">
        <f>E49-(SUM(K49:L49)*N49)</f>
        <v>24.424167999997735</v>
      </c>
      <c r="P49">
        <f>O49/(2*H49*J49)</f>
        <v>3.3779734161727991E-2</v>
      </c>
      <c r="Q49">
        <f>P49*16.02</f>
        <v>0.54115134127088238</v>
      </c>
      <c r="V49" t="s">
        <v>27</v>
      </c>
    </row>
    <row r="50" spans="3:23" x14ac:dyDescent="0.2">
      <c r="D50">
        <v>279.02813400000002</v>
      </c>
      <c r="E50">
        <v>-11036.453224000001</v>
      </c>
      <c r="F50">
        <v>50546.025651000004</v>
      </c>
      <c r="G50">
        <v>0.105869</v>
      </c>
      <c r="H50">
        <v>35.019492</v>
      </c>
      <c r="I50">
        <v>140.099841</v>
      </c>
      <c r="J50">
        <v>10.302424</v>
      </c>
      <c r="K50">
        <v>2173</v>
      </c>
      <c r="L50">
        <v>299</v>
      </c>
      <c r="M50">
        <f>L50/(L50+K50)</f>
        <v>0.12095469255663431</v>
      </c>
      <c r="N50">
        <f t="shared" si="17"/>
        <v>-4.4738488673139152</v>
      </c>
      <c r="O50">
        <f>E50-(SUM(K50:L50)*N50)</f>
        <v>22.901175999997577</v>
      </c>
      <c r="P50">
        <f>O50/(2*H50*J50)</f>
        <v>3.1737924848491153E-2</v>
      </c>
      <c r="Q50">
        <f>P50*16.02</f>
        <v>0.50844155607282826</v>
      </c>
      <c r="T50">
        <v>0</v>
      </c>
      <c r="U50" s="3"/>
      <c r="V50" s="1">
        <v>0</v>
      </c>
    </row>
    <row r="51" spans="3:23" x14ac:dyDescent="0.2">
      <c r="D51">
        <v>278.96845200000001</v>
      </c>
      <c r="E51">
        <v>-11014.889406</v>
      </c>
      <c r="F51">
        <v>50674.451639999999</v>
      </c>
      <c r="G51">
        <v>3.4296E-2</v>
      </c>
      <c r="H51">
        <v>35.049126000000001</v>
      </c>
      <c r="I51">
        <v>140.21839499999999</v>
      </c>
      <c r="J51">
        <v>10.311142</v>
      </c>
      <c r="K51">
        <v>2183</v>
      </c>
      <c r="L51">
        <v>289</v>
      </c>
      <c r="M51">
        <f>L51/(L51+K51)</f>
        <v>0.11690938511326861</v>
      </c>
      <c r="N51">
        <f t="shared" si="17"/>
        <v>-4.4639977346278314</v>
      </c>
      <c r="O51">
        <f>E51-(SUM(K51:L51)*N51)</f>
        <v>20.112993999999162</v>
      </c>
      <c r="P51">
        <f>O51/(2*H51*J51)</f>
        <v>2.7826768045880711E-2</v>
      </c>
      <c r="Q51">
        <f>P51*16.02</f>
        <v>0.44578482409500897</v>
      </c>
      <c r="T51" s="2">
        <v>12.68</v>
      </c>
      <c r="U51" s="3" t="s">
        <v>36</v>
      </c>
      <c r="V51" s="4">
        <v>0.5083340391902561</v>
      </c>
      <c r="W51" s="6">
        <v>6.8492719272697969E-2</v>
      </c>
    </row>
    <row r="52" spans="3:23" x14ac:dyDescent="0.2">
      <c r="D52">
        <v>278.89574900000002</v>
      </c>
      <c r="E52">
        <v>-11005.463972</v>
      </c>
      <c r="F52">
        <v>50668.405101999997</v>
      </c>
      <c r="G52">
        <v>8.0488000000000004E-2</v>
      </c>
      <c r="H52">
        <v>35.047730999999999</v>
      </c>
      <c r="I52">
        <v>140.212817</v>
      </c>
      <c r="J52">
        <v>10.310732</v>
      </c>
      <c r="K52">
        <v>2185</v>
      </c>
      <c r="L52">
        <v>287</v>
      </c>
      <c r="M52">
        <f>L52/(L52+K52)</f>
        <v>0.11610032362459546</v>
      </c>
      <c r="N52">
        <f t="shared" si="17"/>
        <v>-4.462027508090614</v>
      </c>
      <c r="O52">
        <f>E52-(SUM(K52:L52)*N52)</f>
        <v>24.66802799999823</v>
      </c>
      <c r="P52">
        <f>O52/(2*H52*J52)</f>
        <v>3.4131473010005992E-2</v>
      </c>
      <c r="Q52">
        <f>P52*16.02</f>
        <v>0.54678619762029601</v>
      </c>
      <c r="T52" s="6">
        <v>16.260000000000002</v>
      </c>
      <c r="U52" s="3" t="s">
        <v>37</v>
      </c>
      <c r="V52" s="4">
        <v>0.54603479755484341</v>
      </c>
      <c r="W52" s="6">
        <v>0.1100742435302645</v>
      </c>
    </row>
    <row r="53" spans="3:23" x14ac:dyDescent="0.2">
      <c r="Q53" s="1">
        <f>AVERAGE(Q48:Q52)</f>
        <v>0.49917983657298343</v>
      </c>
      <c r="R53">
        <f>STDEV(Q48:Q52)</f>
        <v>4.751312665562088E-2</v>
      </c>
      <c r="T53" s="2">
        <v>22.62</v>
      </c>
      <c r="U53" s="3" t="s">
        <v>38</v>
      </c>
      <c r="V53" s="4">
        <v>0.54709137891775317</v>
      </c>
      <c r="W53" s="6">
        <v>8.7645126521571484E-2</v>
      </c>
    </row>
    <row r="54" spans="3:23" x14ac:dyDescent="0.2">
      <c r="C54" t="s">
        <v>31</v>
      </c>
      <c r="D54">
        <v>278.89605499999999</v>
      </c>
      <c r="E54">
        <v>-14429.354227</v>
      </c>
      <c r="F54">
        <v>66088.736439</v>
      </c>
      <c r="G54">
        <v>6.4970000000000002E-3</v>
      </c>
      <c r="H54">
        <v>28.315280999999999</v>
      </c>
      <c r="I54">
        <v>169.91355799999999</v>
      </c>
      <c r="J54">
        <v>13.736575</v>
      </c>
      <c r="K54">
        <v>2843</v>
      </c>
      <c r="L54">
        <v>389</v>
      </c>
      <c r="M54">
        <f>L54/(L54+K54)</f>
        <v>0.1203589108910891</v>
      </c>
      <c r="N54">
        <f>-4.1793-2.4352*M54</f>
        <v>-4.4723980198019797</v>
      </c>
      <c r="O54">
        <f>E54-(SUM(K54:L54)*N54)</f>
        <v>25.436172999998234</v>
      </c>
      <c r="P54">
        <f>O54/(2*H54*J54)</f>
        <v>3.2698093912943385E-2</v>
      </c>
      <c r="Q54">
        <f>P54*16.02</f>
        <v>0.523823464485353</v>
      </c>
      <c r="T54" s="6">
        <v>27.6760219742164</v>
      </c>
      <c r="U54" s="5" t="s">
        <v>39</v>
      </c>
      <c r="V54" s="4">
        <v>0.59849038685260092</v>
      </c>
      <c r="W54" s="6">
        <v>3.4327506984367262E-2</v>
      </c>
    </row>
    <row r="55" spans="3:23" x14ac:dyDescent="0.2">
      <c r="D55">
        <v>278.95667900000001</v>
      </c>
      <c r="E55">
        <v>-14391.955343</v>
      </c>
      <c r="F55">
        <v>66209.934032000005</v>
      </c>
      <c r="G55">
        <v>0.120923</v>
      </c>
      <c r="H55">
        <v>28.332578999999999</v>
      </c>
      <c r="I55">
        <v>170.01736</v>
      </c>
      <c r="J55">
        <v>13.744967000000001</v>
      </c>
      <c r="K55">
        <v>2857</v>
      </c>
      <c r="L55">
        <v>375</v>
      </c>
      <c r="M55">
        <f>L55/(L55+K55)</f>
        <v>0.11602722772277228</v>
      </c>
      <c r="N55">
        <f t="shared" ref="N55:N58" si="18">-4.1793-2.4352*M55</f>
        <v>-4.4618495049504947</v>
      </c>
      <c r="O55">
        <f>E55-(SUM(K55:L55)*N55)</f>
        <v>28.742256999999881</v>
      </c>
      <c r="P55">
        <f>O55/(2*H55*J55)</f>
        <v>3.690294812985799E-2</v>
      </c>
      <c r="Q55">
        <f>P55*16.02</f>
        <v>0.591185229040325</v>
      </c>
      <c r="T55" s="2">
        <v>36.869999999999997</v>
      </c>
      <c r="U55" s="5" t="s">
        <v>40</v>
      </c>
      <c r="V55" s="4">
        <v>0.53215984863180876</v>
      </c>
      <c r="W55" s="6">
        <v>4.9887077086268036E-2</v>
      </c>
    </row>
    <row r="56" spans="3:23" x14ac:dyDescent="0.2">
      <c r="D56">
        <v>278.95153900000003</v>
      </c>
      <c r="E56">
        <v>-14373.834954</v>
      </c>
      <c r="F56">
        <v>66272.421461999998</v>
      </c>
      <c r="G56">
        <v>0.12561800000000001</v>
      </c>
      <c r="H56">
        <v>28.341488999999999</v>
      </c>
      <c r="I56">
        <v>170.070829</v>
      </c>
      <c r="J56">
        <v>13.749288999999999</v>
      </c>
      <c r="K56">
        <v>2864</v>
      </c>
      <c r="L56">
        <v>368</v>
      </c>
      <c r="M56">
        <f>L56/(L56+K56)</f>
        <v>0.11386138613861387</v>
      </c>
      <c r="N56">
        <f t="shared" si="18"/>
        <v>-4.4565752475247518</v>
      </c>
      <c r="O56">
        <f>E56-(SUM(K56:L56)*N56)</f>
        <v>29.8162459999985</v>
      </c>
      <c r="P56">
        <f>O56/(2*H56*J56)</f>
        <v>3.8257806234914191E-2</v>
      </c>
      <c r="Q56">
        <f>P56*16.02</f>
        <v>0.61289005588332535</v>
      </c>
      <c r="T56" s="6">
        <v>46.145146311133402</v>
      </c>
      <c r="U56" s="5" t="s">
        <v>41</v>
      </c>
      <c r="V56" s="4">
        <v>0.6705576397669597</v>
      </c>
      <c r="W56" s="6">
        <v>0.1236663019611889</v>
      </c>
    </row>
    <row r="57" spans="3:23" x14ac:dyDescent="0.2">
      <c r="D57">
        <v>278.98524500000002</v>
      </c>
      <c r="E57">
        <v>-14354.967185</v>
      </c>
      <c r="F57">
        <v>66314.574947999994</v>
      </c>
      <c r="G57">
        <v>0.126411</v>
      </c>
      <c r="H57">
        <v>28.347497000000001</v>
      </c>
      <c r="I57">
        <v>170.10687899999999</v>
      </c>
      <c r="J57">
        <v>13.752204000000001</v>
      </c>
      <c r="K57">
        <v>2872</v>
      </c>
      <c r="L57">
        <v>360</v>
      </c>
      <c r="M57">
        <f>L57/(L57+K57)</f>
        <v>0.11138613861386139</v>
      </c>
      <c r="N57">
        <f t="shared" si="18"/>
        <v>-4.4505475247524746</v>
      </c>
      <c r="O57">
        <f>E57-(SUM(K57:L57)*N57)</f>
        <v>29.202414999997927</v>
      </c>
      <c r="P57">
        <f>O57/(2*H57*J57)</f>
        <v>3.7454305521266308E-2</v>
      </c>
      <c r="Q57">
        <f>P57*16.02</f>
        <v>0.60001797445068628</v>
      </c>
      <c r="T57" s="2">
        <v>53.13</v>
      </c>
      <c r="U57" s="5" t="s">
        <v>42</v>
      </c>
      <c r="V57" s="4">
        <v>0.59400485673215964</v>
      </c>
      <c r="W57" s="6">
        <v>3.5782770418028569E-2</v>
      </c>
    </row>
    <row r="58" spans="3:23" x14ac:dyDescent="0.2">
      <c r="D58">
        <v>278.87541599999997</v>
      </c>
      <c r="E58">
        <v>-14372.11044</v>
      </c>
      <c r="F58">
        <v>66345.555739000003</v>
      </c>
      <c r="G58">
        <v>9.3121999999999996E-2</v>
      </c>
      <c r="H58">
        <v>28.351911000000001</v>
      </c>
      <c r="I58">
        <v>170.133366</v>
      </c>
      <c r="J58">
        <v>13.754345000000001</v>
      </c>
      <c r="K58">
        <v>2867</v>
      </c>
      <c r="L58">
        <v>365</v>
      </c>
      <c r="M58">
        <f>L58/(L58+K58)</f>
        <v>0.11293316831683169</v>
      </c>
      <c r="N58">
        <f t="shared" si="18"/>
        <v>-4.4543148514851483</v>
      </c>
      <c r="O58">
        <f>E58-(SUM(K58:L58)*N58)</f>
        <v>24.235159999998359</v>
      </c>
      <c r="P58">
        <f>O58/(2*H58*J58)</f>
        <v>3.1073748411783356E-2</v>
      </c>
      <c r="Q58">
        <f>P58*16.02</f>
        <v>0.49780144955676936</v>
      </c>
      <c r="T58" s="2">
        <v>61.71</v>
      </c>
      <c r="U58" s="5" t="s">
        <v>43</v>
      </c>
      <c r="V58" s="4">
        <v>0.63024142752933132</v>
      </c>
      <c r="W58" s="6">
        <v>6.1486019318409461E-2</v>
      </c>
    </row>
    <row r="59" spans="3:23" x14ac:dyDescent="0.2">
      <c r="Q59" s="1">
        <f>AVERAGE(Q54:Q58)</f>
        <v>0.56514363468329187</v>
      </c>
      <c r="R59">
        <f>STDEV(Q54:Q58)</f>
        <v>5.1030459803631981E-2</v>
      </c>
      <c r="T59" s="6">
        <v>67.724661178359398</v>
      </c>
      <c r="U59" s="5" t="s">
        <v>44</v>
      </c>
      <c r="V59" s="4">
        <v>0.6146765083179252</v>
      </c>
      <c r="W59" s="6">
        <v>6.744773037794137E-2</v>
      </c>
    </row>
    <row r="60" spans="3:23" x14ac:dyDescent="0.2">
      <c r="C60" t="s">
        <v>23</v>
      </c>
      <c r="D60">
        <v>278.909626</v>
      </c>
      <c r="E60">
        <v>-12854.489304000001</v>
      </c>
      <c r="F60">
        <v>59012.671579000002</v>
      </c>
      <c r="G60">
        <v>-1.4388E-2</v>
      </c>
      <c r="H60">
        <v>32.642192000000001</v>
      </c>
      <c r="I60">
        <v>130.96442999999999</v>
      </c>
      <c r="J60">
        <v>13.80424</v>
      </c>
      <c r="K60">
        <v>2534</v>
      </c>
      <c r="L60">
        <v>346</v>
      </c>
      <c r="M60">
        <f>L60/(L60+K60)</f>
        <v>0.12013888888888889</v>
      </c>
      <c r="N60">
        <f>-4.1793-2.4352*M60</f>
        <v>-4.4718622222222217</v>
      </c>
      <c r="O60">
        <f>E60-(SUM(K60:L60)*N60)</f>
        <v>24.473895999997694</v>
      </c>
      <c r="P60">
        <f>O60/(2*H60*J60)</f>
        <v>2.7156969108382764E-2</v>
      </c>
      <c r="Q60">
        <f>P60*16.02</f>
        <v>0.43505464511629188</v>
      </c>
      <c r="T60" s="6">
        <v>73.933636606903903</v>
      </c>
      <c r="U60" s="5" t="s">
        <v>45</v>
      </c>
      <c r="V60" s="4">
        <v>0.63021078588312118</v>
      </c>
      <c r="W60" s="6">
        <v>9.0745325408004923E-2</v>
      </c>
    </row>
    <row r="61" spans="3:23" x14ac:dyDescent="0.2">
      <c r="D61">
        <v>278.976812</v>
      </c>
      <c r="E61">
        <v>-12827.060192000001</v>
      </c>
      <c r="F61">
        <v>59170.382595000003</v>
      </c>
      <c r="G61">
        <v>3.9084000000000001E-2</v>
      </c>
      <c r="H61">
        <v>32.671244999999999</v>
      </c>
      <c r="I61">
        <v>131.08099300000001</v>
      </c>
      <c r="J61">
        <v>13.816526</v>
      </c>
      <c r="K61">
        <v>2547</v>
      </c>
      <c r="L61">
        <v>333</v>
      </c>
      <c r="M61">
        <f>L61/(L61+K61)</f>
        <v>0.11562500000000001</v>
      </c>
      <c r="N61">
        <f t="shared" ref="N61:N64" si="19">-4.1793-2.4352*M61</f>
        <v>-4.4608699999999999</v>
      </c>
      <c r="O61">
        <f>E61-(SUM(K61:L61)*N61)</f>
        <v>20.245407999998861</v>
      </c>
      <c r="P61">
        <f>O61/(2*H61*J61)</f>
        <v>2.2424976402609136E-2</v>
      </c>
      <c r="Q61">
        <f>P61*16.02</f>
        <v>0.35924812196979833</v>
      </c>
      <c r="T61" s="2">
        <v>90</v>
      </c>
      <c r="V61" s="1">
        <v>0</v>
      </c>
    </row>
    <row r="62" spans="3:23" x14ac:dyDescent="0.2">
      <c r="D62">
        <v>278.80678999999998</v>
      </c>
      <c r="E62">
        <v>-12845.493522999999</v>
      </c>
      <c r="F62">
        <v>59004.212056999997</v>
      </c>
      <c r="G62">
        <v>1.5089999999999999E-2</v>
      </c>
      <c r="H62">
        <v>32.640631999999997</v>
      </c>
      <c r="I62">
        <v>130.95817099999999</v>
      </c>
      <c r="J62">
        <v>13.80358</v>
      </c>
      <c r="K62">
        <v>2538</v>
      </c>
      <c r="L62">
        <v>342</v>
      </c>
      <c r="M62">
        <f>L62/(L62+K62)</f>
        <v>0.11874999999999999</v>
      </c>
      <c r="N62">
        <f t="shared" si="19"/>
        <v>-4.4684799999999996</v>
      </c>
      <c r="O62">
        <f>E62-(SUM(K62:L62)*N62)</f>
        <v>23.728876999999557</v>
      </c>
      <c r="P62">
        <f>O62/(2*H62*J62)</f>
        <v>2.6332791094129091E-2</v>
      </c>
      <c r="Q62">
        <f>P62*16.02</f>
        <v>0.42185131332794801</v>
      </c>
      <c r="U62" s="5" t="s">
        <v>46</v>
      </c>
      <c r="V62">
        <f>AVERAGE(V51:V60)</f>
        <v>0.58718016693767594</v>
      </c>
    </row>
    <row r="63" spans="3:23" x14ac:dyDescent="0.2">
      <c r="D63">
        <v>278.80912000000001</v>
      </c>
      <c r="E63">
        <v>-12801.444207</v>
      </c>
      <c r="F63">
        <v>59200.129236000001</v>
      </c>
      <c r="G63">
        <v>8.924E-2</v>
      </c>
      <c r="H63">
        <v>32.676718999999999</v>
      </c>
      <c r="I63">
        <v>131.10295600000001</v>
      </c>
      <c r="J63">
        <v>13.818841000000001</v>
      </c>
      <c r="K63">
        <v>2556</v>
      </c>
      <c r="L63">
        <v>324</v>
      </c>
      <c r="M63">
        <f>L63/(L63+K63)</f>
        <v>0.1125</v>
      </c>
      <c r="N63">
        <f t="shared" si="19"/>
        <v>-4.4532599999999993</v>
      </c>
      <c r="O63">
        <f>E63-(SUM(K63:L63)*N63)</f>
        <v>23.944592999998349</v>
      </c>
      <c r="P63">
        <f>O63/(2*H63*J63)</f>
        <v>2.6513520668275982E-2</v>
      </c>
      <c r="Q63">
        <f>P63*16.02</f>
        <v>0.42474660110578122</v>
      </c>
    </row>
    <row r="64" spans="3:23" x14ac:dyDescent="0.2">
      <c r="D64">
        <v>278.933986</v>
      </c>
      <c r="E64">
        <v>-12799.469508</v>
      </c>
      <c r="F64">
        <v>59164.209030999999</v>
      </c>
      <c r="G64">
        <v>0.20293900000000001</v>
      </c>
      <c r="H64">
        <v>32.670107999999999</v>
      </c>
      <c r="I64">
        <v>131.076435</v>
      </c>
      <c r="J64">
        <v>13.816046</v>
      </c>
      <c r="K64">
        <v>2558</v>
      </c>
      <c r="L64">
        <v>322</v>
      </c>
      <c r="M64">
        <f>L64/(L64+K64)</f>
        <v>0.11180555555555556</v>
      </c>
      <c r="N64">
        <f t="shared" si="19"/>
        <v>-4.4515688888888887</v>
      </c>
      <c r="O64">
        <f>E64-(SUM(K64:L64)*N64)</f>
        <v>21.048891999998887</v>
      </c>
      <c r="P64">
        <f>O64/(2*H64*J64)</f>
        <v>2.3316582876922336E-2</v>
      </c>
      <c r="Q64">
        <f>P64*16.02</f>
        <v>0.37353165768829583</v>
      </c>
      <c r="V64" t="s">
        <v>28</v>
      </c>
    </row>
    <row r="65" spans="3:23" x14ac:dyDescent="0.2">
      <c r="Q65" s="1">
        <f>AVERAGE(Q60:Q64)</f>
        <v>0.40288646784162302</v>
      </c>
      <c r="R65">
        <f>STDEV(Q60:Q64)</f>
        <v>3.4052652354069055E-2</v>
      </c>
      <c r="T65">
        <v>0</v>
      </c>
      <c r="U65" s="3"/>
      <c r="V65" s="1">
        <v>0</v>
      </c>
    </row>
    <row r="66" spans="3:23" x14ac:dyDescent="0.2">
      <c r="C66" t="s">
        <v>32</v>
      </c>
      <c r="D66">
        <v>278.89696700000002</v>
      </c>
      <c r="E66">
        <v>-16444.930166999999</v>
      </c>
      <c r="F66">
        <v>75198.450960000002</v>
      </c>
      <c r="G66">
        <v>1.493E-3</v>
      </c>
      <c r="H66">
        <v>26.154071999999999</v>
      </c>
      <c r="I66">
        <v>209.276332</v>
      </c>
      <c r="J66">
        <v>13.738818</v>
      </c>
      <c r="K66">
        <v>3233</v>
      </c>
      <c r="L66">
        <v>447</v>
      </c>
      <c r="M66">
        <f>L66/(L66+K66)</f>
        <v>0.12146739130434783</v>
      </c>
      <c r="N66">
        <f>-4.1793-2.4352*M66</f>
        <v>-4.475097391304347</v>
      </c>
      <c r="O66">
        <f>E66-(SUM(K66:L66)*N66)</f>
        <v>23.428232999998727</v>
      </c>
      <c r="P66">
        <f>O66/(2*H66*J66)</f>
        <v>3.2600244217089673E-2</v>
      </c>
      <c r="Q66">
        <f>P66*16.02</f>
        <v>0.52225591235777657</v>
      </c>
      <c r="T66" s="2">
        <v>12.68</v>
      </c>
      <c r="U66" s="3" t="s">
        <v>36</v>
      </c>
      <c r="V66" s="4">
        <v>0.64306204919471954</v>
      </c>
      <c r="W66" s="6">
        <v>4.2881620380527764E-2</v>
      </c>
    </row>
    <row r="67" spans="3:23" x14ac:dyDescent="0.2">
      <c r="D67">
        <v>278.84728699999999</v>
      </c>
      <c r="E67">
        <v>-16421.530372000001</v>
      </c>
      <c r="F67">
        <v>75288.015081000005</v>
      </c>
      <c r="G67">
        <v>0.120435</v>
      </c>
      <c r="H67">
        <v>26.164451</v>
      </c>
      <c r="I67">
        <v>209.35938300000001</v>
      </c>
      <c r="J67">
        <v>13.744270999999999</v>
      </c>
      <c r="K67">
        <v>3242</v>
      </c>
      <c r="L67">
        <v>438</v>
      </c>
      <c r="M67">
        <f>L67/(L67+K67)</f>
        <v>0.11902173913043479</v>
      </c>
      <c r="N67">
        <f t="shared" ref="N67:N70" si="20">-4.1793-2.4352*M67</f>
        <v>-4.4691417391304347</v>
      </c>
      <c r="O67">
        <f>E67-(SUM(K67:L67)*N67)</f>
        <v>24.911227999997209</v>
      </c>
      <c r="P67">
        <f>O67/(2*H67*J67)</f>
        <v>3.4636324895795351E-2</v>
      </c>
      <c r="Q67">
        <f>P67*16.02</f>
        <v>0.55487392483064146</v>
      </c>
      <c r="T67" s="6">
        <v>16.260000000000002</v>
      </c>
      <c r="U67" s="3" t="s">
        <v>37</v>
      </c>
      <c r="V67" s="4">
        <v>0.68283599852513743</v>
      </c>
      <c r="W67" s="6">
        <v>5.2161324792489125E-2</v>
      </c>
    </row>
    <row r="68" spans="3:23" x14ac:dyDescent="0.2">
      <c r="D68">
        <v>278.88308699999999</v>
      </c>
      <c r="E68">
        <v>-16394.30472</v>
      </c>
      <c r="F68">
        <v>75415.950152000005</v>
      </c>
      <c r="G68">
        <v>0.16330900000000001</v>
      </c>
      <c r="H68">
        <v>26.179262999999999</v>
      </c>
      <c r="I68">
        <v>209.477903</v>
      </c>
      <c r="J68">
        <v>13.752051</v>
      </c>
      <c r="K68">
        <v>3253</v>
      </c>
      <c r="L68">
        <v>427</v>
      </c>
      <c r="M68">
        <f>L68/(L68+K68)</f>
        <v>0.11603260869565217</v>
      </c>
      <c r="N68">
        <f t="shared" si="20"/>
        <v>-4.4618626086956521</v>
      </c>
      <c r="O68">
        <f>E68-(SUM(K68:L68)*N68)</f>
        <v>25.349679999999353</v>
      </c>
      <c r="P68">
        <f>O68/(2*H68*J68)</f>
        <v>3.5206073828171626E-2</v>
      </c>
      <c r="Q68">
        <f>P68*16.02</f>
        <v>0.56400130272730942</v>
      </c>
      <c r="T68" s="2">
        <v>22.62</v>
      </c>
      <c r="U68" s="3" t="s">
        <v>38</v>
      </c>
      <c r="V68" s="4">
        <v>0.6787302331240308</v>
      </c>
      <c r="W68" s="6">
        <v>3.144788991739849E-2</v>
      </c>
    </row>
    <row r="69" spans="3:23" x14ac:dyDescent="0.2">
      <c r="D69">
        <v>278.88827199999997</v>
      </c>
      <c r="E69">
        <v>-16391.609666</v>
      </c>
      <c r="F69">
        <v>75422.410740000007</v>
      </c>
      <c r="G69">
        <v>2.9278999999999999E-2</v>
      </c>
      <c r="H69">
        <v>26.180011</v>
      </c>
      <c r="I69">
        <v>209.48388499999999</v>
      </c>
      <c r="J69">
        <v>13.752444000000001</v>
      </c>
      <c r="K69">
        <v>3255</v>
      </c>
      <c r="L69">
        <v>425</v>
      </c>
      <c r="M69">
        <f>L69/(L69+K69)</f>
        <v>0.11548913043478261</v>
      </c>
      <c r="N69">
        <f t="shared" si="20"/>
        <v>-4.4605391304347819</v>
      </c>
      <c r="O69">
        <f>E69-(SUM(K69:L69)*N69)</f>
        <v>23.174333999995724</v>
      </c>
      <c r="P69">
        <f>O69/(2*H69*J69)</f>
        <v>3.2183076413794649E-2</v>
      </c>
      <c r="Q69">
        <f>P69*16.02</f>
        <v>0.51557288414899027</v>
      </c>
      <c r="T69" s="6">
        <v>27.6760219742164</v>
      </c>
      <c r="U69" s="5" t="s">
        <v>39</v>
      </c>
      <c r="V69" s="4">
        <v>0.71140427792523897</v>
      </c>
      <c r="W69" s="6">
        <v>0.12535025279922765</v>
      </c>
    </row>
    <row r="70" spans="3:23" x14ac:dyDescent="0.2">
      <c r="D70">
        <v>278.94177999999999</v>
      </c>
      <c r="E70">
        <v>-16447.307540999998</v>
      </c>
      <c r="F70">
        <v>75271.246073999995</v>
      </c>
      <c r="G70">
        <v>4.4666999999999998E-2</v>
      </c>
      <c r="H70">
        <v>26.162509</v>
      </c>
      <c r="I70">
        <v>209.34384</v>
      </c>
      <c r="J70">
        <v>13.74325</v>
      </c>
      <c r="K70">
        <v>3232</v>
      </c>
      <c r="L70">
        <v>448</v>
      </c>
      <c r="M70">
        <f>L70/(L70+K70)</f>
        <v>0.12173913043478261</v>
      </c>
      <c r="N70">
        <f t="shared" si="20"/>
        <v>-4.4757591304347821</v>
      </c>
      <c r="O70">
        <f>E70-(SUM(K70:L70)*N70)</f>
        <v>23.486058999998932</v>
      </c>
      <c r="P70">
        <f>O70/(2*H70*J70)</f>
        <v>3.2659634069357742E-2</v>
      </c>
      <c r="Q70">
        <f>P70*16.02</f>
        <v>0.52320733779111106</v>
      </c>
      <c r="T70" s="2">
        <v>36.869999999999997</v>
      </c>
      <c r="U70" s="5" t="s">
        <v>40</v>
      </c>
      <c r="V70" s="4">
        <v>0.64164837941376907</v>
      </c>
      <c r="W70" s="6">
        <v>4.8635355007315445E-2</v>
      </c>
    </row>
    <row r="71" spans="3:23" x14ac:dyDescent="0.2">
      <c r="Q71" s="1">
        <f>AVERAGE(Q66:Q70)</f>
        <v>0.53598227237116569</v>
      </c>
      <c r="R71">
        <f>STDEV(Q66:Q70)</f>
        <v>2.1852434847708827E-2</v>
      </c>
      <c r="T71" s="6">
        <v>46.145146311133402</v>
      </c>
      <c r="U71" s="5" t="s">
        <v>41</v>
      </c>
      <c r="V71" s="4">
        <v>0.84341431985590898</v>
      </c>
      <c r="W71" s="6">
        <v>0.10780605270600992</v>
      </c>
    </row>
    <row r="72" spans="3:23" x14ac:dyDescent="0.2">
      <c r="C72" t="s">
        <v>22</v>
      </c>
      <c r="D72">
        <v>260.30792200000002</v>
      </c>
      <c r="E72">
        <v>-16846.644504</v>
      </c>
      <c r="F72">
        <v>77302.586463</v>
      </c>
      <c r="G72">
        <v>0.21963099999999999</v>
      </c>
      <c r="H72">
        <v>30.637988</v>
      </c>
      <c r="I72">
        <v>92.072143999999994</v>
      </c>
      <c r="J72">
        <v>27.403462999999999</v>
      </c>
      <c r="K72">
        <v>3320</v>
      </c>
      <c r="L72">
        <v>456</v>
      </c>
      <c r="M72">
        <f>L72/(L72+K72)</f>
        <v>0.12076271186440678</v>
      </c>
      <c r="N72">
        <f>-4.1793-2.4352*M72</f>
        <v>-4.4733813559322027</v>
      </c>
      <c r="O72">
        <f>E72-(SUM(K72:L72)*N72)</f>
        <v>44.843495999997685</v>
      </c>
      <c r="P72">
        <f>O72/(2*H72*J72)</f>
        <v>2.6705688375851577E-2</v>
      </c>
      <c r="Q72">
        <f>P72*16.02</f>
        <v>0.42782512778114223</v>
      </c>
      <c r="T72" s="2">
        <v>53.13</v>
      </c>
      <c r="U72" s="5" t="s">
        <v>42</v>
      </c>
      <c r="V72" s="4">
        <v>0.65289041625387401</v>
      </c>
      <c r="W72" s="6">
        <v>2.9891771666467934E-2</v>
      </c>
    </row>
    <row r="73" spans="3:23" x14ac:dyDescent="0.2">
      <c r="D73">
        <v>260.26044899999999</v>
      </c>
      <c r="E73">
        <v>-16820.955958999999</v>
      </c>
      <c r="F73">
        <v>77406.830598999994</v>
      </c>
      <c r="G73">
        <v>0.22986200000000001</v>
      </c>
      <c r="H73">
        <v>30.651754</v>
      </c>
      <c r="I73">
        <v>92.113512999999998</v>
      </c>
      <c r="J73">
        <v>27.415775</v>
      </c>
      <c r="K73">
        <v>3333</v>
      </c>
      <c r="L73">
        <v>443</v>
      </c>
      <c r="M73">
        <f>L73/(L73+K73)</f>
        <v>0.11731991525423729</v>
      </c>
      <c r="N73">
        <f t="shared" ref="N73:N75" si="21">-4.1793-2.4352*M73</f>
        <v>-4.4649974576271179</v>
      </c>
      <c r="O73">
        <f>E73-(SUM(K73:L73)*N73)</f>
        <v>38.874440999996295</v>
      </c>
      <c r="P73">
        <f>O73/(2*H73*J73)</f>
        <v>2.3130142203744118E-2</v>
      </c>
      <c r="Q73">
        <f>P73*16.02</f>
        <v>0.37054487810398079</v>
      </c>
      <c r="T73" s="2">
        <v>61.71</v>
      </c>
      <c r="U73" s="5" t="s">
        <v>43</v>
      </c>
      <c r="V73" s="4">
        <v>0.82114769652527309</v>
      </c>
      <c r="W73" s="6">
        <v>6.2991900646629906E-2</v>
      </c>
    </row>
    <row r="74" spans="3:23" x14ac:dyDescent="0.2">
      <c r="D74">
        <v>260.30368600000003</v>
      </c>
      <c r="E74">
        <v>-16880.576886999999</v>
      </c>
      <c r="F74">
        <v>77189.253075999994</v>
      </c>
      <c r="G74">
        <v>0.176815</v>
      </c>
      <c r="H74">
        <v>30.623007999999999</v>
      </c>
      <c r="I74">
        <v>92.027125999999996</v>
      </c>
      <c r="J74">
        <v>27.390063999999999</v>
      </c>
      <c r="K74">
        <v>3305</v>
      </c>
      <c r="L74">
        <v>471</v>
      </c>
      <c r="M74">
        <f>L74/(L74+K74)</f>
        <v>0.12473516949152542</v>
      </c>
      <c r="N74">
        <f t="shared" si="21"/>
        <v>-4.4830550847457626</v>
      </c>
      <c r="O74">
        <f>E74-(SUM(K74:L74)*N74)</f>
        <v>47.439113000000361</v>
      </c>
      <c r="P74">
        <f>O74/(2*H74*J74)</f>
        <v>2.8279105598730994E-2</v>
      </c>
      <c r="Q74">
        <f>P74*16.02</f>
        <v>0.45303127169167051</v>
      </c>
      <c r="T74" s="6">
        <v>67.724661178359398</v>
      </c>
      <c r="U74" s="5" t="s">
        <v>44</v>
      </c>
      <c r="V74" s="4">
        <v>0.77292297727916126</v>
      </c>
      <c r="W74" s="6">
        <v>7.1083281485230659E-2</v>
      </c>
    </row>
    <row r="75" spans="3:23" x14ac:dyDescent="0.2">
      <c r="D75">
        <v>260.27998000000002</v>
      </c>
      <c r="E75">
        <v>-16839.562387000002</v>
      </c>
      <c r="F75">
        <v>77281.345860999994</v>
      </c>
      <c r="G75">
        <v>0.22616700000000001</v>
      </c>
      <c r="H75">
        <v>30.635180999999999</v>
      </c>
      <c r="I75">
        <v>92.06371</v>
      </c>
      <c r="J75">
        <v>27.400952</v>
      </c>
      <c r="K75">
        <v>3322</v>
      </c>
      <c r="L75">
        <v>454</v>
      </c>
      <c r="M75">
        <f>L75/(L75+K75)</f>
        <v>0.12023305084745763</v>
      </c>
      <c r="N75">
        <f t="shared" si="21"/>
        <v>-4.4720915254237283</v>
      </c>
      <c r="O75">
        <f>E75-(SUM(K75:L75)*N75)</f>
        <v>47.055212999996002</v>
      </c>
      <c r="P75">
        <f>O75/(2*H75*J75)</f>
        <v>2.8027970096413161E-2</v>
      </c>
      <c r="Q75">
        <f>P75*16.02</f>
        <v>0.44900808094453881</v>
      </c>
      <c r="T75" s="6">
        <v>73.933636606903903</v>
      </c>
      <c r="U75" s="5" t="s">
        <v>45</v>
      </c>
      <c r="V75" s="4">
        <v>0.66619978438984384</v>
      </c>
      <c r="W75" s="6">
        <v>6.2422959227299915E-2</v>
      </c>
    </row>
    <row r="76" spans="3:23" x14ac:dyDescent="0.2">
      <c r="D76">
        <v>260.337309</v>
      </c>
      <c r="E76">
        <v>-16807.686223000001</v>
      </c>
      <c r="F76">
        <v>77472.459950000004</v>
      </c>
      <c r="G76">
        <v>0.154892</v>
      </c>
      <c r="H76">
        <v>30.660413999999999</v>
      </c>
      <c r="I76">
        <v>92.139538000000002</v>
      </c>
      <c r="J76">
        <v>27.423521000000001</v>
      </c>
      <c r="K76">
        <v>3337</v>
      </c>
      <c r="L76">
        <v>439</v>
      </c>
      <c r="M76">
        <f>L76/(L76+K76)</f>
        <v>0.11626059322033898</v>
      </c>
      <c r="N76">
        <f>-4.1793-2.4352*M76</f>
        <v>-4.4624177966101692</v>
      </c>
      <c r="O76">
        <f>E76-(SUM(K76:L76)*N76)</f>
        <v>42.403376999998727</v>
      </c>
      <c r="P76">
        <f>O76/(2*H76*J76)</f>
        <v>2.5215594982383464E-2</v>
      </c>
      <c r="Q76">
        <f>P76*16.02</f>
        <v>0.40395383161778309</v>
      </c>
      <c r="T76" s="2">
        <v>90</v>
      </c>
      <c r="V76" s="1">
        <v>0</v>
      </c>
    </row>
    <row r="77" spans="3:23" x14ac:dyDescent="0.2">
      <c r="Q77" s="1">
        <f>AVERAGE(Q72:Q76)</f>
        <v>0.42087263802782304</v>
      </c>
      <c r="R77">
        <f>STDEV(Q72:Q76)</f>
        <v>3.4253639990180731E-2</v>
      </c>
      <c r="U77" s="5" t="s">
        <v>46</v>
      </c>
      <c r="V77">
        <f>AVERAGE(V66:V75)</f>
        <v>0.71142561324869569</v>
      </c>
    </row>
    <row r="78" spans="3:23" x14ac:dyDescent="0.2">
      <c r="C78" t="s">
        <v>33</v>
      </c>
      <c r="D78">
        <v>278.96444100000002</v>
      </c>
      <c r="E78">
        <v>-28920.108869</v>
      </c>
      <c r="F78">
        <v>132892.01219199999</v>
      </c>
      <c r="G78">
        <v>1.6396000000000001E-2</v>
      </c>
      <c r="H78">
        <v>40.112496</v>
      </c>
      <c r="I78">
        <v>240.74071699999999</v>
      </c>
      <c r="J78">
        <v>13.761621</v>
      </c>
      <c r="K78">
        <v>5729</v>
      </c>
      <c r="L78">
        <v>759</v>
      </c>
      <c r="M78">
        <f>L78/(L78+K78)</f>
        <v>0.11698520345252775</v>
      </c>
      <c r="N78">
        <f>-4.1793-2.4352*M78</f>
        <v>-4.4641823674475951</v>
      </c>
      <c r="O78">
        <f>E78-(SUM(K78:L78)*N78)</f>
        <v>43.506330999996862</v>
      </c>
      <c r="P78">
        <f>O78/(2*H78*J78)</f>
        <v>3.9406982784781566E-2</v>
      </c>
      <c r="Q78">
        <f>P78*16.02</f>
        <v>0.63129986421220063</v>
      </c>
    </row>
    <row r="79" spans="3:23" x14ac:dyDescent="0.2">
      <c r="D79">
        <v>278.93583899999999</v>
      </c>
      <c r="E79">
        <v>-28956.231687</v>
      </c>
      <c r="F79">
        <v>132778.70415100001</v>
      </c>
      <c r="G79">
        <v>4.7664999999999999E-2</v>
      </c>
      <c r="H79">
        <v>40.101092000000001</v>
      </c>
      <c r="I79">
        <v>240.67227500000001</v>
      </c>
      <c r="J79">
        <v>13.757709</v>
      </c>
      <c r="K79">
        <v>5715</v>
      </c>
      <c r="L79">
        <v>773</v>
      </c>
      <c r="M79">
        <f>L79/(L79+K79)</f>
        <v>0.11914303329223182</v>
      </c>
      <c r="N79">
        <f t="shared" ref="N79:N82" si="22">-4.1793-2.4352*M79</f>
        <v>-4.4694371146732426</v>
      </c>
      <c r="O79">
        <f>E79-(SUM(K79:L79)*N79)</f>
        <v>41.476312999999209</v>
      </c>
      <c r="P79">
        <f>O79/(2*H79*J79)</f>
        <v>3.7589610819010855E-2</v>
      </c>
      <c r="Q79">
        <f>P79*16.02</f>
        <v>0.60218556532055389</v>
      </c>
      <c r="V79" t="s">
        <v>29</v>
      </c>
    </row>
    <row r="80" spans="3:23" x14ac:dyDescent="0.2">
      <c r="D80">
        <v>278.86537199999998</v>
      </c>
      <c r="E80">
        <v>-28959.152892999999</v>
      </c>
      <c r="F80">
        <v>132781.99743399999</v>
      </c>
      <c r="G80">
        <v>5.3656000000000002E-2</v>
      </c>
      <c r="H80">
        <v>40.101424000000002</v>
      </c>
      <c r="I80">
        <v>240.67426499999999</v>
      </c>
      <c r="J80">
        <v>13.757823</v>
      </c>
      <c r="K80">
        <v>5716</v>
      </c>
      <c r="L80">
        <v>772</v>
      </c>
      <c r="M80">
        <f>L80/(L80+K80)</f>
        <v>0.1189889025893958</v>
      </c>
      <c r="N80">
        <f t="shared" si="22"/>
        <v>-4.4690617755856961</v>
      </c>
      <c r="O80">
        <f>E80-(SUM(K80:L80)*N80)</f>
        <v>36.119906999996601</v>
      </c>
      <c r="P80">
        <f>O80/(2*H80*J80)</f>
        <v>3.2734605795741854E-2</v>
      </c>
      <c r="Q80">
        <f>P80*16.02</f>
        <v>0.52440838484778451</v>
      </c>
      <c r="T80">
        <v>0</v>
      </c>
      <c r="U80" s="3"/>
      <c r="V80">
        <v>0</v>
      </c>
    </row>
    <row r="81" spans="3:23" x14ac:dyDescent="0.2">
      <c r="D81">
        <v>278.97312399999998</v>
      </c>
      <c r="E81">
        <v>-28993.995284000001</v>
      </c>
      <c r="F81">
        <v>132643.13404899999</v>
      </c>
      <c r="G81">
        <v>-6.731E-3</v>
      </c>
      <c r="H81">
        <v>40.087440000000001</v>
      </c>
      <c r="I81">
        <v>240.590338</v>
      </c>
      <c r="J81">
        <v>13.753024999999999</v>
      </c>
      <c r="K81">
        <v>5701</v>
      </c>
      <c r="L81">
        <v>787</v>
      </c>
      <c r="M81">
        <f>L81/(L81+K81)</f>
        <v>0.12130086313193589</v>
      </c>
      <c r="N81">
        <f t="shared" si="22"/>
        <v>-4.47469186189889</v>
      </c>
      <c r="O81">
        <f>E81-(SUM(K81:L81)*N81)</f>
        <v>37.805515999996715</v>
      </c>
      <c r="P81">
        <f>O81/(2*H81*J81)</f>
        <v>3.428614196263443E-2</v>
      </c>
      <c r="Q81">
        <f>P81*16.02</f>
        <v>0.5492639942414036</v>
      </c>
      <c r="T81" s="2">
        <v>12.68</v>
      </c>
      <c r="U81" s="3" t="s">
        <v>36</v>
      </c>
      <c r="V81" s="4">
        <v>1.1350463228107839</v>
      </c>
      <c r="W81" s="6">
        <v>9.9414021868181476E-2</v>
      </c>
    </row>
    <row r="82" spans="3:23" x14ac:dyDescent="0.2">
      <c r="D82">
        <v>278.91110900000001</v>
      </c>
      <c r="E82">
        <v>-29015.289059999999</v>
      </c>
      <c r="F82">
        <v>132727.52461699999</v>
      </c>
      <c r="G82">
        <v>5.9100000000000003E-3</v>
      </c>
      <c r="H82">
        <v>40.095939000000001</v>
      </c>
      <c r="I82">
        <v>240.64134899999999</v>
      </c>
      <c r="J82">
        <v>13.755941</v>
      </c>
      <c r="K82">
        <v>5696</v>
      </c>
      <c r="L82">
        <v>792</v>
      </c>
      <c r="M82">
        <f>L82/(L82+K82)</f>
        <v>0.1220715166461159</v>
      </c>
      <c r="N82">
        <f t="shared" si="22"/>
        <v>-4.4765685573366207</v>
      </c>
      <c r="O82">
        <f>E82-(SUM(K82:L82)*N82)</f>
        <v>28.687739999997575</v>
      </c>
      <c r="P82">
        <f>O82/(2*H82*J82)</f>
        <v>2.6006125107489213E-2</v>
      </c>
      <c r="Q82">
        <f>P82*16.02</f>
        <v>0.41661812422197719</v>
      </c>
      <c r="T82" s="6">
        <v>16.260000000000002</v>
      </c>
      <c r="U82" s="3" t="s">
        <v>37</v>
      </c>
      <c r="V82" s="4">
        <v>1.2317719440012211</v>
      </c>
      <c r="W82" s="6">
        <v>0.12691602114426462</v>
      </c>
    </row>
    <row r="83" spans="3:23" x14ac:dyDescent="0.2">
      <c r="Q83" s="1">
        <f>AVERAGE(Q78:Q82)</f>
        <v>0.54475518656878408</v>
      </c>
      <c r="R83">
        <f>STDEV(Q78:Q82)</f>
        <v>8.3128903014754965E-2</v>
      </c>
      <c r="T83" s="2">
        <v>22.62</v>
      </c>
      <c r="U83" s="3" t="s">
        <v>38</v>
      </c>
      <c r="V83" s="4">
        <v>1.2575636306207927</v>
      </c>
      <c r="W83" s="6">
        <v>0.14292118083790686</v>
      </c>
    </row>
    <row r="84" spans="3:23" x14ac:dyDescent="0.2">
      <c r="C84" t="s">
        <v>34</v>
      </c>
      <c r="D84">
        <v>278.83385299999998</v>
      </c>
      <c r="E84">
        <v>-14677.391427</v>
      </c>
      <c r="F84">
        <v>67538.876076</v>
      </c>
      <c r="G84">
        <v>9.5657000000000006E-2</v>
      </c>
      <c r="H84">
        <v>24.779063000000001</v>
      </c>
      <c r="I84">
        <v>198.276284</v>
      </c>
      <c r="J84">
        <v>13.746689</v>
      </c>
      <c r="K84">
        <v>2915</v>
      </c>
      <c r="L84">
        <v>381</v>
      </c>
      <c r="M84">
        <f>L84/(L84+K84)</f>
        <v>0.11559466019417476</v>
      </c>
      <c r="N84">
        <f>-4.1793-2.4352*M84</f>
        <v>-4.460796116504854</v>
      </c>
      <c r="O84">
        <f>E84-(SUM(K84:L84)*N84)</f>
        <v>25.392572999997356</v>
      </c>
      <c r="P84">
        <f>O84/(2*H84*J84)</f>
        <v>3.7272946562418578E-2</v>
      </c>
      <c r="Q84">
        <f>P84*16.02</f>
        <v>0.59711260392994558</v>
      </c>
      <c r="T84" s="6">
        <v>27.6760219742164</v>
      </c>
      <c r="U84" s="5" t="s">
        <v>39</v>
      </c>
      <c r="V84" s="4">
        <v>1.3596107083409497</v>
      </c>
      <c r="W84" s="6">
        <v>6.4309773010397087E-2</v>
      </c>
    </row>
    <row r="85" spans="3:23" x14ac:dyDescent="0.2">
      <c r="D85">
        <v>278.97500200000002</v>
      </c>
      <c r="E85">
        <v>-14782.139701</v>
      </c>
      <c r="F85">
        <v>67176.795358000003</v>
      </c>
      <c r="G85">
        <v>0.124165</v>
      </c>
      <c r="H85">
        <v>24.734703</v>
      </c>
      <c r="I85">
        <v>197.921324</v>
      </c>
      <c r="J85">
        <v>13.722079000000001</v>
      </c>
      <c r="K85">
        <v>2873</v>
      </c>
      <c r="L85">
        <v>423</v>
      </c>
      <c r="M85">
        <f>L85/(L85+K85)</f>
        <v>0.12833737864077671</v>
      </c>
      <c r="N85">
        <f t="shared" ref="N85:N88" si="23">-4.1793-2.4352*M85</f>
        <v>-4.4918271844660191</v>
      </c>
      <c r="O85">
        <f>E85-(SUM(K85:L85)*N85)</f>
        <v>22.922698999998829</v>
      </c>
      <c r="P85">
        <f>O85/(2*H85*J85)</f>
        <v>3.3768295589883479E-2</v>
      </c>
      <c r="Q85">
        <f>P85*16.02</f>
        <v>0.54096809534993329</v>
      </c>
      <c r="T85" s="2">
        <v>36.869999999999997</v>
      </c>
      <c r="U85" s="5" t="s">
        <v>40</v>
      </c>
      <c r="V85" s="4">
        <v>1.158933190054289</v>
      </c>
      <c r="W85" s="6">
        <v>4.8823491957328345E-2</v>
      </c>
    </row>
    <row r="86" spans="3:23" x14ac:dyDescent="0.2">
      <c r="D86">
        <v>278.896522</v>
      </c>
      <c r="E86">
        <v>-14686.314582999999</v>
      </c>
      <c r="F86">
        <v>67503.264043999996</v>
      </c>
      <c r="G86">
        <v>2.7906E-2</v>
      </c>
      <c r="H86">
        <v>24.774706999999999</v>
      </c>
      <c r="I86">
        <v>198.24142900000001</v>
      </c>
      <c r="J86">
        <v>13.744272</v>
      </c>
      <c r="K86">
        <v>2913</v>
      </c>
      <c r="L86">
        <v>383</v>
      </c>
      <c r="M86">
        <f>L86/(L86+K86)</f>
        <v>0.11620145631067962</v>
      </c>
      <c r="N86">
        <f t="shared" si="23"/>
        <v>-4.4622737864077662</v>
      </c>
      <c r="O86">
        <f>E86-(SUM(K86:L86)*N86)</f>
        <v>21.33981699999822</v>
      </c>
      <c r="P86">
        <f>O86/(2*H86*J86)</f>
        <v>3.133505251527513E-2</v>
      </c>
      <c r="Q86">
        <f>P86*16.02</f>
        <v>0.50198754129470757</v>
      </c>
      <c r="T86" s="6">
        <v>46.145146311133402</v>
      </c>
      <c r="U86" s="5" t="s">
        <v>41</v>
      </c>
      <c r="V86" s="4">
        <v>1.4871491531766208</v>
      </c>
      <c r="W86" s="6">
        <v>8.0900753767232131E-2</v>
      </c>
    </row>
    <row r="87" spans="3:23" x14ac:dyDescent="0.2">
      <c r="D87">
        <v>278.85219899999998</v>
      </c>
      <c r="E87">
        <v>-14660.109401</v>
      </c>
      <c r="F87">
        <v>67571.709273</v>
      </c>
      <c r="G87">
        <v>7.152E-2</v>
      </c>
      <c r="H87">
        <v>24.783078</v>
      </c>
      <c r="I87">
        <v>198.30840799999999</v>
      </c>
      <c r="J87">
        <v>13.748915999999999</v>
      </c>
      <c r="K87">
        <v>2923</v>
      </c>
      <c r="L87">
        <v>373</v>
      </c>
      <c r="M87">
        <f>L87/(L87+K87)</f>
        <v>0.11316747572815535</v>
      </c>
      <c r="N87">
        <f t="shared" si="23"/>
        <v>-4.4548854368932034</v>
      </c>
      <c r="O87">
        <f>E87-(SUM(K87:L87)*N87)</f>
        <v>23.192998999998963</v>
      </c>
      <c r="P87">
        <f>O87/(2*H87*J87)</f>
        <v>3.4033233330143901E-2</v>
      </c>
      <c r="Q87">
        <f>P87*16.02</f>
        <v>0.5452123979489053</v>
      </c>
      <c r="T87" s="2">
        <v>53.13</v>
      </c>
      <c r="U87" s="5" t="s">
        <v>42</v>
      </c>
      <c r="V87" s="4">
        <v>1.1620864578396153</v>
      </c>
      <c r="W87" s="6">
        <v>5.3498604011405569E-2</v>
      </c>
    </row>
    <row r="88" spans="3:23" x14ac:dyDescent="0.2">
      <c r="D88">
        <v>278.94821300000001</v>
      </c>
      <c r="E88">
        <v>-14640.035755000001</v>
      </c>
      <c r="F88">
        <v>67720.742809999996</v>
      </c>
      <c r="G88">
        <v>-9.7140000000000004E-3</v>
      </c>
      <c r="H88">
        <v>24.801283999999999</v>
      </c>
      <c r="I88">
        <v>198.454093</v>
      </c>
      <c r="J88">
        <v>13.759016000000001</v>
      </c>
      <c r="K88">
        <v>2932</v>
      </c>
      <c r="L88">
        <v>364</v>
      </c>
      <c r="M88">
        <f>L88/(L88+K88)</f>
        <v>0.1104368932038835</v>
      </c>
      <c r="N88">
        <f t="shared" si="23"/>
        <v>-4.4482359223300971</v>
      </c>
      <c r="O88">
        <f>E88-(SUM(K88:L88)*N88)</f>
        <v>21.349844999998822</v>
      </c>
      <c r="P88">
        <f>O88/(2*H88*J88)</f>
        <v>3.1282625068176841E-2</v>
      </c>
      <c r="Q88">
        <f>P88*16.02</f>
        <v>0.50114765359219293</v>
      </c>
      <c r="T88" s="2">
        <v>61.71</v>
      </c>
      <c r="U88" s="5" t="s">
        <v>43</v>
      </c>
      <c r="V88" s="4">
        <v>1.3300600320336577</v>
      </c>
      <c r="W88" s="6">
        <v>8.9630643658450207E-2</v>
      </c>
    </row>
    <row r="89" spans="3:23" x14ac:dyDescent="0.2">
      <c r="Q89" s="1">
        <f>AVERAGE(Q84:Q88)</f>
        <v>0.53728565842313691</v>
      </c>
      <c r="R89">
        <f>STDEV(Q84:Q88)</f>
        <v>3.9394064958688614E-2</v>
      </c>
      <c r="T89" s="6">
        <v>67.724661178359398</v>
      </c>
      <c r="U89" s="5" t="s">
        <v>44</v>
      </c>
      <c r="V89" s="4">
        <v>1.2494971613912134</v>
      </c>
      <c r="W89" s="6">
        <v>0.18869316656073201</v>
      </c>
    </row>
    <row r="90" spans="3:23" x14ac:dyDescent="0.2">
      <c r="C90" t="s">
        <v>35</v>
      </c>
      <c r="D90">
        <v>278.86435299999999</v>
      </c>
      <c r="E90">
        <v>-21249.716313000001</v>
      </c>
      <c r="F90">
        <v>97077.357086000004</v>
      </c>
      <c r="G90">
        <v>0.140427</v>
      </c>
      <c r="H90">
        <v>34.326976000000002</v>
      </c>
      <c r="I90">
        <v>205.96185600000001</v>
      </c>
      <c r="J90">
        <v>13.730790000000001</v>
      </c>
      <c r="K90">
        <v>4171</v>
      </c>
      <c r="L90">
        <v>581</v>
      </c>
      <c r="M90">
        <f>L90/(L90+K90)</f>
        <v>0.12226430976430977</v>
      </c>
      <c r="N90">
        <f>-4.1793-2.4352*M90</f>
        <v>-4.4770380471380467</v>
      </c>
      <c r="O90">
        <f>E90-(SUM(K90:L90)*N90)</f>
        <v>25.168486999995366</v>
      </c>
      <c r="P90">
        <f>O90/(2*H90*J90)</f>
        <v>2.669906432511758E-2</v>
      </c>
      <c r="Q90">
        <f>P90*16.02</f>
        <v>0.42771901048838362</v>
      </c>
      <c r="T90" s="6">
        <v>73.933636606903903</v>
      </c>
      <c r="U90" s="5" t="s">
        <v>45</v>
      </c>
      <c r="V90" s="4">
        <v>1.2142816317849046</v>
      </c>
      <c r="W90" s="6">
        <v>8.739963860907142E-2</v>
      </c>
    </row>
    <row r="91" spans="3:23" x14ac:dyDescent="0.2">
      <c r="D91">
        <v>278.87435499999998</v>
      </c>
      <c r="E91">
        <v>-21167.535623</v>
      </c>
      <c r="F91">
        <v>97356.917948999995</v>
      </c>
      <c r="G91">
        <v>0.11488</v>
      </c>
      <c r="H91">
        <v>34.359895999999999</v>
      </c>
      <c r="I91">
        <v>206.15937600000001</v>
      </c>
      <c r="J91">
        <v>13.743957999999999</v>
      </c>
      <c r="K91">
        <v>4204</v>
      </c>
      <c r="L91">
        <v>548</v>
      </c>
      <c r="M91">
        <f>L91/(L91+K91)</f>
        <v>0.11531986531986532</v>
      </c>
      <c r="N91">
        <f t="shared" ref="N91:N94" si="24">-4.1793-2.4352*M91</f>
        <v>-4.4601269360269358</v>
      </c>
      <c r="O91">
        <f>E91-(SUM(K91:L91)*N91)</f>
        <v>26.987576999999874</v>
      </c>
      <c r="P91">
        <f>O91/(2*H91*J91)</f>
        <v>2.857394726085646E-2</v>
      </c>
      <c r="Q91">
        <f>P91*16.02</f>
        <v>0.45775463511892051</v>
      </c>
      <c r="T91" s="2">
        <v>90</v>
      </c>
      <c r="V91" s="1">
        <v>0</v>
      </c>
    </row>
    <row r="92" spans="3:23" x14ac:dyDescent="0.2">
      <c r="D92">
        <v>278.98329799999999</v>
      </c>
      <c r="E92">
        <v>-21149.852905</v>
      </c>
      <c r="F92">
        <v>97420.268515999996</v>
      </c>
      <c r="G92">
        <v>0.100677</v>
      </c>
      <c r="H92">
        <v>34.367347000000002</v>
      </c>
      <c r="I92">
        <v>206.204082</v>
      </c>
      <c r="J92">
        <v>13.746938999999999</v>
      </c>
      <c r="K92">
        <v>4209</v>
      </c>
      <c r="L92">
        <v>543</v>
      </c>
      <c r="M92">
        <f>L92/(L92+K92)</f>
        <v>0.11426767676767677</v>
      </c>
      <c r="N92">
        <f t="shared" si="24"/>
        <v>-4.4575646464646459</v>
      </c>
      <c r="O92">
        <f>E92-(SUM(K92:L92)*N92)</f>
        <v>32.494294999996782</v>
      </c>
      <c r="P92">
        <f>O92/(2*H92*J92)</f>
        <v>3.4389440473151629E-2</v>
      </c>
      <c r="Q92">
        <f>P92*16.02</f>
        <v>0.55091883637988903</v>
      </c>
      <c r="U92" s="5" t="s">
        <v>46</v>
      </c>
      <c r="V92">
        <f>AVERAGE(V81:V90)</f>
        <v>1.2586000232054046</v>
      </c>
    </row>
    <row r="93" spans="3:23" x14ac:dyDescent="0.2">
      <c r="D93">
        <v>278.90992899999998</v>
      </c>
      <c r="E93">
        <v>-21199.332815999998</v>
      </c>
      <c r="F93">
        <v>97212.725756</v>
      </c>
      <c r="G93">
        <v>2.6609000000000001E-2</v>
      </c>
      <c r="H93">
        <v>34.342923999999996</v>
      </c>
      <c r="I93">
        <v>206.057546</v>
      </c>
      <c r="J93">
        <v>13.737170000000001</v>
      </c>
      <c r="K93">
        <v>4190</v>
      </c>
      <c r="L93">
        <v>562</v>
      </c>
      <c r="M93">
        <f>L93/(L93+K93)</f>
        <v>0.11826599326599327</v>
      </c>
      <c r="N93">
        <f t="shared" si="24"/>
        <v>-4.4673013468013467</v>
      </c>
      <c r="O93">
        <f>E93-(SUM(K93:L93)*N93)</f>
        <v>29.283183999999892</v>
      </c>
      <c r="P93">
        <f>O93/(2*H93*J93)</f>
        <v>3.1035143597556124E-2</v>
      </c>
      <c r="Q93">
        <f>P93*16.02</f>
        <v>0.49718300043284908</v>
      </c>
    </row>
    <row r="94" spans="3:23" x14ac:dyDescent="0.2">
      <c r="D94">
        <v>278.868179</v>
      </c>
      <c r="E94">
        <v>-21262.841847</v>
      </c>
      <c r="F94">
        <v>97026.806435000006</v>
      </c>
      <c r="G94">
        <v>4.3625999999999998E-2</v>
      </c>
      <c r="H94">
        <v>34.321016999999998</v>
      </c>
      <c r="I94">
        <v>205.92610099999999</v>
      </c>
      <c r="J94">
        <v>13.728407000000001</v>
      </c>
      <c r="K94">
        <v>4166</v>
      </c>
      <c r="L94">
        <v>586</v>
      </c>
      <c r="M94">
        <f>L94/(L94+K94)</f>
        <v>0.12331649831649831</v>
      </c>
      <c r="N94">
        <f t="shared" si="24"/>
        <v>-4.4796003367003365</v>
      </c>
      <c r="O94">
        <f>E94-(SUM(K94:L94)*N94)</f>
        <v>24.218952999999601</v>
      </c>
      <c r="P94">
        <f>O94/(2*H94*J94)</f>
        <v>2.5700707227087834E-2</v>
      </c>
      <c r="Q94">
        <f>P94*16.02</f>
        <v>0.41172532977794707</v>
      </c>
    </row>
    <row r="95" spans="3:23" x14ac:dyDescent="0.2">
      <c r="Q95" s="1">
        <f>AVERAGE(Q90:Q94)</f>
        <v>0.46906016243959786</v>
      </c>
      <c r="R95">
        <f>STDEV(Q90:Q94)</f>
        <v>5.6160318163827418E-2</v>
      </c>
    </row>
    <row r="96" spans="3:23" x14ac:dyDescent="0.2">
      <c r="C96" t="s">
        <v>26</v>
      </c>
      <c r="D96">
        <v>260.25737099999998</v>
      </c>
      <c r="E96">
        <v>-17072.9689</v>
      </c>
      <c r="F96">
        <v>78233.828359000006</v>
      </c>
      <c r="G96">
        <v>0.18833900000000001</v>
      </c>
      <c r="H96">
        <v>30.760525999999999</v>
      </c>
      <c r="I96">
        <v>184.88078300000001</v>
      </c>
      <c r="J96">
        <v>13.756532</v>
      </c>
      <c r="K96">
        <v>3368</v>
      </c>
      <c r="L96">
        <v>456</v>
      </c>
      <c r="M96">
        <f>L96/(L96+K96)</f>
        <v>0.1192468619246862</v>
      </c>
      <c r="N96">
        <f>-4.1793-2.4352*M96</f>
        <v>-4.4696899581589955</v>
      </c>
      <c r="O96">
        <f>E96-(SUM(K96:L96)*N96)</f>
        <v>19.125499999998283</v>
      </c>
      <c r="P96">
        <f>O96/(2*H96*J96)</f>
        <v>2.2598524377310168E-2</v>
      </c>
      <c r="Q96">
        <f>P96*16.02</f>
        <v>0.36202836052450887</v>
      </c>
    </row>
    <row r="97" spans="2:18" x14ac:dyDescent="0.2">
      <c r="D97">
        <v>260.34059000000002</v>
      </c>
      <c r="E97">
        <v>-17049.885883999999</v>
      </c>
      <c r="F97">
        <v>78367.303020000007</v>
      </c>
      <c r="G97">
        <v>0.235373</v>
      </c>
      <c r="H97">
        <v>30.778009999999998</v>
      </c>
      <c r="I97">
        <v>184.98586499999999</v>
      </c>
      <c r="J97">
        <v>13.764351</v>
      </c>
      <c r="K97">
        <v>3378</v>
      </c>
      <c r="L97">
        <v>446</v>
      </c>
      <c r="M97">
        <f>L97/(L97+K97)</f>
        <v>0.11663179916317992</v>
      </c>
      <c r="N97">
        <f t="shared" ref="N97:N100" si="25">-4.1793-2.4352*M97</f>
        <v>-4.4633217573221753</v>
      </c>
      <c r="O97">
        <f>E97-(SUM(K97:L97)*N97)</f>
        <v>17.856515999999829</v>
      </c>
      <c r="P97">
        <f>O97/(2*H97*J97)</f>
        <v>2.1075139417871595E-2</v>
      </c>
      <c r="Q97">
        <f>P97*16.02</f>
        <v>0.33762373347430291</v>
      </c>
    </row>
    <row r="98" spans="2:18" x14ac:dyDescent="0.2">
      <c r="D98">
        <v>260.31377700000002</v>
      </c>
      <c r="E98">
        <v>-17111.342764000001</v>
      </c>
      <c r="F98">
        <v>78148.193226000003</v>
      </c>
      <c r="G98">
        <v>0.22439999999999999</v>
      </c>
      <c r="H98">
        <v>30.749298</v>
      </c>
      <c r="I98">
        <v>184.813301</v>
      </c>
      <c r="J98">
        <v>13.751511000000001</v>
      </c>
      <c r="K98">
        <v>3353</v>
      </c>
      <c r="L98">
        <v>471</v>
      </c>
      <c r="M98">
        <f>L98/(L98+K98)</f>
        <v>0.12316945606694561</v>
      </c>
      <c r="N98">
        <f t="shared" si="25"/>
        <v>-4.4792422594142254</v>
      </c>
      <c r="O98">
        <f>E98-(SUM(K98:L98)*N98)</f>
        <v>17.279635999995662</v>
      </c>
      <c r="P98">
        <f>O98/(2*H98*J98)</f>
        <v>2.0432380524273815E-2</v>
      </c>
      <c r="Q98">
        <f>P98*16.02</f>
        <v>0.32732673599886652</v>
      </c>
    </row>
    <row r="99" spans="2:18" x14ac:dyDescent="0.2">
      <c r="D99">
        <v>260.297842</v>
      </c>
      <c r="E99">
        <v>-17074.315265000001</v>
      </c>
      <c r="F99">
        <v>78208.822639999999</v>
      </c>
      <c r="G99">
        <v>0.25353199999999998</v>
      </c>
      <c r="H99">
        <v>30.757248000000001</v>
      </c>
      <c r="I99">
        <v>184.86108300000001</v>
      </c>
      <c r="J99">
        <v>13.755065999999999</v>
      </c>
      <c r="K99">
        <v>3366</v>
      </c>
      <c r="L99">
        <v>458</v>
      </c>
      <c r="M99">
        <f>L99/(L99+K99)</f>
        <v>0.11976987447698745</v>
      </c>
      <c r="N99">
        <f t="shared" si="25"/>
        <v>-4.4709635983263594</v>
      </c>
      <c r="O99">
        <f>E99-(SUM(K99:L99)*N99)</f>
        <v>22.649534999996831</v>
      </c>
      <c r="P99">
        <f>O99/(2*H99*J99)</f>
        <v>2.6768198343031992E-2</v>
      </c>
      <c r="Q99">
        <f>P99*16.02</f>
        <v>0.42882653745537247</v>
      </c>
    </row>
    <row r="100" spans="2:18" x14ac:dyDescent="0.2">
      <c r="D100">
        <v>260.23795200000001</v>
      </c>
      <c r="E100">
        <v>-17037.029454</v>
      </c>
      <c r="F100">
        <v>78376.985264999996</v>
      </c>
      <c r="G100">
        <v>0.178205</v>
      </c>
      <c r="H100">
        <v>30.779277</v>
      </c>
      <c r="I100">
        <v>184.993483</v>
      </c>
      <c r="J100">
        <v>13.764918</v>
      </c>
      <c r="K100">
        <v>3382</v>
      </c>
      <c r="L100">
        <v>442</v>
      </c>
      <c r="M100">
        <f>L100/(L100+K100)</f>
        <v>0.11558577405857741</v>
      </c>
      <c r="N100">
        <f t="shared" si="25"/>
        <v>-4.4607744769874476</v>
      </c>
      <c r="O100">
        <f>E100-(SUM(K100:L100)*N100)</f>
        <v>20.972146000000066</v>
      </c>
      <c r="P100">
        <f>O100/(2*H100*J100)</f>
        <v>2.4750320897251359E-2</v>
      </c>
      <c r="Q100">
        <f>P100*16.02</f>
        <v>0.39650014077396678</v>
      </c>
    </row>
    <row r="101" spans="2:18" x14ac:dyDescent="0.2">
      <c r="Q101" s="1">
        <f>AVERAGE(Q96:Q100)</f>
        <v>0.37046110164540352</v>
      </c>
      <c r="R101">
        <f>STDEV(Q96:Q100)</f>
        <v>4.2114525484006259E-2</v>
      </c>
    </row>
    <row r="103" spans="2:18" x14ac:dyDescent="0.2">
      <c r="C103" t="s">
        <v>3</v>
      </c>
      <c r="D103" t="s">
        <v>27</v>
      </c>
      <c r="P103" t="s">
        <v>11</v>
      </c>
      <c r="Q103" t="s">
        <v>12</v>
      </c>
    </row>
    <row r="104" spans="2:18" x14ac:dyDescent="0.2">
      <c r="C104" t="s">
        <v>52</v>
      </c>
      <c r="D104" t="s">
        <v>13</v>
      </c>
      <c r="E104" t="s">
        <v>4</v>
      </c>
      <c r="F104" t="s">
        <v>5</v>
      </c>
      <c r="G104" t="s">
        <v>14</v>
      </c>
      <c r="H104" t="s">
        <v>15</v>
      </c>
      <c r="I104" t="s">
        <v>16</v>
      </c>
      <c r="J104" t="s">
        <v>17</v>
      </c>
      <c r="K104" t="s">
        <v>18</v>
      </c>
      <c r="L104" t="s">
        <v>19</v>
      </c>
      <c r="M104" t="s">
        <v>9</v>
      </c>
      <c r="N104" t="s">
        <v>20</v>
      </c>
      <c r="O104" t="s">
        <v>8</v>
      </c>
      <c r="P104" t="s">
        <v>21</v>
      </c>
      <c r="Q104" t="s">
        <v>21</v>
      </c>
    </row>
    <row r="105" spans="2:18" x14ac:dyDescent="0.2">
      <c r="B105" t="s">
        <v>25</v>
      </c>
      <c r="C105">
        <v>100000</v>
      </c>
      <c r="D105">
        <v>260.29269599999998</v>
      </c>
      <c r="E105">
        <v>-18310.621450999999</v>
      </c>
      <c r="F105">
        <v>77044.505680000002</v>
      </c>
      <c r="G105">
        <v>0.216365</v>
      </c>
      <c r="H105">
        <v>30.743873000000001</v>
      </c>
      <c r="I105">
        <v>184.50649300000001</v>
      </c>
      <c r="J105">
        <v>13.582239</v>
      </c>
      <c r="K105">
        <v>3082</v>
      </c>
      <c r="L105">
        <v>822</v>
      </c>
      <c r="M105">
        <f>L105/(L105+K105)</f>
        <v>0.21055327868852458</v>
      </c>
      <c r="N105">
        <f>-4.1541-2.5752*M105</f>
        <v>-4.6963168032786884</v>
      </c>
      <c r="O105">
        <f>E105-(SUM(K105:L105)*N105)</f>
        <v>23.799349000000802</v>
      </c>
      <c r="P105">
        <f>O105/(2*H105*J105)</f>
        <v>2.8497393303644786E-2</v>
      </c>
      <c r="Q105">
        <f>P105*16.02</f>
        <v>0.45652824072438947</v>
      </c>
    </row>
    <row r="106" spans="2:18" x14ac:dyDescent="0.2">
      <c r="C106">
        <v>100000</v>
      </c>
      <c r="D106">
        <v>260.27101699999997</v>
      </c>
      <c r="E106">
        <v>-18407.257397000001</v>
      </c>
      <c r="F106">
        <v>76829.604651000001</v>
      </c>
      <c r="G106">
        <v>0.202126</v>
      </c>
      <c r="H106">
        <v>30.715261999999999</v>
      </c>
      <c r="I106">
        <v>184.33478500000001</v>
      </c>
      <c r="J106">
        <v>13.569599</v>
      </c>
      <c r="K106">
        <v>3043</v>
      </c>
      <c r="L106">
        <v>861</v>
      </c>
      <c r="M106">
        <f>L106/(L106+K106)</f>
        <v>0.22054303278688525</v>
      </c>
      <c r="N106">
        <f t="shared" ref="N106:N109" si="26">-4.1541-2.5752*M106</f>
        <v>-4.7220424180327862</v>
      </c>
      <c r="O106">
        <f>E106-(SUM(K106:L106)*N106)</f>
        <v>27.596202999997331</v>
      </c>
      <c r="P106">
        <f>O106/(2*H106*J106)</f>
        <v>3.3105343409738967E-2</v>
      </c>
      <c r="Q106">
        <f>P106*16.02</f>
        <v>0.53034760142401827</v>
      </c>
    </row>
    <row r="107" spans="2:18" x14ac:dyDescent="0.2">
      <c r="C107">
        <v>100000</v>
      </c>
      <c r="D107">
        <v>260.26996000000003</v>
      </c>
      <c r="E107">
        <v>-18462.156047</v>
      </c>
      <c r="F107">
        <v>76650.176668</v>
      </c>
      <c r="G107">
        <v>0.14041200000000001</v>
      </c>
      <c r="H107">
        <v>30.691331999999999</v>
      </c>
      <c r="I107">
        <v>184.19117600000001</v>
      </c>
      <c r="J107">
        <v>13.559027</v>
      </c>
      <c r="K107">
        <v>3020</v>
      </c>
      <c r="L107">
        <v>884</v>
      </c>
      <c r="M107">
        <f>L107/(L107+K107)</f>
        <v>0.22643442622950818</v>
      </c>
      <c r="N107">
        <f t="shared" si="26"/>
        <v>-4.7372139344262294</v>
      </c>
      <c r="O107">
        <f>E107-(SUM(K107:L107)*N107)</f>
        <v>31.927153000000544</v>
      </c>
      <c r="P107">
        <f>O107/(2*H107*J107)</f>
        <v>3.8360648026235823E-2</v>
      </c>
      <c r="Q107">
        <f>P107*16.02</f>
        <v>0.6145375813802979</v>
      </c>
    </row>
    <row r="108" spans="2:18" x14ac:dyDescent="0.2">
      <c r="C108">
        <v>100000</v>
      </c>
      <c r="D108">
        <v>260.23520500000001</v>
      </c>
      <c r="E108">
        <v>-18329.325378000001</v>
      </c>
      <c r="F108">
        <v>77003.413797999994</v>
      </c>
      <c r="G108">
        <v>0.19590199999999999</v>
      </c>
      <c r="H108">
        <v>30.738406000000001</v>
      </c>
      <c r="I108">
        <v>184.47368599999999</v>
      </c>
      <c r="J108">
        <v>13.579824</v>
      </c>
      <c r="K108">
        <v>3075</v>
      </c>
      <c r="L108">
        <v>829</v>
      </c>
      <c r="M108">
        <f>L108/(L108+K108)</f>
        <v>0.21234631147540983</v>
      </c>
      <c r="N108">
        <f t="shared" si="26"/>
        <v>-4.7009342213114751</v>
      </c>
      <c r="O108">
        <f>E108-(SUM(K108:L108)*N108)</f>
        <v>23.121821999997337</v>
      </c>
      <c r="P108">
        <f>O108/(2*H108*J108)</f>
        <v>2.7695969606436756E-2</v>
      </c>
      <c r="Q108">
        <f>P108*16.02</f>
        <v>0.44368943309511683</v>
      </c>
    </row>
    <row r="109" spans="2:18" x14ac:dyDescent="0.2">
      <c r="C109">
        <v>100000</v>
      </c>
      <c r="D109">
        <v>260.338076</v>
      </c>
      <c r="E109">
        <v>-18445.087159999999</v>
      </c>
      <c r="F109">
        <v>76743.837262000001</v>
      </c>
      <c r="G109">
        <v>0.30166100000000001</v>
      </c>
      <c r="H109">
        <v>30.703828000000001</v>
      </c>
      <c r="I109">
        <v>184.266166</v>
      </c>
      <c r="J109">
        <v>13.564546999999999</v>
      </c>
      <c r="K109">
        <v>3029</v>
      </c>
      <c r="L109">
        <v>875</v>
      </c>
      <c r="M109">
        <f>L109/(L109+K109)</f>
        <v>0.22412909836065573</v>
      </c>
      <c r="N109">
        <f t="shared" si="26"/>
        <v>-4.7312772540983605</v>
      </c>
      <c r="O109">
        <f>E109-(SUM(K109:L109)*N109)</f>
        <v>25.819240000000718</v>
      </c>
      <c r="P109">
        <f>O109/(2*H109*J109)</f>
        <v>3.0996712816944934E-2</v>
      </c>
      <c r="Q109">
        <f>P109*16.02</f>
        <v>0.49656733932745784</v>
      </c>
    </row>
    <row r="110" spans="2:18" x14ac:dyDescent="0.2">
      <c r="Q110" s="1">
        <f>AVERAGE(Q105:Q109)</f>
        <v>0.5083340391902561</v>
      </c>
      <c r="R110">
        <f>STDEV(Q105:Q109)</f>
        <v>6.8492719272697969E-2</v>
      </c>
    </row>
    <row r="111" spans="2:18" x14ac:dyDescent="0.2">
      <c r="B111" t="s">
        <v>30</v>
      </c>
      <c r="C111">
        <v>100000</v>
      </c>
      <c r="D111">
        <v>278.96536900000001</v>
      </c>
      <c r="E111">
        <v>-14963.897289</v>
      </c>
      <c r="F111">
        <v>62204.225812999997</v>
      </c>
      <c r="G111">
        <v>2.5541999999999999E-2</v>
      </c>
      <c r="H111">
        <v>23.951447999999999</v>
      </c>
      <c r="I111">
        <v>191.654743</v>
      </c>
      <c r="J111">
        <v>13.55091</v>
      </c>
      <c r="K111">
        <v>2458</v>
      </c>
      <c r="L111">
        <v>710</v>
      </c>
      <c r="M111">
        <f>L111/(L111+K111)</f>
        <v>0.22411616161616163</v>
      </c>
      <c r="N111">
        <f>-4.1541-2.5752*M111</f>
        <v>-4.7312439393939396</v>
      </c>
      <c r="O111">
        <f>E111-(SUM(K111:L111)*N111)</f>
        <v>24.68351100000109</v>
      </c>
      <c r="P111">
        <f>O111/(2*H111*J111)</f>
        <v>3.8025654989087325E-2</v>
      </c>
      <c r="Q111">
        <f>P111*16.02</f>
        <v>0.60917099292517896</v>
      </c>
    </row>
    <row r="112" spans="2:18" x14ac:dyDescent="0.2">
      <c r="C112">
        <v>100000</v>
      </c>
      <c r="D112">
        <v>278.86754200000001</v>
      </c>
      <c r="E112">
        <v>-14922.46283</v>
      </c>
      <c r="F112">
        <v>62359.561458999997</v>
      </c>
      <c r="G112">
        <v>3.9973000000000002E-2</v>
      </c>
      <c r="H112">
        <v>23.971368999999999</v>
      </c>
      <c r="I112">
        <v>191.814144</v>
      </c>
      <c r="J112">
        <v>13.56218</v>
      </c>
      <c r="K112">
        <v>2475</v>
      </c>
      <c r="L112">
        <v>693</v>
      </c>
      <c r="M112">
        <f t="shared" ref="M112:M115" si="27">L112/(L112+K112)</f>
        <v>0.21875</v>
      </c>
      <c r="N112">
        <f t="shared" ref="N112:N115" si="28">-4.1541-2.5752*M112</f>
        <v>-4.7174249999999995</v>
      </c>
      <c r="O112">
        <f>E112-(SUM(K112:L112)*N112)</f>
        <v>22.339569999998275</v>
      </c>
      <c r="P112">
        <f>O112/(2*H112*J112)</f>
        <v>3.4357572563793702E-2</v>
      </c>
      <c r="Q112">
        <f>P112*16.02</f>
        <v>0.55040831247197508</v>
      </c>
    </row>
    <row r="113" spans="2:18" x14ac:dyDescent="0.2">
      <c r="C113">
        <v>100000</v>
      </c>
      <c r="D113">
        <v>278.97250100000002</v>
      </c>
      <c r="E113">
        <v>-14813.004884</v>
      </c>
      <c r="F113">
        <v>62694.234493000004</v>
      </c>
      <c r="G113">
        <v>6.1565000000000002E-2</v>
      </c>
      <c r="H113">
        <v>24.014175999999999</v>
      </c>
      <c r="I113">
        <v>192.156676</v>
      </c>
      <c r="J113">
        <v>13.586399</v>
      </c>
      <c r="K113">
        <v>2520</v>
      </c>
      <c r="L113">
        <v>648</v>
      </c>
      <c r="M113">
        <f t="shared" si="27"/>
        <v>0.20454545454545456</v>
      </c>
      <c r="N113">
        <f t="shared" si="28"/>
        <v>-4.6808454545454543</v>
      </c>
      <c r="O113">
        <f>E113-(SUM(K113:L113)*N113)</f>
        <v>15.913515999998708</v>
      </c>
      <c r="P113">
        <f>O113/(2*H113*J113)</f>
        <v>2.4387321046356745E-2</v>
      </c>
      <c r="Q113">
        <f>P113*16.02</f>
        <v>0.39068488316263505</v>
      </c>
    </row>
    <row r="114" spans="2:18" x14ac:dyDescent="0.2">
      <c r="C114">
        <v>100000</v>
      </c>
      <c r="D114">
        <v>279.04411900000002</v>
      </c>
      <c r="E114">
        <v>-14885.879816999999</v>
      </c>
      <c r="F114">
        <v>62511.634973</v>
      </c>
      <c r="G114">
        <v>0.227745</v>
      </c>
      <c r="H114">
        <v>23.990839000000001</v>
      </c>
      <c r="I114">
        <v>191.96993900000001</v>
      </c>
      <c r="J114">
        <v>13.573195</v>
      </c>
      <c r="K114">
        <v>2490</v>
      </c>
      <c r="L114">
        <v>678</v>
      </c>
      <c r="M114">
        <f t="shared" si="27"/>
        <v>0.21401515151515152</v>
      </c>
      <c r="N114">
        <f t="shared" si="28"/>
        <v>-4.7052318181818178</v>
      </c>
      <c r="O114">
        <f>E114-(SUM(K114:L114)*N114)</f>
        <v>20.294582999998966</v>
      </c>
      <c r="P114">
        <f>O114/(2*H114*J114)</f>
        <v>3.1161805445596477E-2</v>
      </c>
      <c r="Q114">
        <f>P114*16.02</f>
        <v>0.49921212323845554</v>
      </c>
    </row>
    <row r="115" spans="2:18" x14ac:dyDescent="0.2">
      <c r="C115">
        <v>100000</v>
      </c>
      <c r="D115">
        <v>278.92398300000002</v>
      </c>
      <c r="E115">
        <v>-14935.216742000001</v>
      </c>
      <c r="F115">
        <v>62306.747216999996</v>
      </c>
      <c r="G115">
        <v>4.9855999999999998E-2</v>
      </c>
      <c r="H115">
        <v>23.964600000000001</v>
      </c>
      <c r="I115">
        <v>191.759975</v>
      </c>
      <c r="J115">
        <v>13.558350000000001</v>
      </c>
      <c r="K115">
        <v>2468</v>
      </c>
      <c r="L115">
        <v>700</v>
      </c>
      <c r="M115">
        <f t="shared" si="27"/>
        <v>0.22095959595959597</v>
      </c>
      <c r="N115">
        <f t="shared" si="28"/>
        <v>-4.7231151515151515</v>
      </c>
      <c r="O115">
        <f>E115-(SUM(K115:L115)*N115)</f>
        <v>27.612057999998797</v>
      </c>
      <c r="P115">
        <f>O115/(2*H115*J115)</f>
        <v>4.2490491633955824E-2</v>
      </c>
      <c r="Q115">
        <f>P115*16.02</f>
        <v>0.68069767597597231</v>
      </c>
    </row>
    <row r="116" spans="2:18" x14ac:dyDescent="0.2">
      <c r="Q116" s="1">
        <f>AVERAGE(Q111:Q115)</f>
        <v>0.54603479755484341</v>
      </c>
      <c r="R116">
        <f>STDEV(Q111:Q115)</f>
        <v>0.1100742435302645</v>
      </c>
    </row>
    <row r="117" spans="2:18" x14ac:dyDescent="0.2">
      <c r="B117" t="s">
        <v>24</v>
      </c>
      <c r="C117">
        <v>100000</v>
      </c>
      <c r="D117">
        <v>278.90588400000001</v>
      </c>
      <c r="E117">
        <v>-11740.703031999999</v>
      </c>
      <c r="F117">
        <v>48434.560889</v>
      </c>
      <c r="G117">
        <v>0.11017100000000001</v>
      </c>
      <c r="H117">
        <v>34.524915</v>
      </c>
      <c r="I117">
        <v>138.12122299999999</v>
      </c>
      <c r="J117">
        <v>10.156924</v>
      </c>
      <c r="K117">
        <v>1890</v>
      </c>
      <c r="L117">
        <v>582</v>
      </c>
      <c r="M117">
        <f>L117/(L117+K117)</f>
        <v>0.2354368932038835</v>
      </c>
      <c r="N117">
        <f>-4.1541-2.5752*M117</f>
        <v>-4.7603970873786405</v>
      </c>
      <c r="O117">
        <f>E117-(SUM(K117:L117)*N117)</f>
        <v>26.998567999999068</v>
      </c>
      <c r="P117">
        <f>O117/(2*H117*J117)</f>
        <v>3.8496027273556013E-2</v>
      </c>
      <c r="Q117">
        <f>P117*16.02</f>
        <v>0.6167063569223673</v>
      </c>
    </row>
    <row r="118" spans="2:18" x14ac:dyDescent="0.2">
      <c r="C118">
        <v>100000</v>
      </c>
      <c r="D118">
        <v>278.916831</v>
      </c>
      <c r="E118">
        <v>-11524.037087999999</v>
      </c>
      <c r="F118">
        <v>48992.717204</v>
      </c>
      <c r="G118">
        <v>0.183698</v>
      </c>
      <c r="H118">
        <v>34.657029999999999</v>
      </c>
      <c r="I118">
        <v>138.64976899999999</v>
      </c>
      <c r="J118">
        <v>10.195791</v>
      </c>
      <c r="K118">
        <v>1977</v>
      </c>
      <c r="L118">
        <v>495</v>
      </c>
      <c r="M118">
        <f t="shared" ref="M118:M121" si="29">L118/(L118+K118)</f>
        <v>0.20024271844660194</v>
      </c>
      <c r="N118">
        <f t="shared" ref="N118:N121" si="30">-4.1541-2.5752*M118</f>
        <v>-4.669765048543689</v>
      </c>
      <c r="O118">
        <f>E118-(SUM(K118:L118)*N118)</f>
        <v>19.622112000000925</v>
      </c>
      <c r="P118">
        <f>O118/(2*H118*J118)</f>
        <v>2.7765371448293639E-2</v>
      </c>
      <c r="Q118">
        <f>P118*16.02</f>
        <v>0.44480125060166409</v>
      </c>
    </row>
    <row r="119" spans="2:18" x14ac:dyDescent="0.2">
      <c r="C119">
        <v>100000</v>
      </c>
      <c r="D119">
        <v>278.96474599999999</v>
      </c>
      <c r="E119">
        <v>-11639.48515</v>
      </c>
      <c r="F119">
        <v>48686.388391</v>
      </c>
      <c r="G119">
        <v>8.2295999999999994E-2</v>
      </c>
      <c r="H119">
        <v>34.584648000000001</v>
      </c>
      <c r="I119">
        <v>138.36019300000001</v>
      </c>
      <c r="J119">
        <v>10.174497000000001</v>
      </c>
      <c r="K119">
        <v>1931</v>
      </c>
      <c r="L119">
        <v>541</v>
      </c>
      <c r="M119">
        <f t="shared" si="29"/>
        <v>0.21885113268608414</v>
      </c>
      <c r="N119">
        <f t="shared" si="30"/>
        <v>-4.7176854368932037</v>
      </c>
      <c r="O119">
        <f>E119-(SUM(K119:L119)*N119)</f>
        <v>22.633249999998952</v>
      </c>
      <c r="P119">
        <f>O119/(2*H119*J119)</f>
        <v>3.216033892704491E-2</v>
      </c>
      <c r="Q119">
        <f>P119*16.02</f>
        <v>0.51520862961125946</v>
      </c>
    </row>
    <row r="120" spans="2:18" x14ac:dyDescent="0.2">
      <c r="C120">
        <v>100000</v>
      </c>
      <c r="D120">
        <v>278.93988999999999</v>
      </c>
      <c r="E120">
        <v>-11597.126769</v>
      </c>
      <c r="F120">
        <v>48786.226811</v>
      </c>
      <c r="G120">
        <v>1.9459000000000001E-2</v>
      </c>
      <c r="H120">
        <v>34.608271999999999</v>
      </c>
      <c r="I120">
        <v>138.45470399999999</v>
      </c>
      <c r="J120">
        <v>10.181447</v>
      </c>
      <c r="K120">
        <v>1945</v>
      </c>
      <c r="L120">
        <v>527</v>
      </c>
      <c r="M120">
        <f t="shared" si="29"/>
        <v>0.21318770226537218</v>
      </c>
      <c r="N120">
        <f t="shared" si="30"/>
        <v>-4.7031009708737859</v>
      </c>
      <c r="O120">
        <f>E120-(SUM(K120:L120)*N120)</f>
        <v>28.938830999997663</v>
      </c>
      <c r="P120">
        <f>O120/(2*H120*J120)</f>
        <v>4.1064029916111855E-2</v>
      </c>
      <c r="Q120">
        <f>P120*16.02</f>
        <v>0.65784575925611188</v>
      </c>
    </row>
    <row r="121" spans="2:18" x14ac:dyDescent="0.2">
      <c r="C121">
        <v>100000</v>
      </c>
      <c r="D121">
        <v>278.80575399999998</v>
      </c>
      <c r="E121">
        <v>-11645.261955</v>
      </c>
      <c r="F121">
        <v>48694.358912000003</v>
      </c>
      <c r="G121">
        <v>1.8303E-2</v>
      </c>
      <c r="H121">
        <v>34.586534999999998</v>
      </c>
      <c r="I121">
        <v>138.36774399999999</v>
      </c>
      <c r="J121">
        <v>10.175052000000001</v>
      </c>
      <c r="K121">
        <v>1929</v>
      </c>
      <c r="L121">
        <v>543</v>
      </c>
      <c r="M121">
        <f t="shared" si="29"/>
        <v>0.2196601941747573</v>
      </c>
      <c r="N121">
        <f t="shared" si="30"/>
        <v>-4.7197689320388347</v>
      </c>
      <c r="O121">
        <f>E121-(SUM(K121:L121)*N121)</f>
        <v>22.006844999999885</v>
      </c>
      <c r="P121">
        <f>O121/(2*H121*J121)</f>
        <v>3.1266847577862897E-2</v>
      </c>
      <c r="Q121">
        <f>P121*16.02</f>
        <v>0.50089489819736355</v>
      </c>
    </row>
    <row r="122" spans="2:18" x14ac:dyDescent="0.2">
      <c r="Q122" s="1">
        <f>AVERAGE(Q117:Q121)</f>
        <v>0.54709137891775317</v>
      </c>
      <c r="R122">
        <f>STDEV(Q117:Q121)</f>
        <v>8.7645126521571484E-2</v>
      </c>
    </row>
    <row r="123" spans="2:18" x14ac:dyDescent="0.2">
      <c r="B123" t="s">
        <v>31</v>
      </c>
      <c r="C123">
        <v>100000</v>
      </c>
      <c r="D123">
        <v>278.771477</v>
      </c>
      <c r="E123">
        <v>-15213.882479</v>
      </c>
      <c r="F123">
        <v>63619.225773999999</v>
      </c>
      <c r="G123">
        <v>0.21895800000000001</v>
      </c>
      <c r="H123">
        <v>27.958112</v>
      </c>
      <c r="I123">
        <v>167.77027200000001</v>
      </c>
      <c r="J123">
        <v>13.563302</v>
      </c>
      <c r="K123">
        <v>2526</v>
      </c>
      <c r="L123">
        <v>706</v>
      </c>
      <c r="M123">
        <f>L123/(L123+K123)</f>
        <v>0.21844059405940594</v>
      </c>
      <c r="N123">
        <f>-4.1541-2.5752*M123</f>
        <v>-4.716628217821782</v>
      </c>
      <c r="O123">
        <f>E123-(SUM(K123:L123)*N123)</f>
        <v>30.25992099999894</v>
      </c>
      <c r="P123">
        <f>O123/(2*H123*J123)</f>
        <v>3.9899230692847398E-2</v>
      </c>
      <c r="Q123">
        <f>P123*16.02</f>
        <v>0.63918567569941531</v>
      </c>
    </row>
    <row r="124" spans="2:18" x14ac:dyDescent="0.2">
      <c r="C124">
        <v>100000</v>
      </c>
      <c r="D124">
        <v>278.97760399999999</v>
      </c>
      <c r="E124">
        <v>-15184.900344</v>
      </c>
      <c r="F124">
        <v>63677.629348000002</v>
      </c>
      <c r="G124">
        <v>5.5079999999999999E-3</v>
      </c>
      <c r="H124">
        <v>27.966664999999999</v>
      </c>
      <c r="I124">
        <v>167.82159300000001</v>
      </c>
      <c r="J124">
        <v>13.567451</v>
      </c>
      <c r="K124">
        <v>2538</v>
      </c>
      <c r="L124">
        <v>694</v>
      </c>
      <c r="M124">
        <f t="shared" ref="M124:M127" si="31">L124/(L124+K124)</f>
        <v>0.21472772277227722</v>
      </c>
      <c r="N124">
        <f t="shared" ref="N124:N127" si="32">-4.1541-2.5752*M124</f>
        <v>-4.7070668316831679</v>
      </c>
      <c r="O124">
        <f>E124-(SUM(K124:L124)*N124)</f>
        <v>28.339655999998286</v>
      </c>
      <c r="P124">
        <f>O124/(2*H124*J124)</f>
        <v>3.7344412937261262E-2</v>
      </c>
      <c r="Q124">
        <f>P124*16.02</f>
        <v>0.59825749525492544</v>
      </c>
    </row>
    <row r="125" spans="2:18" x14ac:dyDescent="0.2">
      <c r="C125">
        <v>100000</v>
      </c>
      <c r="D125">
        <v>278.80738600000001</v>
      </c>
      <c r="E125">
        <v>-15320.193155999999</v>
      </c>
      <c r="F125">
        <v>63342.442106000002</v>
      </c>
      <c r="G125">
        <v>-5.2734999999999997E-2</v>
      </c>
      <c r="H125">
        <v>27.917508999999999</v>
      </c>
      <c r="I125">
        <v>167.52661699999999</v>
      </c>
      <c r="J125">
        <v>13.543604</v>
      </c>
      <c r="K125">
        <v>2485</v>
      </c>
      <c r="L125">
        <v>747</v>
      </c>
      <c r="M125">
        <f t="shared" si="31"/>
        <v>0.23112623762376239</v>
      </c>
      <c r="N125">
        <f t="shared" si="32"/>
        <v>-4.749296287128713</v>
      </c>
      <c r="O125">
        <f>E125-(SUM(K125:L125)*N125)</f>
        <v>29.532444000000396</v>
      </c>
      <c r="P125">
        <f>O125/(2*H125*J125)</f>
        <v>3.9053366906439464E-2</v>
      </c>
      <c r="Q125">
        <f>P125*16.02</f>
        <v>0.6256349378411602</v>
      </c>
    </row>
    <row r="126" spans="2:18" x14ac:dyDescent="0.2">
      <c r="C126">
        <v>100000</v>
      </c>
      <c r="D126">
        <v>278.85353700000002</v>
      </c>
      <c r="E126">
        <v>-15165.672721000001</v>
      </c>
      <c r="F126">
        <v>63740.081533999997</v>
      </c>
      <c r="G126">
        <v>0.15515899999999999</v>
      </c>
      <c r="H126">
        <v>27.975805000000001</v>
      </c>
      <c r="I126">
        <v>167.87644</v>
      </c>
      <c r="J126">
        <v>13.571885</v>
      </c>
      <c r="K126">
        <v>2546</v>
      </c>
      <c r="L126">
        <v>686</v>
      </c>
      <c r="M126">
        <f t="shared" si="31"/>
        <v>0.21225247524752475</v>
      </c>
      <c r="N126">
        <f t="shared" si="32"/>
        <v>-4.7006925742574257</v>
      </c>
      <c r="O126">
        <f>E126-(SUM(K126:L126)*N126)</f>
        <v>26.965678999999</v>
      </c>
      <c r="P126">
        <f>O126/(2*H126*J126)</f>
        <v>3.551064833663338E-2</v>
      </c>
      <c r="Q126">
        <f>P126*16.02</f>
        <v>0.56888058635286676</v>
      </c>
    </row>
    <row r="127" spans="2:18" x14ac:dyDescent="0.2">
      <c r="C127">
        <v>100000</v>
      </c>
      <c r="D127">
        <v>278.899203</v>
      </c>
      <c r="E127">
        <v>-15155.746451000001</v>
      </c>
      <c r="F127">
        <v>63823.015745999997</v>
      </c>
      <c r="G127">
        <v>6.9045999999999996E-2</v>
      </c>
      <c r="H127">
        <v>27.987933000000002</v>
      </c>
      <c r="I127">
        <v>167.949219</v>
      </c>
      <c r="J127">
        <v>13.577769</v>
      </c>
      <c r="K127">
        <v>2550</v>
      </c>
      <c r="L127">
        <v>682</v>
      </c>
      <c r="M127">
        <f t="shared" si="31"/>
        <v>0.21101485148514851</v>
      </c>
      <c r="N127">
        <f t="shared" si="32"/>
        <v>-4.6975054455445537</v>
      </c>
      <c r="O127">
        <f>E127-(SUM(K127:L127)*N127)</f>
        <v>26.591148999996221</v>
      </c>
      <c r="P127">
        <f>O127/(2*H127*J127)</f>
        <v>3.4987093577692696E-2</v>
      </c>
      <c r="Q127">
        <f>P127*16.02</f>
        <v>0.560493239114637</v>
      </c>
    </row>
    <row r="128" spans="2:18" x14ac:dyDescent="0.2">
      <c r="Q128" s="1">
        <f>AVERAGE(Q123:Q127)</f>
        <v>0.59849038685260092</v>
      </c>
      <c r="R128">
        <f>STDEV(Q123:Q127)</f>
        <v>3.4327506984367262E-2</v>
      </c>
    </row>
    <row r="129" spans="2:18" x14ac:dyDescent="0.2">
      <c r="B129" t="s">
        <v>23</v>
      </c>
      <c r="C129">
        <v>100000</v>
      </c>
      <c r="D129">
        <v>278.878153</v>
      </c>
      <c r="E129">
        <v>-13565.941799</v>
      </c>
      <c r="F129">
        <v>56642.610496000001</v>
      </c>
      <c r="G129">
        <v>2.6454999999999999E-2</v>
      </c>
      <c r="H129">
        <v>32.199216999999997</v>
      </c>
      <c r="I129">
        <v>129.187161</v>
      </c>
      <c r="J129">
        <v>13.616908</v>
      </c>
      <c r="K129">
        <v>2246</v>
      </c>
      <c r="L129">
        <v>634</v>
      </c>
      <c r="M129">
        <f>L129/(L129+K129)</f>
        <v>0.22013888888888888</v>
      </c>
      <c r="N129">
        <f>-4.1541-2.5752*M129</f>
        <v>-4.7210016666666661</v>
      </c>
      <c r="O129">
        <f>E129-(SUM(K129:L129)*N129)</f>
        <v>30.543000999998185</v>
      </c>
      <c r="P129">
        <f>O129/(2*H129*J129)</f>
        <v>3.4830354649034577E-2</v>
      </c>
      <c r="Q129">
        <f>P129*16.02</f>
        <v>0.55798228147753393</v>
      </c>
    </row>
    <row r="130" spans="2:18" x14ac:dyDescent="0.2">
      <c r="C130">
        <v>100000</v>
      </c>
      <c r="D130">
        <v>279.06021600000003</v>
      </c>
      <c r="E130">
        <v>-13632.764385</v>
      </c>
      <c r="F130">
        <v>56548.441527000003</v>
      </c>
      <c r="G130">
        <v>0.19131200000000001</v>
      </c>
      <c r="H130">
        <v>32.181362999999997</v>
      </c>
      <c r="I130">
        <v>129.11553000000001</v>
      </c>
      <c r="J130">
        <v>13.609358</v>
      </c>
      <c r="K130">
        <v>2220</v>
      </c>
      <c r="L130">
        <v>660</v>
      </c>
      <c r="M130">
        <f t="shared" ref="M130:M133" si="33">L130/(L130+K130)</f>
        <v>0.22916666666666666</v>
      </c>
      <c r="N130">
        <f t="shared" ref="N130:N133" si="34">-4.1541-2.5752*M130</f>
        <v>-4.7442500000000001</v>
      </c>
      <c r="O130">
        <f>E130-(SUM(K130:L130)*N130)</f>
        <v>30.675615000000107</v>
      </c>
      <c r="P130">
        <f>O130/(2*H130*J130)</f>
        <v>3.5020408697675316E-2</v>
      </c>
      <c r="Q130">
        <f>P130*16.02</f>
        <v>0.56102694733675851</v>
      </c>
    </row>
    <row r="131" spans="2:18" x14ac:dyDescent="0.2">
      <c r="C131">
        <v>100000</v>
      </c>
      <c r="D131">
        <v>278.89556399999998</v>
      </c>
      <c r="E131">
        <v>-13595.406172999999</v>
      </c>
      <c r="F131">
        <v>56615.622193000003</v>
      </c>
      <c r="G131">
        <v>0.12551599999999999</v>
      </c>
      <c r="H131">
        <v>32.194102000000001</v>
      </c>
      <c r="I131">
        <v>129.166641</v>
      </c>
      <c r="J131">
        <v>13.614744999999999</v>
      </c>
      <c r="K131">
        <v>2234</v>
      </c>
      <c r="L131">
        <v>646</v>
      </c>
      <c r="M131">
        <f t="shared" si="33"/>
        <v>0.22430555555555556</v>
      </c>
      <c r="N131">
        <f t="shared" si="34"/>
        <v>-4.7317316666666667</v>
      </c>
      <c r="O131">
        <f>E131-(SUM(K131:L131)*N131)</f>
        <v>31.981026999999813</v>
      </c>
      <c r="P131">
        <f>O131/(2*H131*J131)</f>
        <v>3.6481827301546317E-2</v>
      </c>
      <c r="Q131">
        <f>P131*16.02</f>
        <v>0.58443887337077194</v>
      </c>
    </row>
    <row r="132" spans="2:18" x14ac:dyDescent="0.2">
      <c r="C132">
        <v>100000</v>
      </c>
      <c r="D132">
        <v>279.00559800000002</v>
      </c>
      <c r="E132">
        <v>-13541.882239</v>
      </c>
      <c r="F132">
        <v>56788.368473000002</v>
      </c>
      <c r="G132">
        <v>0.104323</v>
      </c>
      <c r="H132">
        <v>32.226813</v>
      </c>
      <c r="I132">
        <v>129.29787899999999</v>
      </c>
      <c r="J132">
        <v>13.628577999999999</v>
      </c>
      <c r="K132">
        <v>2257</v>
      </c>
      <c r="L132">
        <v>623</v>
      </c>
      <c r="M132">
        <f t="shared" si="33"/>
        <v>0.21631944444444445</v>
      </c>
      <c r="N132">
        <f t="shared" si="34"/>
        <v>-4.7111658333333333</v>
      </c>
      <c r="O132">
        <f>E132-(SUM(K132:L132)*N132)</f>
        <v>26.275360999999975</v>
      </c>
      <c r="P132">
        <f>O132/(2*H132*J132)</f>
        <v>2.9912367836794584E-2</v>
      </c>
      <c r="Q132">
        <f>P132*16.02</f>
        <v>0.4791961327454492</v>
      </c>
    </row>
    <row r="133" spans="2:18" x14ac:dyDescent="0.2">
      <c r="C133">
        <v>100000</v>
      </c>
      <c r="D133">
        <v>278.95370700000001</v>
      </c>
      <c r="E133">
        <v>-13480.09713</v>
      </c>
      <c r="F133">
        <v>56909.916299999997</v>
      </c>
      <c r="G133">
        <v>-1.9050000000000001E-2</v>
      </c>
      <c r="H133">
        <v>32.249788000000002</v>
      </c>
      <c r="I133">
        <v>129.39006000000001</v>
      </c>
      <c r="J133">
        <v>13.638294</v>
      </c>
      <c r="K133">
        <v>2281</v>
      </c>
      <c r="L133">
        <v>599</v>
      </c>
      <c r="M133">
        <f t="shared" si="33"/>
        <v>0.20798611111111112</v>
      </c>
      <c r="N133">
        <f t="shared" si="34"/>
        <v>-4.689705833333333</v>
      </c>
      <c r="O133">
        <f>E133-(SUM(K133:L133)*N133)</f>
        <v>26.255669999998645</v>
      </c>
      <c r="P133">
        <f>O133/(2*H133*J133)</f>
        <v>2.9847378790794663E-2</v>
      </c>
      <c r="Q133">
        <f>P133*16.02</f>
        <v>0.47815500822853046</v>
      </c>
    </row>
    <row r="134" spans="2:18" x14ac:dyDescent="0.2">
      <c r="Q134" s="1">
        <f>AVERAGE(Q129:Q133)</f>
        <v>0.53215984863180876</v>
      </c>
      <c r="R134">
        <f>STDEV(Q129:Q133)</f>
        <v>4.9887077086268036E-2</v>
      </c>
    </row>
    <row r="135" spans="2:18" x14ac:dyDescent="0.2">
      <c r="B135" t="s">
        <v>32</v>
      </c>
      <c r="C135">
        <v>100000</v>
      </c>
      <c r="D135">
        <v>278.95166399999999</v>
      </c>
      <c r="E135">
        <v>-17252.547875</v>
      </c>
      <c r="F135">
        <v>72640.203804999997</v>
      </c>
      <c r="G135">
        <v>9.3109999999999998E-2</v>
      </c>
      <c r="H135">
        <v>25.854057000000001</v>
      </c>
      <c r="I135">
        <v>206.875709</v>
      </c>
      <c r="J135">
        <v>13.581219000000001</v>
      </c>
      <c r="K135">
        <v>2905</v>
      </c>
      <c r="L135">
        <v>775</v>
      </c>
      <c r="M135">
        <f>L135/(L135+K135)</f>
        <v>0.21059782608695651</v>
      </c>
      <c r="N135">
        <f>-4.1541-2.5752*M135</f>
        <v>-4.6964315217391306</v>
      </c>
      <c r="O135">
        <f>E135-(SUM(K135:L135)*N135)</f>
        <v>30.320125000002008</v>
      </c>
      <c r="P135">
        <f>O135/(2*H135*J135)</f>
        <v>4.3175118422191752E-2</v>
      </c>
      <c r="Q135">
        <f>P135*16.02</f>
        <v>0.69166539712351183</v>
      </c>
    </row>
    <row r="136" spans="2:18" x14ac:dyDescent="0.2">
      <c r="C136">
        <v>100000</v>
      </c>
      <c r="D136">
        <v>278.89511900000002</v>
      </c>
      <c r="E136">
        <v>-17405.86145</v>
      </c>
      <c r="F136">
        <v>72191.732258999997</v>
      </c>
      <c r="G136">
        <v>-1.6233000000000001E-2</v>
      </c>
      <c r="H136">
        <v>25.800740999999999</v>
      </c>
      <c r="I136">
        <v>206.44909000000001</v>
      </c>
      <c r="J136">
        <v>13.553212</v>
      </c>
      <c r="K136">
        <v>2845</v>
      </c>
      <c r="L136">
        <v>835</v>
      </c>
      <c r="M136">
        <f t="shared" ref="M136:M138" si="35">L136/(L136+K136)</f>
        <v>0.22690217391304349</v>
      </c>
      <c r="N136">
        <f t="shared" ref="N136:N139" si="36">-4.1541-2.5752*M136</f>
        <v>-4.7384184782608694</v>
      </c>
      <c r="O136">
        <f>E136-(SUM(K136:L136)*N136)</f>
        <v>31.518550000000687</v>
      </c>
      <c r="P136">
        <f>O136/(2*H136*J136)</f>
        <v>4.506732938700337E-2</v>
      </c>
      <c r="Q136">
        <f>P136*16.02</f>
        <v>0.72197861677979391</v>
      </c>
    </row>
    <row r="137" spans="2:18" x14ac:dyDescent="0.2">
      <c r="C137">
        <v>100000</v>
      </c>
      <c r="D137">
        <v>278.89633600000002</v>
      </c>
      <c r="E137">
        <v>-17386.786572000001</v>
      </c>
      <c r="F137">
        <v>72253.678413999995</v>
      </c>
      <c r="G137">
        <v>0.131353</v>
      </c>
      <c r="H137">
        <v>25.808118</v>
      </c>
      <c r="I137">
        <v>206.50812300000001</v>
      </c>
      <c r="J137">
        <v>13.557088</v>
      </c>
      <c r="K137">
        <v>2853</v>
      </c>
      <c r="L137">
        <v>827</v>
      </c>
      <c r="M137">
        <f t="shared" si="35"/>
        <v>0.22472826086956521</v>
      </c>
      <c r="N137">
        <f t="shared" si="36"/>
        <v>-4.7328202173913043</v>
      </c>
      <c r="O137">
        <f>E137-(SUM(K137:L137)*N137)</f>
        <v>29.99182799999835</v>
      </c>
      <c r="P137">
        <f>O137/(2*H137*J137)</f>
        <v>4.2859804950815115E-2</v>
      </c>
      <c r="Q137">
        <f>P137*16.02</f>
        <v>0.68661407531205809</v>
      </c>
    </row>
    <row r="138" spans="2:18" x14ac:dyDescent="0.2">
      <c r="C138">
        <v>100000</v>
      </c>
      <c r="D138">
        <v>278.93150400000002</v>
      </c>
      <c r="E138">
        <v>-17306.403704</v>
      </c>
      <c r="F138">
        <v>72565.037695999999</v>
      </c>
      <c r="G138">
        <v>0.16181100000000001</v>
      </c>
      <c r="H138">
        <v>25.845136</v>
      </c>
      <c r="I138">
        <v>206.804329</v>
      </c>
      <c r="J138">
        <v>13.576533</v>
      </c>
      <c r="K138">
        <v>2888</v>
      </c>
      <c r="L138">
        <v>792</v>
      </c>
      <c r="M138">
        <f t="shared" si="35"/>
        <v>0.21521739130434783</v>
      </c>
      <c r="N138">
        <f t="shared" si="36"/>
        <v>-4.7083278260869559</v>
      </c>
      <c r="O138">
        <f>E138-(SUM(K138:L138)*N138)</f>
        <v>20.242695999997522</v>
      </c>
      <c r="P138">
        <f>O138/(2*H138*J138)</f>
        <v>2.88450074837855E-2</v>
      </c>
      <c r="Q138">
        <f>P138*16.02</f>
        <v>0.46209701989024371</v>
      </c>
    </row>
    <row r="139" spans="2:18" x14ac:dyDescent="0.2">
      <c r="C139">
        <v>100000</v>
      </c>
      <c r="D139">
        <v>278.86149899999998</v>
      </c>
      <c r="E139">
        <v>-17299.756481</v>
      </c>
      <c r="F139">
        <v>72532.595474000002</v>
      </c>
      <c r="G139">
        <v>9.9613999999999994E-2</v>
      </c>
      <c r="H139">
        <v>25.841284000000002</v>
      </c>
      <c r="I139">
        <v>206.77350000000001</v>
      </c>
      <c r="J139">
        <v>13.57451</v>
      </c>
      <c r="K139">
        <v>2885</v>
      </c>
      <c r="L139">
        <v>795</v>
      </c>
      <c r="M139">
        <f>L139/(L139+K139)</f>
        <v>0.21603260869565216</v>
      </c>
      <c r="N139">
        <f t="shared" si="36"/>
        <v>-4.7104271739130432</v>
      </c>
      <c r="O139">
        <f>E139-(SUM(K139:L139)*N139)</f>
        <v>34.61551899999904</v>
      </c>
      <c r="P139">
        <f>O139/(2*H139*J139)</f>
        <v>4.9340392617302817E-2</v>
      </c>
      <c r="Q139">
        <f>P139*16.02</f>
        <v>0.79043308972919113</v>
      </c>
    </row>
    <row r="140" spans="2:18" x14ac:dyDescent="0.2">
      <c r="Q140" s="1">
        <f>AVERAGE(Q135:Q139)</f>
        <v>0.6705576397669597</v>
      </c>
      <c r="R140">
        <f>STDEV(Q135:Q139)</f>
        <v>0.1236663019611889</v>
      </c>
    </row>
    <row r="141" spans="2:18" x14ac:dyDescent="0.2">
      <c r="B141" t="s">
        <v>22</v>
      </c>
      <c r="C141">
        <v>100000</v>
      </c>
      <c r="D141">
        <v>260.28864600000003</v>
      </c>
      <c r="E141">
        <v>-17743.840370999998</v>
      </c>
      <c r="F141">
        <v>74392.070739000003</v>
      </c>
      <c r="G141">
        <v>0.27772000000000002</v>
      </c>
      <c r="H141">
        <v>30.248542</v>
      </c>
      <c r="I141">
        <v>90.901796000000004</v>
      </c>
      <c r="J141">
        <v>27.055132</v>
      </c>
      <c r="K141">
        <v>2953</v>
      </c>
      <c r="L141">
        <v>823</v>
      </c>
      <c r="M141">
        <f>L141/(L141+K141)</f>
        <v>0.21795550847457626</v>
      </c>
      <c r="N141">
        <f>-4.1541-2.5752*M141</f>
        <v>-4.7153790254237284</v>
      </c>
      <c r="O141">
        <f>E141-(SUM(K141:L141)*N141)</f>
        <v>61.430829000000813</v>
      </c>
      <c r="P141">
        <f>O141/(2*H141*J141)</f>
        <v>3.7532049208722801E-2</v>
      </c>
      <c r="Q141">
        <f>P141*16.02</f>
        <v>0.60126342832373925</v>
      </c>
    </row>
    <row r="142" spans="2:18" x14ac:dyDescent="0.2">
      <c r="C142">
        <v>100000</v>
      </c>
      <c r="D142">
        <v>260.29153000000002</v>
      </c>
      <c r="E142">
        <v>-17869.135377999999</v>
      </c>
      <c r="F142">
        <v>74103.541096999994</v>
      </c>
      <c r="G142">
        <v>0.26044699999999998</v>
      </c>
      <c r="H142">
        <v>30.209385000000001</v>
      </c>
      <c r="I142">
        <v>90.784122999999994</v>
      </c>
      <c r="J142">
        <v>27.020109000000001</v>
      </c>
      <c r="K142">
        <v>2904</v>
      </c>
      <c r="L142">
        <v>872</v>
      </c>
      <c r="M142">
        <f t="shared" ref="M142:M145" si="37">L142/(L142+K142)</f>
        <v>0.2309322033898305</v>
      </c>
      <c r="N142">
        <f t="shared" ref="N142:N145" si="38">-4.1541-2.5752*M142</f>
        <v>-4.7487966101694914</v>
      </c>
      <c r="O142">
        <f>E142-(SUM(K142:L142)*N142)</f>
        <v>62.320621999999275</v>
      </c>
      <c r="P142">
        <f>O142/(2*H142*J142)</f>
        <v>3.8174451250080718E-2</v>
      </c>
      <c r="Q142">
        <f>P142*16.02</f>
        <v>0.61155470902629305</v>
      </c>
    </row>
    <row r="143" spans="2:18" x14ac:dyDescent="0.2">
      <c r="C143">
        <v>100000</v>
      </c>
      <c r="D143">
        <v>260.231696</v>
      </c>
      <c r="E143">
        <v>-17911.430569</v>
      </c>
      <c r="F143">
        <v>74019.964854999998</v>
      </c>
      <c r="G143">
        <v>0.196101</v>
      </c>
      <c r="H143">
        <v>30.198024</v>
      </c>
      <c r="I143">
        <v>90.749979999999994</v>
      </c>
      <c r="J143">
        <v>27.009947</v>
      </c>
      <c r="K143">
        <v>2887</v>
      </c>
      <c r="L143">
        <v>889</v>
      </c>
      <c r="M143">
        <f t="shared" si="37"/>
        <v>0.2354343220338983</v>
      </c>
      <c r="N143">
        <f t="shared" si="38"/>
        <v>-4.7603904661016943</v>
      </c>
      <c r="O143">
        <f>E143-(SUM(K143:L143)*N143)</f>
        <v>63.803830999997444</v>
      </c>
      <c r="P143">
        <f>O143/(2*H143*J143)</f>
        <v>3.9112403300491184E-2</v>
      </c>
      <c r="Q143">
        <f>P143*16.02</f>
        <v>0.62658070087386875</v>
      </c>
    </row>
    <row r="144" spans="2:18" x14ac:dyDescent="0.2">
      <c r="C144">
        <v>100000</v>
      </c>
      <c r="D144">
        <v>260.32919299999998</v>
      </c>
      <c r="E144">
        <v>-17724.996082000001</v>
      </c>
      <c r="F144">
        <v>74471.950261999998</v>
      </c>
      <c r="G144">
        <v>0.24763499999999999</v>
      </c>
      <c r="H144">
        <v>30.259364999999999</v>
      </c>
      <c r="I144">
        <v>90.93432</v>
      </c>
      <c r="J144">
        <v>27.064812</v>
      </c>
      <c r="K144">
        <v>2963</v>
      </c>
      <c r="L144">
        <v>813</v>
      </c>
      <c r="M144">
        <f t="shared" si="37"/>
        <v>0.2153072033898305</v>
      </c>
      <c r="N144">
        <f t="shared" si="38"/>
        <v>-4.7085591101694915</v>
      </c>
      <c r="O144">
        <f>E144-(SUM(K144:L144)*N144)</f>
        <v>54.523117999997339</v>
      </c>
      <c r="P144">
        <f>O144/(2*H144*J144)</f>
        <v>3.3287859013324039E-2</v>
      </c>
      <c r="Q144">
        <f>P144*16.02</f>
        <v>0.53327150139345114</v>
      </c>
    </row>
    <row r="145" spans="2:18" x14ac:dyDescent="0.2">
      <c r="C145">
        <v>100000</v>
      </c>
      <c r="D145">
        <v>260.26424300000002</v>
      </c>
      <c r="E145">
        <v>-17821.558140000001</v>
      </c>
      <c r="F145">
        <v>74278.123183999996</v>
      </c>
      <c r="G145">
        <v>0.28006300000000001</v>
      </c>
      <c r="H145">
        <v>30.233090000000001</v>
      </c>
      <c r="I145">
        <v>90.855360000000005</v>
      </c>
      <c r="J145">
        <v>27.041311</v>
      </c>
      <c r="K145">
        <v>2923</v>
      </c>
      <c r="L145">
        <v>853</v>
      </c>
      <c r="M145">
        <f t="shared" si="37"/>
        <v>0.22590042372881355</v>
      </c>
      <c r="N145">
        <f t="shared" si="38"/>
        <v>-4.7358387711864403</v>
      </c>
      <c r="O145">
        <f>E145-(SUM(K145:L145)*N145)</f>
        <v>60.969059999995807</v>
      </c>
      <c r="P145">
        <f>O145/(2*H145*J145)</f>
        <v>3.7288011488354943E-2</v>
      </c>
      <c r="Q145">
        <f>P145*16.02</f>
        <v>0.59735394404344622</v>
      </c>
    </row>
    <row r="146" spans="2:18" x14ac:dyDescent="0.2">
      <c r="Q146" s="1">
        <f>AVERAGE(Q141:Q145)</f>
        <v>0.59400485673215964</v>
      </c>
      <c r="R146">
        <f>STDEV(Q141:Q145)</f>
        <v>3.5782770418028569E-2</v>
      </c>
    </row>
    <row r="147" spans="2:18" x14ac:dyDescent="0.2">
      <c r="B147" t="s">
        <v>33</v>
      </c>
      <c r="C147">
        <v>100000</v>
      </c>
      <c r="D147">
        <v>278.85101900000001</v>
      </c>
      <c r="E147">
        <v>-30488.826367000001</v>
      </c>
      <c r="F147">
        <v>127839.39812300001</v>
      </c>
      <c r="G147">
        <v>2.1447999999999998E-2</v>
      </c>
      <c r="H147">
        <v>39.597548000000003</v>
      </c>
      <c r="I147">
        <v>237.65018699999999</v>
      </c>
      <c r="J147">
        <v>13.584955000000001</v>
      </c>
      <c r="K147">
        <v>5096</v>
      </c>
      <c r="L147">
        <v>1392</v>
      </c>
      <c r="M147">
        <f>L147/(L147+K147)</f>
        <v>0.21454993834771888</v>
      </c>
      <c r="N147">
        <f>-4.1541-2.5752*M147</f>
        <v>-4.706609001233045</v>
      </c>
      <c r="O147">
        <f>E147-(SUM(K147:L147)*N147)</f>
        <v>47.652832999996463</v>
      </c>
      <c r="P147">
        <f>O147/(2*H147*J147)</f>
        <v>4.4292707779702276E-2</v>
      </c>
      <c r="Q147">
        <f>P147*16.02</f>
        <v>0.70956917863083047</v>
      </c>
    </row>
    <row r="148" spans="2:18" x14ac:dyDescent="0.2">
      <c r="C148">
        <v>100000</v>
      </c>
      <c r="D148">
        <v>278.87659600000001</v>
      </c>
      <c r="E148">
        <v>-30475.621557999999</v>
      </c>
      <c r="F148">
        <v>127904.889383</v>
      </c>
      <c r="G148">
        <v>4.5357000000000001E-2</v>
      </c>
      <c r="H148">
        <v>39.604309000000001</v>
      </c>
      <c r="I148">
        <v>237.690764</v>
      </c>
      <c r="J148">
        <v>13.587275</v>
      </c>
      <c r="K148">
        <v>5104</v>
      </c>
      <c r="L148">
        <v>1384</v>
      </c>
      <c r="M148">
        <f t="shared" ref="M148:M151" si="39">L148/(L148+K148)</f>
        <v>0.21331689272503082</v>
      </c>
      <c r="N148">
        <f t="shared" ref="N148:N151" si="40">-4.1541-2.5752*M148</f>
        <v>-4.7034336621454989</v>
      </c>
      <c r="O148">
        <f>E148-(SUM(K148:L148)*N148)</f>
        <v>40.256041999997251</v>
      </c>
      <c r="P148">
        <f>O148/(2*H148*J148)</f>
        <v>3.7404708206726749E-2</v>
      </c>
      <c r="Q148">
        <f>P148*16.02</f>
        <v>0.59922342547176255</v>
      </c>
    </row>
    <row r="149" spans="2:18" x14ac:dyDescent="0.2">
      <c r="C149">
        <v>100000</v>
      </c>
      <c r="D149">
        <v>278.885178</v>
      </c>
      <c r="E149">
        <v>-30549.412515</v>
      </c>
      <c r="F149">
        <v>127706.953821</v>
      </c>
      <c r="G149">
        <v>-2.7192000000000001E-2</v>
      </c>
      <c r="H149">
        <v>39.583869</v>
      </c>
      <c r="I149">
        <v>237.56809000000001</v>
      </c>
      <c r="J149">
        <v>13.580261999999999</v>
      </c>
      <c r="K149">
        <v>5074</v>
      </c>
      <c r="L149">
        <v>1414</v>
      </c>
      <c r="M149">
        <f t="shared" si="39"/>
        <v>0.21794081381011096</v>
      </c>
      <c r="N149">
        <f t="shared" si="40"/>
        <v>-4.7153411837237975</v>
      </c>
      <c r="O149">
        <f>E149-(SUM(K149:L149)*N149)</f>
        <v>43.721084999997402</v>
      </c>
      <c r="P149">
        <f>O149/(2*H149*J149)</f>
        <v>4.0666289304752655E-2</v>
      </c>
      <c r="Q149">
        <f>P149*16.02</f>
        <v>0.65147395466213753</v>
      </c>
    </row>
    <row r="150" spans="2:18" x14ac:dyDescent="0.2">
      <c r="C150">
        <v>100000</v>
      </c>
      <c r="D150">
        <v>278.923385</v>
      </c>
      <c r="E150">
        <v>-30428.721734999999</v>
      </c>
      <c r="F150">
        <v>127971.874746</v>
      </c>
      <c r="G150">
        <v>5.9637999999999997E-2</v>
      </c>
      <c r="H150">
        <v>39.611221999999998</v>
      </c>
      <c r="I150">
        <v>237.732249</v>
      </c>
      <c r="J150">
        <v>13.589646</v>
      </c>
      <c r="K150">
        <v>5121</v>
      </c>
      <c r="L150">
        <v>1367</v>
      </c>
      <c r="M150">
        <f t="shared" si="39"/>
        <v>0.21069667077681875</v>
      </c>
      <c r="N150">
        <f t="shared" si="40"/>
        <v>-4.6966860665844639</v>
      </c>
      <c r="O150">
        <f>E150-(SUM(K150:L150)*N150)</f>
        <v>43.377465000001393</v>
      </c>
      <c r="P150">
        <f>O150/(2*H150*J150)</f>
        <v>4.0290976022186578E-2</v>
      </c>
      <c r="Q150">
        <f>P150*16.02</f>
        <v>0.64546143587542892</v>
      </c>
    </row>
    <row r="151" spans="2:18" x14ac:dyDescent="0.2">
      <c r="C151">
        <v>100000</v>
      </c>
      <c r="D151">
        <v>278.932253</v>
      </c>
      <c r="E151">
        <v>-30579.732312</v>
      </c>
      <c r="F151">
        <v>127552.218392</v>
      </c>
      <c r="G151">
        <v>6.4296000000000006E-2</v>
      </c>
      <c r="H151">
        <v>39.567875000000001</v>
      </c>
      <c r="I151">
        <v>237.47210100000001</v>
      </c>
      <c r="J151">
        <v>13.574775000000001</v>
      </c>
      <c r="K151">
        <v>5065</v>
      </c>
      <c r="L151">
        <v>1423</v>
      </c>
      <c r="M151">
        <f t="shared" si="39"/>
        <v>0.21932799013563503</v>
      </c>
      <c r="N151">
        <f t="shared" si="40"/>
        <v>-4.7189134401972872</v>
      </c>
      <c r="O151">
        <f>E151-(SUM(K151:L151)*N151)</f>
        <v>36.578087999998388</v>
      </c>
      <c r="P151">
        <f>O151/(2*H151*J151)</f>
        <v>3.4049884082802559E-2</v>
      </c>
      <c r="Q151">
        <f>P151*16.02</f>
        <v>0.54547914300649702</v>
      </c>
    </row>
    <row r="152" spans="2:18" x14ac:dyDescent="0.2">
      <c r="Q152" s="1">
        <f>AVERAGE(Q147:Q151)</f>
        <v>0.63024142752933132</v>
      </c>
      <c r="R152">
        <f>STDEV(Q147:Q151)</f>
        <v>6.1486019318409461E-2</v>
      </c>
    </row>
    <row r="153" spans="2:18" x14ac:dyDescent="0.2">
      <c r="B153" t="s">
        <v>34</v>
      </c>
      <c r="C153">
        <v>100000</v>
      </c>
      <c r="D153">
        <v>278.73656099999999</v>
      </c>
      <c r="E153">
        <v>-15495.796130999999</v>
      </c>
      <c r="F153">
        <v>64917.477605</v>
      </c>
      <c r="G153">
        <v>0.131137</v>
      </c>
      <c r="H153">
        <v>24.454239000000001</v>
      </c>
      <c r="I153">
        <v>195.67711399999999</v>
      </c>
      <c r="J153">
        <v>13.566485999999999</v>
      </c>
      <c r="K153">
        <v>2585</v>
      </c>
      <c r="L153">
        <v>711</v>
      </c>
      <c r="M153">
        <f>L153/(L153+K153)</f>
        <v>0.21571601941747573</v>
      </c>
      <c r="N153">
        <f>-4.1541-2.5752*M153</f>
        <v>-4.7096118932038831</v>
      </c>
      <c r="O153">
        <f>E153-(SUM(K153:L153)*N153)</f>
        <v>27.084668999999849</v>
      </c>
      <c r="P153">
        <f>O153/(2*H153*J153)</f>
        <v>4.0819907233568452E-2</v>
      </c>
      <c r="Q153">
        <f>P153*16.02</f>
        <v>0.65393491388176661</v>
      </c>
    </row>
    <row r="154" spans="2:18" x14ac:dyDescent="0.2">
      <c r="C154">
        <v>100000</v>
      </c>
      <c r="D154">
        <v>278.84495299999998</v>
      </c>
      <c r="E154">
        <v>-15515.361220999999</v>
      </c>
      <c r="F154">
        <v>64874.545966999998</v>
      </c>
      <c r="G154">
        <v>6.9362999999999994E-2</v>
      </c>
      <c r="H154">
        <v>24.448847000000001</v>
      </c>
      <c r="I154">
        <v>195.633972</v>
      </c>
      <c r="J154">
        <v>13.563495</v>
      </c>
      <c r="K154">
        <v>2578</v>
      </c>
      <c r="L154">
        <v>718</v>
      </c>
      <c r="M154">
        <f t="shared" ref="M154:M157" si="41">L154/(L154+K154)</f>
        <v>0.2178398058252427</v>
      </c>
      <c r="N154">
        <f t="shared" ref="N154:N157" si="42">-4.1541-2.5752*M154</f>
        <v>-4.7150810679611652</v>
      </c>
      <c r="O154">
        <f>E154-(SUM(K154:L154)*N154)</f>
        <v>25.545979000002262</v>
      </c>
      <c r="P154">
        <f>O154/(2*H154*J154)</f>
        <v>3.8517896405374168E-2</v>
      </c>
      <c r="Q154">
        <f>P154*16.02</f>
        <v>0.61705670041409411</v>
      </c>
    </row>
    <row r="155" spans="2:18" x14ac:dyDescent="0.2">
      <c r="C155">
        <v>100000</v>
      </c>
      <c r="D155">
        <v>278.912576</v>
      </c>
      <c r="E155">
        <v>-15522.253341</v>
      </c>
      <c r="F155">
        <v>64827.69313</v>
      </c>
      <c r="G155">
        <v>3.3709000000000003E-2</v>
      </c>
      <c r="H155">
        <v>24.442959999999999</v>
      </c>
      <c r="I155">
        <v>195.58686499999999</v>
      </c>
      <c r="J155">
        <v>13.560229</v>
      </c>
      <c r="K155">
        <v>2575</v>
      </c>
      <c r="L155">
        <v>721</v>
      </c>
      <c r="M155">
        <f t="shared" si="41"/>
        <v>0.21875</v>
      </c>
      <c r="N155">
        <f t="shared" si="42"/>
        <v>-4.7174249999999995</v>
      </c>
      <c r="O155">
        <f>E155-(SUM(K155:L155)*N155)</f>
        <v>26.379458999997951</v>
      </c>
      <c r="P155">
        <f>O155/(2*H155*J155)</f>
        <v>3.9793768407897508E-2</v>
      </c>
      <c r="Q155">
        <f>P155*16.02</f>
        <v>0.63749616989451807</v>
      </c>
    </row>
    <row r="156" spans="2:18" x14ac:dyDescent="0.2">
      <c r="C156">
        <v>100000</v>
      </c>
      <c r="D156">
        <v>279.04737299999999</v>
      </c>
      <c r="E156">
        <v>-15479.046757</v>
      </c>
      <c r="F156">
        <v>64941.608521000002</v>
      </c>
      <c r="G156">
        <v>9.6892000000000006E-2</v>
      </c>
      <c r="H156">
        <v>24.457267999999999</v>
      </c>
      <c r="I156">
        <v>195.701357</v>
      </c>
      <c r="J156">
        <v>13.568167000000001</v>
      </c>
      <c r="K156">
        <v>2594</v>
      </c>
      <c r="L156">
        <v>702</v>
      </c>
      <c r="M156">
        <f t="shared" si="41"/>
        <v>0.21298543689320387</v>
      </c>
      <c r="N156">
        <f t="shared" si="42"/>
        <v>-4.7025800970873783</v>
      </c>
      <c r="O156">
        <f>E156-(SUM(K156:L156)*N156)</f>
        <v>20.657242999999653</v>
      </c>
      <c r="P156">
        <f>O156/(2*H156*J156)</f>
        <v>3.1125278051541264E-2</v>
      </c>
      <c r="Q156">
        <f>P156*16.02</f>
        <v>0.49862695438569105</v>
      </c>
    </row>
    <row r="157" spans="2:18" x14ac:dyDescent="0.2">
      <c r="C157">
        <v>100000</v>
      </c>
      <c r="D157">
        <v>278.98290600000001</v>
      </c>
      <c r="E157">
        <v>-15662.801148</v>
      </c>
      <c r="F157">
        <v>64466.961916</v>
      </c>
      <c r="G157">
        <v>-6.1010000000000002E-2</v>
      </c>
      <c r="H157">
        <v>24.397538000000001</v>
      </c>
      <c r="I157">
        <v>195.223411</v>
      </c>
      <c r="J157">
        <v>13.535030000000001</v>
      </c>
      <c r="K157">
        <v>2520</v>
      </c>
      <c r="L157">
        <v>776</v>
      </c>
      <c r="M157">
        <f t="shared" si="41"/>
        <v>0.2354368932038835</v>
      </c>
      <c r="N157">
        <f t="shared" si="42"/>
        <v>-4.7603970873786405</v>
      </c>
      <c r="O157">
        <f>E157-(SUM(K157:L157)*N157)</f>
        <v>27.467651999999362</v>
      </c>
      <c r="P157">
        <f>O157/(2*H157*J157)</f>
        <v>4.1589750500221977E-2</v>
      </c>
      <c r="Q157">
        <f>P157*16.02</f>
        <v>0.66626780301355604</v>
      </c>
    </row>
    <row r="158" spans="2:18" x14ac:dyDescent="0.2">
      <c r="Q158" s="1">
        <f>AVERAGE(Q153:Q157)</f>
        <v>0.6146765083179252</v>
      </c>
      <c r="R158">
        <f>STDEV(Q153:Q157)</f>
        <v>6.744773037794137E-2</v>
      </c>
    </row>
    <row r="159" spans="2:18" x14ac:dyDescent="0.2">
      <c r="B159" t="s">
        <v>35</v>
      </c>
      <c r="C159">
        <v>100000</v>
      </c>
      <c r="D159">
        <v>278.94807800000001</v>
      </c>
      <c r="E159">
        <v>-22328.594388000001</v>
      </c>
      <c r="F159">
        <v>93615.334787</v>
      </c>
      <c r="G159">
        <v>1.6509999999999999E-3</v>
      </c>
      <c r="H159">
        <v>33.913964999999997</v>
      </c>
      <c r="I159">
        <v>203.483789</v>
      </c>
      <c r="J159">
        <v>13.565586</v>
      </c>
      <c r="K159">
        <v>3735</v>
      </c>
      <c r="L159">
        <v>1017</v>
      </c>
      <c r="M159">
        <f>L159/(L159+K159)</f>
        <v>0.21401515151515152</v>
      </c>
      <c r="N159">
        <f>-4.1541-2.5752*M159</f>
        <v>-4.7052318181818178</v>
      </c>
      <c r="O159">
        <f>E159-(SUM(K159:L159)*N159)</f>
        <v>30.667211999996653</v>
      </c>
      <c r="P159">
        <f>O159/(2*H159*J159)</f>
        <v>3.3329375264457069E-2</v>
      </c>
      <c r="Q159">
        <f>P159*16.02</f>
        <v>0.53393659173660224</v>
      </c>
    </row>
    <row r="160" spans="2:18" x14ac:dyDescent="0.2">
      <c r="C160">
        <v>100000</v>
      </c>
      <c r="D160">
        <v>278.94136400000002</v>
      </c>
      <c r="E160">
        <v>-22372.256129000001</v>
      </c>
      <c r="F160">
        <v>93485.548815000002</v>
      </c>
      <c r="G160">
        <v>5.4450000000000002E-3</v>
      </c>
      <c r="H160">
        <v>33.898285000000001</v>
      </c>
      <c r="I160">
        <v>203.38971100000001</v>
      </c>
      <c r="J160">
        <v>13.559314000000001</v>
      </c>
      <c r="K160">
        <v>3714</v>
      </c>
      <c r="L160">
        <v>1038</v>
      </c>
      <c r="M160">
        <f t="shared" ref="M160:M163" si="43">L160/(L160+K160)</f>
        <v>0.21843434343434343</v>
      </c>
      <c r="N160">
        <f t="shared" ref="N160:N163" si="44">-4.1541-2.5752*M160</f>
        <v>-4.7166121212121208</v>
      </c>
      <c r="O160">
        <f>E160-(SUM(K160:L160)*N160)</f>
        <v>41.084670999996888</v>
      </c>
      <c r="P160">
        <f>O160/(2*H160*J160)</f>
        <v>4.4692471632747303E-2</v>
      </c>
      <c r="Q160">
        <f>P160*16.02</f>
        <v>0.71597339555661177</v>
      </c>
    </row>
    <row r="161" spans="2:18" x14ac:dyDescent="0.2">
      <c r="C161">
        <v>100000</v>
      </c>
      <c r="D161">
        <v>278.85730799999999</v>
      </c>
      <c r="E161">
        <v>-22353.939430999999</v>
      </c>
      <c r="F161">
        <v>93587.597133999996</v>
      </c>
      <c r="G161">
        <v>4.5108000000000002E-2</v>
      </c>
      <c r="H161">
        <v>33.910615</v>
      </c>
      <c r="I161">
        <v>203.46368899999999</v>
      </c>
      <c r="J161">
        <v>13.564246000000001</v>
      </c>
      <c r="K161">
        <v>3725</v>
      </c>
      <c r="L161">
        <v>1027</v>
      </c>
      <c r="M161">
        <f t="shared" si="43"/>
        <v>0.21611952861952863</v>
      </c>
      <c r="N161">
        <f t="shared" si="44"/>
        <v>-4.7106510101010102</v>
      </c>
      <c r="O161">
        <f>E161-(SUM(K161:L161)*N161)</f>
        <v>31.074169000003167</v>
      </c>
      <c r="P161">
        <f>O161/(2*H161*J161)</f>
        <v>3.3778332314798397E-2</v>
      </c>
      <c r="Q161">
        <f>P161*16.02</f>
        <v>0.54112888368307033</v>
      </c>
    </row>
    <row r="162" spans="2:18" x14ac:dyDescent="0.2">
      <c r="C162">
        <v>100000</v>
      </c>
      <c r="D162">
        <v>278.995318</v>
      </c>
      <c r="E162">
        <v>-22477.195019999999</v>
      </c>
      <c r="F162">
        <v>93220.154964999994</v>
      </c>
      <c r="G162">
        <v>0.16094900000000001</v>
      </c>
      <c r="H162">
        <v>33.866177</v>
      </c>
      <c r="I162">
        <v>203.19706199999999</v>
      </c>
      <c r="J162">
        <v>13.546471</v>
      </c>
      <c r="K162">
        <v>3675</v>
      </c>
      <c r="L162">
        <v>1077</v>
      </c>
      <c r="M162">
        <f t="shared" si="43"/>
        <v>0.22664141414141414</v>
      </c>
      <c r="N162">
        <f t="shared" si="44"/>
        <v>-4.7377469696969694</v>
      </c>
      <c r="O162">
        <f>E162-(SUM(K162:L162)*N162)</f>
        <v>36.578579999997601</v>
      </c>
      <c r="P162">
        <f>O162/(2*H162*J162)</f>
        <v>3.9866168752876491E-2</v>
      </c>
      <c r="Q162">
        <f>P162*16.02</f>
        <v>0.63865602342108141</v>
      </c>
    </row>
    <row r="163" spans="2:18" x14ac:dyDescent="0.2">
      <c r="C163">
        <v>100000</v>
      </c>
      <c r="D163">
        <v>278.86528199999998</v>
      </c>
      <c r="E163">
        <v>-22420.884871999999</v>
      </c>
      <c r="F163">
        <v>93455.104321999999</v>
      </c>
      <c r="G163">
        <v>9.3179999999999999E-3</v>
      </c>
      <c r="H163">
        <v>33.894604999999999</v>
      </c>
      <c r="I163">
        <v>203.36762899999999</v>
      </c>
      <c r="J163">
        <v>13.557842000000001</v>
      </c>
      <c r="K163">
        <v>3695</v>
      </c>
      <c r="L163">
        <v>1057</v>
      </c>
      <c r="M163">
        <f t="shared" si="43"/>
        <v>0.22243265993265993</v>
      </c>
      <c r="N163">
        <f t="shared" si="44"/>
        <v>-4.7269085858585855</v>
      </c>
      <c r="O163">
        <f>E163-(SUM(K163:L163)*N163)</f>
        <v>41.384728000000905</v>
      </c>
      <c r="P163">
        <f>O163/(2*H163*J163)</f>
        <v>4.5028653871300901E-2</v>
      </c>
      <c r="Q163">
        <f>P163*16.02</f>
        <v>0.72135903501824039</v>
      </c>
    </row>
    <row r="164" spans="2:18" x14ac:dyDescent="0.2">
      <c r="Q164" s="1">
        <f>AVERAGE(Q159:Q163)</f>
        <v>0.63021078588312118</v>
      </c>
      <c r="R164">
        <f>STDEV(Q159:Q163)</f>
        <v>9.0745325408004923E-2</v>
      </c>
    </row>
    <row r="165" spans="2:18" x14ac:dyDescent="0.2">
      <c r="B165" t="s">
        <v>26</v>
      </c>
      <c r="M165" t="e">
        <f>L165/(L165+K165)</f>
        <v>#DIV/0!</v>
      </c>
      <c r="N165" t="e">
        <f>-4.1541-2.5752*M165</f>
        <v>#DIV/0!</v>
      </c>
      <c r="O165" t="e">
        <f>E165-(SUM(K165:L165)*N165)</f>
        <v>#DIV/0!</v>
      </c>
      <c r="P165" t="e">
        <f>O165/(2*H165*J165)</f>
        <v>#DIV/0!</v>
      </c>
      <c r="Q165" t="e">
        <f>P165*16.02</f>
        <v>#DIV/0!</v>
      </c>
    </row>
    <row r="166" spans="2:18" x14ac:dyDescent="0.2">
      <c r="M166" t="e">
        <f>L166/(L166+K166)</f>
        <v>#DIV/0!</v>
      </c>
      <c r="N166" t="e">
        <f t="shared" ref="N166:N169" si="45">-4.1541-2.5752*M166</f>
        <v>#DIV/0!</v>
      </c>
      <c r="O166" t="e">
        <f>E166-(SUM(K166:L166)*N166)</f>
        <v>#DIV/0!</v>
      </c>
      <c r="P166" t="e">
        <f>O166/(2*H166*J166)</f>
        <v>#DIV/0!</v>
      </c>
      <c r="Q166" t="e">
        <f>P166*16.02</f>
        <v>#DIV/0!</v>
      </c>
    </row>
    <row r="167" spans="2:18" x14ac:dyDescent="0.2">
      <c r="M167" t="e">
        <f>L167/(L167+K167)</f>
        <v>#DIV/0!</v>
      </c>
      <c r="N167" t="e">
        <f t="shared" si="45"/>
        <v>#DIV/0!</v>
      </c>
      <c r="O167" t="e">
        <f>E167-(SUM(K167:L167)*N167)</f>
        <v>#DIV/0!</v>
      </c>
      <c r="P167" t="e">
        <f>O167/(2*H167*J167)</f>
        <v>#DIV/0!</v>
      </c>
      <c r="Q167" t="e">
        <f>P167*16.02</f>
        <v>#DIV/0!</v>
      </c>
    </row>
    <row r="168" spans="2:18" x14ac:dyDescent="0.2">
      <c r="M168" t="e">
        <f>L168/(L168+K168)</f>
        <v>#DIV/0!</v>
      </c>
      <c r="N168" t="e">
        <f t="shared" si="45"/>
        <v>#DIV/0!</v>
      </c>
      <c r="O168" t="e">
        <f>E168-(SUM(K168:L168)*N168)</f>
        <v>#DIV/0!</v>
      </c>
      <c r="P168" t="e">
        <f>O168/(2*H168*J168)</f>
        <v>#DIV/0!</v>
      </c>
      <c r="Q168" t="e">
        <f>P168*16.02</f>
        <v>#DIV/0!</v>
      </c>
    </row>
    <row r="169" spans="2:18" x14ac:dyDescent="0.2">
      <c r="M169" t="e">
        <f>L169/(L169+K169)</f>
        <v>#DIV/0!</v>
      </c>
      <c r="N169" t="e">
        <f t="shared" si="45"/>
        <v>#DIV/0!</v>
      </c>
      <c r="O169" t="e">
        <f>E169-(SUM(K169:L169)*N169)</f>
        <v>#DIV/0!</v>
      </c>
      <c r="P169" t="e">
        <f>O169/(2*H169*J169)</f>
        <v>#DIV/0!</v>
      </c>
      <c r="Q169" t="e">
        <f>P169*16.02</f>
        <v>#DIV/0!</v>
      </c>
    </row>
    <row r="170" spans="2:18" x14ac:dyDescent="0.2">
      <c r="Q170" s="1" t="e">
        <f>AVERAGE(Q165:Q169)</f>
        <v>#DIV/0!</v>
      </c>
      <c r="R170" t="e">
        <f>STDEV(Q165:Q169)</f>
        <v>#DIV/0!</v>
      </c>
    </row>
    <row r="172" spans="2:18" x14ac:dyDescent="0.2">
      <c r="C172" t="s">
        <v>3</v>
      </c>
      <c r="D172" t="s">
        <v>28</v>
      </c>
      <c r="P172" t="s">
        <v>11</v>
      </c>
      <c r="Q172" t="s">
        <v>12</v>
      </c>
    </row>
    <row r="173" spans="2:18" x14ac:dyDescent="0.2">
      <c r="C173" t="s">
        <v>52</v>
      </c>
      <c r="D173" t="s">
        <v>13</v>
      </c>
      <c r="E173" t="s">
        <v>4</v>
      </c>
      <c r="F173" t="s">
        <v>5</v>
      </c>
      <c r="G173" t="s">
        <v>14</v>
      </c>
      <c r="H173" t="s">
        <v>15</v>
      </c>
      <c r="I173" t="s">
        <v>16</v>
      </c>
      <c r="J173" t="s">
        <v>17</v>
      </c>
      <c r="K173" t="s">
        <v>18</v>
      </c>
      <c r="L173" t="s">
        <v>19</v>
      </c>
      <c r="M173" t="s">
        <v>9</v>
      </c>
      <c r="N173" t="s">
        <v>20</v>
      </c>
      <c r="O173" t="s">
        <v>8</v>
      </c>
      <c r="P173" t="s">
        <v>21</v>
      </c>
      <c r="Q173" t="s">
        <v>21</v>
      </c>
    </row>
    <row r="174" spans="2:18" x14ac:dyDescent="0.2">
      <c r="B174" t="s">
        <v>25</v>
      </c>
      <c r="C174">
        <v>100000</v>
      </c>
      <c r="D174">
        <v>260.20977699999997</v>
      </c>
      <c r="E174">
        <v>-19179.846831999999</v>
      </c>
      <c r="F174">
        <v>74837.376938000001</v>
      </c>
      <c r="G174">
        <v>0.26275599999999999</v>
      </c>
      <c r="H174">
        <v>30.447445999999999</v>
      </c>
      <c r="I174">
        <v>182.72751700000001</v>
      </c>
      <c r="J174">
        <v>13.451281</v>
      </c>
      <c r="K174">
        <v>2737</v>
      </c>
      <c r="L174">
        <v>1167</v>
      </c>
      <c r="M174">
        <f>L174/(L174+K174)</f>
        <v>0.29892418032786883</v>
      </c>
      <c r="N174">
        <f>-4.1653-2.5269*M174</f>
        <v>-4.9206515112704921</v>
      </c>
      <c r="O174">
        <f>E174-(SUM(K174:L174)*N174)</f>
        <v>30.376668000000791</v>
      </c>
      <c r="P174">
        <f>O174/(2*H174*J174)</f>
        <v>3.7084772980628226E-2</v>
      </c>
      <c r="Q174">
        <f>P174*16.02</f>
        <v>0.59409806314966418</v>
      </c>
    </row>
    <row r="175" spans="2:18" x14ac:dyDescent="0.2">
      <c r="C175">
        <v>100000</v>
      </c>
      <c r="D175">
        <v>260.29831000000001</v>
      </c>
      <c r="E175">
        <v>-19261.878175999998</v>
      </c>
      <c r="F175">
        <v>74645.124882000004</v>
      </c>
      <c r="G175">
        <v>0.265212</v>
      </c>
      <c r="H175">
        <v>30.421351999999999</v>
      </c>
      <c r="I175">
        <v>182.57091199999999</v>
      </c>
      <c r="J175">
        <v>13.439753</v>
      </c>
      <c r="K175">
        <v>2704</v>
      </c>
      <c r="L175">
        <v>1200</v>
      </c>
      <c r="M175">
        <f>L175/(L175+K175)</f>
        <v>0.30737704918032788</v>
      </c>
      <c r="N175">
        <f t="shared" ref="N175:N178" si="46">-4.1653-2.5269*M175</f>
        <v>-4.9420110655737703</v>
      </c>
      <c r="O175">
        <f>E175-(SUM(K175:L175)*N175)</f>
        <v>31.733024000001024</v>
      </c>
      <c r="P175">
        <f>O175/(2*H175*J175)</f>
        <v>3.8807142563164872E-2</v>
      </c>
      <c r="Q175">
        <f>P175*16.02</f>
        <v>0.62169042386190121</v>
      </c>
    </row>
    <row r="176" spans="2:18" x14ac:dyDescent="0.2">
      <c r="C176">
        <v>100000</v>
      </c>
      <c r="D176">
        <v>260.20204699999999</v>
      </c>
      <c r="E176">
        <v>-19141.107123999998</v>
      </c>
      <c r="F176">
        <v>74945.213902000003</v>
      </c>
      <c r="G176">
        <v>0.17303299999999999</v>
      </c>
      <c r="H176">
        <v>30.462064000000002</v>
      </c>
      <c r="I176">
        <v>182.81524200000001</v>
      </c>
      <c r="J176">
        <v>13.457739</v>
      </c>
      <c r="K176">
        <v>2751</v>
      </c>
      <c r="L176">
        <v>1153</v>
      </c>
      <c r="M176">
        <f>L176/(L176+K176)</f>
        <v>0.29533811475409838</v>
      </c>
      <c r="N176">
        <f t="shared" si="46"/>
        <v>-4.9115898821721311</v>
      </c>
      <c r="O176">
        <f>E176-(SUM(K176:L176)*N176)</f>
        <v>33.739776000002166</v>
      </c>
      <c r="P176">
        <f>O176/(2*H176*J176)</f>
        <v>4.1151035853699405E-2</v>
      </c>
      <c r="Q176">
        <f>P176*16.02</f>
        <v>0.65923959437626445</v>
      </c>
    </row>
    <row r="177" spans="2:18" x14ac:dyDescent="0.2">
      <c r="C177">
        <v>100000</v>
      </c>
      <c r="D177">
        <v>260.26133800000002</v>
      </c>
      <c r="E177">
        <v>-19099.483281000001</v>
      </c>
      <c r="F177">
        <v>74994.767441999997</v>
      </c>
      <c r="G177">
        <v>0.24335799999999999</v>
      </c>
      <c r="H177">
        <v>30.468775999999998</v>
      </c>
      <c r="I177">
        <v>182.855525</v>
      </c>
      <c r="J177">
        <v>13.460704</v>
      </c>
      <c r="K177">
        <v>2768</v>
      </c>
      <c r="L177">
        <v>1136</v>
      </c>
      <c r="M177">
        <f>L177/(L177+K177)</f>
        <v>0.29098360655737704</v>
      </c>
      <c r="N177">
        <f t="shared" si="46"/>
        <v>-4.9005864754098365</v>
      </c>
      <c r="O177">
        <f>E177-(SUM(K177:L177)*N177)</f>
        <v>32.406319000001531</v>
      </c>
      <c r="P177">
        <f>O177/(2*H177*J177)</f>
        <v>3.9507261306965788E-2</v>
      </c>
      <c r="Q177">
        <f>P177*16.02</f>
        <v>0.6329063261375919</v>
      </c>
    </row>
    <row r="178" spans="2:18" x14ac:dyDescent="0.2">
      <c r="C178">
        <v>100000</v>
      </c>
      <c r="D178">
        <v>260.21435200000002</v>
      </c>
      <c r="E178">
        <v>-19128.52348</v>
      </c>
      <c r="F178">
        <v>74983.841094999996</v>
      </c>
      <c r="G178">
        <v>0.26482299999999998</v>
      </c>
      <c r="H178">
        <v>30.467296000000001</v>
      </c>
      <c r="I178">
        <v>182.846644</v>
      </c>
      <c r="J178">
        <v>13.460051</v>
      </c>
      <c r="K178">
        <v>2755</v>
      </c>
      <c r="L178">
        <v>1149</v>
      </c>
      <c r="M178">
        <f>L178/(L178+K178)</f>
        <v>0.29431352459016391</v>
      </c>
      <c r="N178">
        <f t="shared" si="46"/>
        <v>-4.9090008452868856</v>
      </c>
      <c r="O178">
        <f>E178-(SUM(K178:L178)*N178)</f>
        <v>36.215820000001258</v>
      </c>
      <c r="P178">
        <f>O178/(2*H178*J178)</f>
        <v>4.4155795159062185E-2</v>
      </c>
      <c r="Q178">
        <f>P178*16.02</f>
        <v>0.7073758384481762</v>
      </c>
    </row>
    <row r="179" spans="2:18" x14ac:dyDescent="0.2">
      <c r="Q179" s="1">
        <f>AVERAGE(Q174:Q178)</f>
        <v>0.64306204919471954</v>
      </c>
      <c r="R179">
        <f>STDEV(Q174:Q178)</f>
        <v>4.2881620380527764E-2</v>
      </c>
    </row>
    <row r="180" spans="2:18" x14ac:dyDescent="0.2">
      <c r="B180" t="s">
        <v>30</v>
      </c>
      <c r="C180">
        <v>100000</v>
      </c>
      <c r="D180">
        <v>278.95732199999998</v>
      </c>
      <c r="E180">
        <v>-15504.453219999999</v>
      </c>
      <c r="F180">
        <v>60894.855597000002</v>
      </c>
      <c r="G180">
        <v>0.20306099999999999</v>
      </c>
      <c r="H180">
        <v>23.7822</v>
      </c>
      <c r="I180">
        <v>190.30044899999999</v>
      </c>
      <c r="J180">
        <v>13.455154</v>
      </c>
      <c r="K180">
        <v>2243</v>
      </c>
      <c r="L180">
        <v>925</v>
      </c>
      <c r="M180">
        <f>L180/(L180+K180)</f>
        <v>0.29198232323232326</v>
      </c>
      <c r="N180">
        <f>-4.1653-2.5269*M180</f>
        <v>-4.9031101325757582</v>
      </c>
      <c r="O180">
        <f>E180-(SUM(K180:L180)*N180)</f>
        <v>28.599680000002991</v>
      </c>
      <c r="P180">
        <f>O180/(2*H180*J180)</f>
        <v>4.4687954722015928E-2</v>
      </c>
      <c r="Q180">
        <f>P180*16.02</f>
        <v>0.71590103464669519</v>
      </c>
    </row>
    <row r="181" spans="2:18" x14ac:dyDescent="0.2">
      <c r="C181">
        <v>100000</v>
      </c>
      <c r="D181">
        <v>278.77127999999999</v>
      </c>
      <c r="E181">
        <v>-15466.220007</v>
      </c>
      <c r="F181">
        <v>60944.871864000001</v>
      </c>
      <c r="G181">
        <v>0.11823699999999999</v>
      </c>
      <c r="H181">
        <v>23.788709000000001</v>
      </c>
      <c r="I181">
        <v>190.35253700000001</v>
      </c>
      <c r="J181">
        <v>13.458837000000001</v>
      </c>
      <c r="K181">
        <v>2259</v>
      </c>
      <c r="L181">
        <v>909</v>
      </c>
      <c r="M181">
        <f>L181/(L181+K181)</f>
        <v>0.28693181818181818</v>
      </c>
      <c r="N181">
        <f t="shared" ref="N181:N184" si="47">-4.1653-2.5269*M181</f>
        <v>-4.8903480113636366</v>
      </c>
      <c r="O181">
        <f>E181-(SUM(K181:L181)*N181)</f>
        <v>26.402493000001414</v>
      </c>
      <c r="P181">
        <f>O181/(2*H181*J181)</f>
        <v>4.1232202423120173E-2</v>
      </c>
      <c r="Q181">
        <f>P181*16.02</f>
        <v>0.66053988281838516</v>
      </c>
    </row>
    <row r="182" spans="2:18" x14ac:dyDescent="0.2">
      <c r="C182">
        <v>100000</v>
      </c>
      <c r="D182">
        <v>278.86366700000002</v>
      </c>
      <c r="E182">
        <v>-15646.007645</v>
      </c>
      <c r="F182">
        <v>60571.830915999999</v>
      </c>
      <c r="G182">
        <v>2.5201000000000001E-2</v>
      </c>
      <c r="H182">
        <v>23.740072999999999</v>
      </c>
      <c r="I182">
        <v>189.96335999999999</v>
      </c>
      <c r="J182">
        <v>13.431321000000001</v>
      </c>
      <c r="K182">
        <v>2188</v>
      </c>
      <c r="L182">
        <v>980</v>
      </c>
      <c r="M182">
        <f>L182/(L182+K182)</f>
        <v>0.30934343434343436</v>
      </c>
      <c r="N182">
        <f t="shared" si="47"/>
        <v>-4.9469799242424246</v>
      </c>
      <c r="O182">
        <f>E182-(SUM(K182:L182)*N182)</f>
        <v>26.024755000002187</v>
      </c>
      <c r="P182">
        <f>O182/(2*H182*J182)</f>
        <v>4.0808992728022721E-2</v>
      </c>
      <c r="Q182">
        <f>P182*16.02</f>
        <v>0.65376006350292393</v>
      </c>
    </row>
    <row r="183" spans="2:18" x14ac:dyDescent="0.2">
      <c r="C183">
        <v>100000</v>
      </c>
      <c r="D183">
        <v>278.91272099999998</v>
      </c>
      <c r="E183">
        <v>-15535.736940000001</v>
      </c>
      <c r="F183">
        <v>60746.206776999999</v>
      </c>
      <c r="G183">
        <v>0.16216900000000001</v>
      </c>
      <c r="H183">
        <v>23.762833000000001</v>
      </c>
      <c r="I183">
        <v>190.145478</v>
      </c>
      <c r="J183">
        <v>13.444197000000001</v>
      </c>
      <c r="K183">
        <v>2230</v>
      </c>
      <c r="L183">
        <v>938</v>
      </c>
      <c r="M183">
        <f>L183/(L183+K183)</f>
        <v>0.29608585858585856</v>
      </c>
      <c r="N183">
        <f t="shared" si="47"/>
        <v>-4.9134793560606065</v>
      </c>
      <c r="O183">
        <f>E183-(SUM(K183:L183)*N183)</f>
        <v>30.165660000000571</v>
      </c>
      <c r="P183">
        <f>O183/(2*H183*J183)</f>
        <v>4.7211712368601381E-2</v>
      </c>
      <c r="Q183">
        <f>P183*16.02</f>
        <v>0.7563316321449941</v>
      </c>
    </row>
    <row r="184" spans="2:18" x14ac:dyDescent="0.2">
      <c r="C184">
        <v>100000</v>
      </c>
      <c r="D184">
        <v>278.871689</v>
      </c>
      <c r="E184">
        <v>-15634.420855</v>
      </c>
      <c r="F184">
        <v>60541.936039</v>
      </c>
      <c r="G184">
        <v>0.13536000000000001</v>
      </c>
      <c r="H184">
        <v>23.736166999999998</v>
      </c>
      <c r="I184">
        <v>189.93210500000001</v>
      </c>
      <c r="J184">
        <v>13.429111000000001</v>
      </c>
      <c r="K184">
        <v>2193</v>
      </c>
      <c r="L184">
        <v>975</v>
      </c>
      <c r="M184">
        <f>L184/(L184+K184)</f>
        <v>0.30776515151515149</v>
      </c>
      <c r="N184">
        <f t="shared" si="47"/>
        <v>-4.9429917613636363</v>
      </c>
      <c r="O184">
        <f>E184-(SUM(K184:L184)*N184)</f>
        <v>24.977044999999634</v>
      </c>
      <c r="P184">
        <f>O184/(2*H184*J184)</f>
        <v>3.9178987485186591E-2</v>
      </c>
      <c r="Q184">
        <f>P184*16.02</f>
        <v>0.62764737951268912</v>
      </c>
    </row>
    <row r="185" spans="2:18" x14ac:dyDescent="0.2">
      <c r="Q185" s="1">
        <f>AVERAGE(Q180:Q184)</f>
        <v>0.68283599852513743</v>
      </c>
      <c r="R185">
        <f>STDEV(Q180:Q184)</f>
        <v>5.2161324792489125E-2</v>
      </c>
    </row>
    <row r="186" spans="2:18" x14ac:dyDescent="0.2">
      <c r="B186" t="s">
        <v>24</v>
      </c>
      <c r="C186">
        <v>100000</v>
      </c>
      <c r="D186">
        <v>278.83900599999998</v>
      </c>
      <c r="E186">
        <v>-12039.515923999999</v>
      </c>
      <c r="F186">
        <v>47685.765524000002</v>
      </c>
      <c r="G186">
        <v>9.9359000000000003E-2</v>
      </c>
      <c r="H186">
        <v>34.346072999999997</v>
      </c>
      <c r="I186">
        <v>137.40574699999999</v>
      </c>
      <c r="J186">
        <v>10.10431</v>
      </c>
      <c r="K186">
        <v>1771</v>
      </c>
      <c r="L186">
        <v>701</v>
      </c>
      <c r="M186">
        <f>L186/(L186+K186)</f>
        <v>0.28357605177993528</v>
      </c>
      <c r="N186">
        <f>-4.1653-2.5269*M186</f>
        <v>-4.8818683252427189</v>
      </c>
      <c r="O186">
        <f>E186-(SUM(K186:L186)*N186)</f>
        <v>28.462576000001718</v>
      </c>
      <c r="P186">
        <f>O186/(2*H186*J186)</f>
        <v>4.1007232168559136E-2</v>
      </c>
      <c r="Q186">
        <f>P186*16.02</f>
        <v>0.6569358593403174</v>
      </c>
    </row>
    <row r="187" spans="2:18" x14ac:dyDescent="0.2">
      <c r="C187">
        <v>100000</v>
      </c>
      <c r="D187">
        <v>278.95306499999998</v>
      </c>
      <c r="E187">
        <v>-12140.360146999999</v>
      </c>
      <c r="F187">
        <v>47453.478922000002</v>
      </c>
      <c r="G187">
        <v>7.5622999999999996E-2</v>
      </c>
      <c r="H187">
        <v>34.290213999999999</v>
      </c>
      <c r="I187">
        <v>137.18227400000001</v>
      </c>
      <c r="J187">
        <v>10.087877000000001</v>
      </c>
      <c r="K187">
        <v>1731</v>
      </c>
      <c r="L187">
        <v>741</v>
      </c>
      <c r="M187">
        <f>L187/(L187+K187)</f>
        <v>0.29975728155339804</v>
      </c>
      <c r="N187">
        <f t="shared" ref="N187:N190" si="48">-4.1653-2.5269*M187</f>
        <v>-4.9227566747572817</v>
      </c>
      <c r="O187">
        <f>E187-(SUM(K187:L187)*N187)</f>
        <v>28.694353000000774</v>
      </c>
      <c r="P187">
        <f>O187/(2*H187*J187)</f>
        <v>4.1475961938495169E-2</v>
      </c>
      <c r="Q187">
        <f>P187*16.02</f>
        <v>0.66444491025469254</v>
      </c>
    </row>
    <row r="188" spans="2:18" x14ac:dyDescent="0.2">
      <c r="C188">
        <v>100000</v>
      </c>
      <c r="D188">
        <v>279.02143699999999</v>
      </c>
      <c r="E188">
        <v>-12112.115549</v>
      </c>
      <c r="F188">
        <v>47516.985385</v>
      </c>
      <c r="G188">
        <v>0.21202799999999999</v>
      </c>
      <c r="H188">
        <v>34.305503999999999</v>
      </c>
      <c r="I188">
        <v>137.24344300000001</v>
      </c>
      <c r="J188">
        <v>10.092375000000001</v>
      </c>
      <c r="K188">
        <v>1741</v>
      </c>
      <c r="L188">
        <v>731</v>
      </c>
      <c r="M188">
        <f>L188/(L188+K188)</f>
        <v>0.29571197411003236</v>
      </c>
      <c r="N188">
        <f t="shared" si="48"/>
        <v>-4.9125345873786408</v>
      </c>
      <c r="O188">
        <f>E188-(SUM(K188:L188)*N188)</f>
        <v>31.669950999999855</v>
      </c>
      <c r="P188">
        <f>O188/(2*H188*J188)</f>
        <v>4.5736214127303811E-2</v>
      </c>
      <c r="Q188">
        <f>P188*16.02</f>
        <v>0.73269415031940699</v>
      </c>
    </row>
    <row r="189" spans="2:18" x14ac:dyDescent="0.2">
      <c r="C189">
        <v>100000</v>
      </c>
      <c r="D189">
        <v>278.88053200000002</v>
      </c>
      <c r="E189">
        <v>-12073.946078000001</v>
      </c>
      <c r="F189">
        <v>47567.292051999997</v>
      </c>
      <c r="G189">
        <v>0.220355</v>
      </c>
      <c r="H189">
        <v>34.317605999999998</v>
      </c>
      <c r="I189">
        <v>137.29185899999999</v>
      </c>
      <c r="J189">
        <v>10.095935000000001</v>
      </c>
      <c r="K189">
        <v>1757</v>
      </c>
      <c r="L189">
        <v>715</v>
      </c>
      <c r="M189">
        <f>L189/(L189+K189)</f>
        <v>0.28923948220064727</v>
      </c>
      <c r="N189">
        <f t="shared" si="48"/>
        <v>-4.8961792475728156</v>
      </c>
      <c r="O189">
        <f>E189-(SUM(K189:L189)*N189)</f>
        <v>29.409021999999823</v>
      </c>
      <c r="P189">
        <f>O189/(2*H189*J189)</f>
        <v>4.2441141573575668E-2</v>
      </c>
      <c r="Q189">
        <f>P189*16.02</f>
        <v>0.67990708800868216</v>
      </c>
    </row>
    <row r="190" spans="2:18" x14ac:dyDescent="0.2">
      <c r="C190">
        <v>100000</v>
      </c>
      <c r="D190">
        <v>278.91906599999999</v>
      </c>
      <c r="E190">
        <v>-11981.236666000001</v>
      </c>
      <c r="F190">
        <v>47791.256246999998</v>
      </c>
      <c r="G190">
        <v>9.6307000000000004E-2</v>
      </c>
      <c r="H190">
        <v>34.371381</v>
      </c>
      <c r="I190">
        <v>137.50699299999999</v>
      </c>
      <c r="J190">
        <v>10.111755</v>
      </c>
      <c r="K190">
        <v>1794</v>
      </c>
      <c r="L190">
        <v>678</v>
      </c>
      <c r="M190">
        <f>L190/(L190+K190)</f>
        <v>0.27427184466019416</v>
      </c>
      <c r="N190">
        <f t="shared" si="48"/>
        <v>-4.8583575242718453</v>
      </c>
      <c r="O190">
        <f>E190-(SUM(K190:L190)*N190)</f>
        <v>28.623134000001301</v>
      </c>
      <c r="P190">
        <f>O190/(2*H190*J190)</f>
        <v>4.1177850043511557E-2</v>
      </c>
      <c r="Q190">
        <f>P190*16.02</f>
        <v>0.65966915769705514</v>
      </c>
    </row>
    <row r="191" spans="2:18" x14ac:dyDescent="0.2">
      <c r="Q191" s="1">
        <f>AVERAGE(Q186:Q190)</f>
        <v>0.6787302331240308</v>
      </c>
      <c r="R191">
        <f>STDEV(Q186:Q190)</f>
        <v>3.144788991739849E-2</v>
      </c>
    </row>
    <row r="192" spans="2:18" x14ac:dyDescent="0.2">
      <c r="B192" t="s">
        <v>31</v>
      </c>
      <c r="C192">
        <v>100000</v>
      </c>
      <c r="D192">
        <v>278.85150199999998</v>
      </c>
      <c r="E192">
        <v>-15908.690541</v>
      </c>
      <c r="F192">
        <v>61880.003040000003</v>
      </c>
      <c r="G192">
        <v>-3.1546999999999999E-2</v>
      </c>
      <c r="H192">
        <v>27.700982</v>
      </c>
      <c r="I192">
        <v>166.22729200000001</v>
      </c>
      <c r="J192">
        <v>13.438561</v>
      </c>
      <c r="K192">
        <v>2248</v>
      </c>
      <c r="L192">
        <v>984</v>
      </c>
      <c r="M192">
        <f>L192/(L192+K192)</f>
        <v>0.30445544554455445</v>
      </c>
      <c r="N192">
        <f>-4.1653-2.5269*M192</f>
        <v>-4.9346284653465347</v>
      </c>
      <c r="O192">
        <f>E192-(SUM(K192:L192)*N192)</f>
        <v>40.028658999999607</v>
      </c>
      <c r="P192">
        <f>O192/(2*H192*J192)</f>
        <v>5.3764190757306082E-2</v>
      </c>
      <c r="Q192">
        <f>P192*16.02</f>
        <v>0.86130233593204342</v>
      </c>
    </row>
    <row r="193" spans="2:18" x14ac:dyDescent="0.2">
      <c r="C193">
        <v>100000</v>
      </c>
      <c r="D193">
        <v>278.99125800000002</v>
      </c>
      <c r="E193">
        <v>-15796.723792000001</v>
      </c>
      <c r="F193">
        <v>62158.527071999997</v>
      </c>
      <c r="G193">
        <v>5.3316000000000002E-2</v>
      </c>
      <c r="H193">
        <v>27.742481000000002</v>
      </c>
      <c r="I193">
        <v>166.47631699999999</v>
      </c>
      <c r="J193">
        <v>13.458693621</v>
      </c>
      <c r="K193">
        <v>2295</v>
      </c>
      <c r="L193">
        <v>937</v>
      </c>
      <c r="M193">
        <f>L193/(L193+K193)</f>
        <v>0.28991336633663367</v>
      </c>
      <c r="N193">
        <f t="shared" ref="N193:N196" si="49">-4.1653-2.5269*M193</f>
        <v>-4.8978820853960396</v>
      </c>
      <c r="O193">
        <f>E193-(SUM(K193:L193)*N193)</f>
        <v>33.231107999999949</v>
      </c>
      <c r="P193">
        <f>O193/(2*H193*J193)</f>
        <v>4.4500677419110131E-2</v>
      </c>
      <c r="Q193">
        <f>P193*16.02</f>
        <v>0.71290085225414423</v>
      </c>
    </row>
    <row r="194" spans="2:18" x14ac:dyDescent="0.2">
      <c r="C194">
        <v>100000</v>
      </c>
      <c r="D194">
        <v>278.83445399999999</v>
      </c>
      <c r="E194">
        <v>-15868.225607</v>
      </c>
      <c r="F194">
        <v>61979.776569000001</v>
      </c>
      <c r="G194">
        <v>2.5656999999999999E-2</v>
      </c>
      <c r="H194">
        <v>27.715862000000001</v>
      </c>
      <c r="I194">
        <v>166.31658300000001</v>
      </c>
      <c r="J194">
        <v>13.445779</v>
      </c>
      <c r="K194">
        <v>2265</v>
      </c>
      <c r="L194">
        <v>967</v>
      </c>
      <c r="M194">
        <f>L194/(L194+K194)</f>
        <v>0.29919554455445546</v>
      </c>
      <c r="N194">
        <f t="shared" si="49"/>
        <v>-4.921337221534654</v>
      </c>
      <c r="O194">
        <f>E194-(SUM(K194:L194)*N194)</f>
        <v>37.536293000001024</v>
      </c>
      <c r="P194">
        <f>O194/(2*H194*J194)</f>
        <v>5.0362470472921084E-2</v>
      </c>
      <c r="Q194">
        <f>P194*16.02</f>
        <v>0.80680677697619574</v>
      </c>
    </row>
    <row r="195" spans="2:18" x14ac:dyDescent="0.2">
      <c r="C195">
        <v>100000</v>
      </c>
      <c r="D195">
        <v>278.97427099999999</v>
      </c>
      <c r="E195">
        <v>-15885.030658</v>
      </c>
      <c r="F195">
        <v>62017.469467000003</v>
      </c>
      <c r="G195">
        <v>9.264E-2</v>
      </c>
      <c r="H195">
        <v>27.72148</v>
      </c>
      <c r="I195">
        <v>166.350292</v>
      </c>
      <c r="J195">
        <v>13.448505000000001</v>
      </c>
      <c r="K195">
        <v>2262</v>
      </c>
      <c r="L195">
        <v>970</v>
      </c>
      <c r="M195">
        <f>L195/(L195+K195)</f>
        <v>0.30012376237623761</v>
      </c>
      <c r="N195">
        <f t="shared" si="49"/>
        <v>-4.9236827351485148</v>
      </c>
      <c r="O195">
        <f>E195-(SUM(K195:L195)*N195)</f>
        <v>28.311942000000272</v>
      </c>
      <c r="P195">
        <f>O195/(2*H195*J195)</f>
        <v>3.7970755884470041E-2</v>
      </c>
      <c r="Q195">
        <f>P195*16.02</f>
        <v>0.60829150926921005</v>
      </c>
    </row>
    <row r="196" spans="2:18" x14ac:dyDescent="0.2">
      <c r="C196">
        <v>100000</v>
      </c>
      <c r="D196">
        <v>278.91141499999998</v>
      </c>
      <c r="E196">
        <v>-15780.738567</v>
      </c>
      <c r="F196">
        <v>62195.803855999999</v>
      </c>
      <c r="G196">
        <v>8.9577000000000004E-2</v>
      </c>
      <c r="H196">
        <v>27.748025999999999</v>
      </c>
      <c r="I196">
        <v>166.50959</v>
      </c>
      <c r="J196">
        <v>13.461383</v>
      </c>
      <c r="K196">
        <v>2304</v>
      </c>
      <c r="L196">
        <v>928</v>
      </c>
      <c r="M196">
        <f>L196/(L196+K196)</f>
        <v>0.28712871287128711</v>
      </c>
      <c r="N196">
        <f t="shared" si="49"/>
        <v>-4.8908455445544554</v>
      </c>
      <c r="O196">
        <f>E196-(SUM(K196:L196)*N196)</f>
        <v>26.474232999999003</v>
      </c>
      <c r="P196">
        <f>O196/(2*H196*J196)</f>
        <v>3.5438196953470731E-2</v>
      </c>
      <c r="Q196">
        <f>P196*16.02</f>
        <v>0.56771991519460108</v>
      </c>
    </row>
    <row r="197" spans="2:18" x14ac:dyDescent="0.2">
      <c r="Q197" s="1">
        <f>AVERAGE(Q192:Q196)</f>
        <v>0.71140427792523897</v>
      </c>
      <c r="R197">
        <f>STDEV(Q192:Q196)</f>
        <v>0.12535025279922765</v>
      </c>
    </row>
    <row r="198" spans="2:18" x14ac:dyDescent="0.2">
      <c r="B198" t="s">
        <v>23</v>
      </c>
      <c r="C198">
        <v>100000</v>
      </c>
      <c r="D198">
        <v>278.870273</v>
      </c>
      <c r="E198">
        <v>-14110.324309</v>
      </c>
      <c r="F198">
        <v>55300.545643999998</v>
      </c>
      <c r="G198">
        <v>1.0579999999999999E-3</v>
      </c>
      <c r="H198">
        <v>31.942876999999999</v>
      </c>
      <c r="I198">
        <v>128.15869599999999</v>
      </c>
      <c r="J198">
        <v>13.508502999999999</v>
      </c>
      <c r="K198">
        <v>2028</v>
      </c>
      <c r="L198">
        <v>852</v>
      </c>
      <c r="M198">
        <f>L198/(L198+K198)</f>
        <v>0.29583333333333334</v>
      </c>
      <c r="N198">
        <f>-4.1653-2.5269*M198</f>
        <v>-4.9128412500000005</v>
      </c>
      <c r="O198">
        <f>E198-(SUM(K198:L198)*N198)</f>
        <v>38.658491000001959</v>
      </c>
      <c r="P198">
        <f>O198/(2*H198*J198)</f>
        <v>4.4795423758458928E-2</v>
      </c>
      <c r="Q198">
        <f>P198*16.02</f>
        <v>0.71762268861051204</v>
      </c>
    </row>
    <row r="199" spans="2:18" x14ac:dyDescent="0.2">
      <c r="C199">
        <v>100000</v>
      </c>
      <c r="D199">
        <v>278.86311000000001</v>
      </c>
      <c r="E199">
        <v>-14139.314657999999</v>
      </c>
      <c r="F199">
        <v>55264.667174000002</v>
      </c>
      <c r="G199">
        <v>0.14428099999999999</v>
      </c>
      <c r="H199">
        <v>31.935967000000002</v>
      </c>
      <c r="I199">
        <v>128.13097200000001</v>
      </c>
      <c r="J199">
        <v>13.505580999999999</v>
      </c>
      <c r="K199">
        <v>2018</v>
      </c>
      <c r="L199">
        <v>862</v>
      </c>
      <c r="M199">
        <f>L199/(L199+K199)</f>
        <v>0.29930555555555555</v>
      </c>
      <c r="N199">
        <f t="shared" ref="N199:N202" si="50">-4.1653-2.5269*M199</f>
        <v>-4.9216152083333338</v>
      </c>
      <c r="O199">
        <f>E199-(SUM(K199:L199)*N199)</f>
        <v>34.937142000002495</v>
      </c>
      <c r="P199">
        <f>O199/(2*H199*J199)</f>
        <v>4.0500840548508742E-2</v>
      </c>
      <c r="Q199">
        <f>P199*16.02</f>
        <v>0.64882346558711002</v>
      </c>
    </row>
    <row r="200" spans="2:18" x14ac:dyDescent="0.2">
      <c r="C200">
        <v>100000</v>
      </c>
      <c r="D200">
        <v>278.88744100000002</v>
      </c>
      <c r="E200">
        <v>-14153.218118999999</v>
      </c>
      <c r="F200">
        <v>55199.641559000003</v>
      </c>
      <c r="G200">
        <v>-2.9269999999999999E-3</v>
      </c>
      <c r="H200">
        <v>31.923437</v>
      </c>
      <c r="I200">
        <v>128.08070000000001</v>
      </c>
      <c r="J200">
        <v>13.500282</v>
      </c>
      <c r="K200">
        <v>2013</v>
      </c>
      <c r="L200">
        <v>867</v>
      </c>
      <c r="M200">
        <f>L200/(L200+K200)</f>
        <v>0.30104166666666665</v>
      </c>
      <c r="N200">
        <f t="shared" si="50"/>
        <v>-4.9260021875</v>
      </c>
      <c r="O200">
        <f>E200-(SUM(K200:L200)*N200)</f>
        <v>33.668181000000914</v>
      </c>
      <c r="P200">
        <f>O200/(2*H200*J200)</f>
        <v>3.9060443880149377E-2</v>
      </c>
      <c r="Q200">
        <f>P200*16.02</f>
        <v>0.62574831095999306</v>
      </c>
    </row>
    <row r="201" spans="2:18" x14ac:dyDescent="0.2">
      <c r="C201">
        <v>100000</v>
      </c>
      <c r="D201">
        <v>278.943307</v>
      </c>
      <c r="E201">
        <v>-14180.75309</v>
      </c>
      <c r="F201">
        <v>55102.745999999999</v>
      </c>
      <c r="G201">
        <v>0.12898799999999999</v>
      </c>
      <c r="H201">
        <v>31.904747</v>
      </c>
      <c r="I201">
        <v>128.00571299999999</v>
      </c>
      <c r="J201">
        <v>13.492378</v>
      </c>
      <c r="K201">
        <v>2003</v>
      </c>
      <c r="L201">
        <v>877</v>
      </c>
      <c r="M201">
        <f>L201/(L201+K201)</f>
        <v>0.30451388888888886</v>
      </c>
      <c r="N201">
        <f t="shared" si="50"/>
        <v>-4.9347761458333332</v>
      </c>
      <c r="O201">
        <f>E201-(SUM(K201:L201)*N201)</f>
        <v>31.402210000000196</v>
      </c>
      <c r="P201">
        <f>O201/(2*H201*J201)</f>
        <v>3.6474253572651633E-2</v>
      </c>
      <c r="Q201">
        <f>P201*16.02</f>
        <v>0.58431754223387911</v>
      </c>
    </row>
    <row r="202" spans="2:18" x14ac:dyDescent="0.2">
      <c r="C202">
        <v>100000</v>
      </c>
      <c r="D202">
        <v>278.91124500000001</v>
      </c>
      <c r="E202">
        <v>-14185.775689</v>
      </c>
      <c r="F202">
        <v>55127.294263999996</v>
      </c>
      <c r="G202">
        <v>2.0322E-2</v>
      </c>
      <c r="H202">
        <v>31.909483999999999</v>
      </c>
      <c r="I202">
        <v>128.024719</v>
      </c>
      <c r="J202">
        <v>13.494381000000001</v>
      </c>
      <c r="K202">
        <v>2000</v>
      </c>
      <c r="L202">
        <v>880</v>
      </c>
      <c r="M202">
        <f>L202/(L202+K202)</f>
        <v>0.30555555555555558</v>
      </c>
      <c r="N202">
        <f t="shared" si="50"/>
        <v>-4.9374083333333338</v>
      </c>
      <c r="O202">
        <f>E202-(SUM(K202:L202)*N202)</f>
        <v>33.960311000000729</v>
      </c>
      <c r="P202">
        <f>O202/(2*H202*J202)</f>
        <v>3.9433825822556258E-2</v>
      </c>
      <c r="Q202">
        <f>P202*16.02</f>
        <v>0.63172988967735122</v>
      </c>
    </row>
    <row r="203" spans="2:18" x14ac:dyDescent="0.2">
      <c r="Q203" s="1">
        <f>AVERAGE(Q198:Q202)</f>
        <v>0.64164837941376907</v>
      </c>
      <c r="R203">
        <f>STDEV(Q198:Q202)</f>
        <v>4.8635355007315445E-2</v>
      </c>
    </row>
    <row r="204" spans="2:18" x14ac:dyDescent="0.2">
      <c r="B204" t="s">
        <v>32</v>
      </c>
      <c r="C204">
        <v>100000</v>
      </c>
      <c r="D204">
        <v>278.81013799999999</v>
      </c>
      <c r="E204">
        <v>-18089.250899999999</v>
      </c>
      <c r="F204">
        <v>70555.039862999998</v>
      </c>
      <c r="G204">
        <v>1.5776999999999999E-2</v>
      </c>
      <c r="H204">
        <v>25.604268000000001</v>
      </c>
      <c r="I204">
        <v>204.876982</v>
      </c>
      <c r="J204">
        <v>13.450005000000001</v>
      </c>
      <c r="K204">
        <v>2574</v>
      </c>
      <c r="L204">
        <v>1106</v>
      </c>
      <c r="M204">
        <f>L204/(L204+K204)</f>
        <v>0.30054347826086958</v>
      </c>
      <c r="N204">
        <f>-4.1653-2.5269*M204</f>
        <v>-4.9247433152173912</v>
      </c>
      <c r="O204">
        <f>E204-(SUM(K204:L204)*N204)</f>
        <v>33.804500000002008</v>
      </c>
      <c r="P204">
        <f>O204/(2*H204*J204)</f>
        <v>4.9080582787570687E-2</v>
      </c>
      <c r="Q204">
        <f>P204*16.02</f>
        <v>0.78627093625688238</v>
      </c>
    </row>
    <row r="205" spans="2:18" x14ac:dyDescent="0.2">
      <c r="C205">
        <v>100000</v>
      </c>
      <c r="D205">
        <v>278.91351700000001</v>
      </c>
      <c r="E205">
        <v>-18049.422351000001</v>
      </c>
      <c r="F205">
        <v>70578.172068999993</v>
      </c>
      <c r="G205">
        <v>0.121809</v>
      </c>
      <c r="H205">
        <v>25.607066</v>
      </c>
      <c r="I205">
        <v>204.89937</v>
      </c>
      <c r="J205">
        <v>13.451473999999999</v>
      </c>
      <c r="K205">
        <v>2591</v>
      </c>
      <c r="L205">
        <v>1089</v>
      </c>
      <c r="M205">
        <f>L205/(L205+K205)</f>
        <v>0.29592391304347826</v>
      </c>
      <c r="N205">
        <f t="shared" ref="N205:N208" si="51">-4.1653-2.5269*M205</f>
        <v>-4.9130701358695656</v>
      </c>
      <c r="O205">
        <f>E205-(SUM(K205:L205)*N205)</f>
        <v>30.675749000001815</v>
      </c>
      <c r="P205">
        <f>O205/(2*H205*J205)</f>
        <v>4.4528235156063342E-2</v>
      </c>
      <c r="Q205">
        <f>P205*16.02</f>
        <v>0.71334232720013468</v>
      </c>
    </row>
    <row r="206" spans="2:18" x14ac:dyDescent="0.2">
      <c r="C206">
        <v>100000</v>
      </c>
      <c r="D206">
        <v>278.93342899999999</v>
      </c>
      <c r="E206">
        <v>-18025.713734000001</v>
      </c>
      <c r="F206">
        <v>70670.824336000005</v>
      </c>
      <c r="G206">
        <v>9.4811999999999994E-2</v>
      </c>
      <c r="H206">
        <v>25.618266999999999</v>
      </c>
      <c r="I206">
        <v>204.988992</v>
      </c>
      <c r="J206">
        <v>13.457357999999999</v>
      </c>
      <c r="K206">
        <v>2597</v>
      </c>
      <c r="L206">
        <v>1083</v>
      </c>
      <c r="M206">
        <f>L206/(L206+K206)</f>
        <v>0.29429347826086955</v>
      </c>
      <c r="N206">
        <f t="shared" si="51"/>
        <v>-4.9089501902173911</v>
      </c>
      <c r="O206">
        <f>E206-(SUM(K206:L206)*N206)</f>
        <v>39.222965999997541</v>
      </c>
      <c r="P206">
        <f>O206/(2*H206*J206)</f>
        <v>5.6885408643185635E-2</v>
      </c>
      <c r="Q206">
        <f>P206*16.02</f>
        <v>0.9113042464638339</v>
      </c>
    </row>
    <row r="207" spans="2:18" x14ac:dyDescent="0.2">
      <c r="C207">
        <v>100000</v>
      </c>
      <c r="D207">
        <v>278.94831900000003</v>
      </c>
      <c r="E207">
        <v>-18173.888909000001</v>
      </c>
      <c r="F207">
        <v>70329.550954000006</v>
      </c>
      <c r="G207">
        <v>0.105351</v>
      </c>
      <c r="H207">
        <v>25.576962999999999</v>
      </c>
      <c r="I207">
        <v>204.658492</v>
      </c>
      <c r="J207">
        <v>13.435661</v>
      </c>
      <c r="K207">
        <v>2540</v>
      </c>
      <c r="L207">
        <v>1140</v>
      </c>
      <c r="M207">
        <f>L207/(L207+K207)</f>
        <v>0.30978260869565216</v>
      </c>
      <c r="N207">
        <f t="shared" si="51"/>
        <v>-4.948089673913044</v>
      </c>
      <c r="O207">
        <f>E207-(SUM(K207:L207)*N207)</f>
        <v>35.081091000000015</v>
      </c>
      <c r="P207">
        <f>O207/(2*H207*J207)</f>
        <v>5.1042869677293205E-2</v>
      </c>
      <c r="Q207">
        <f>P207*16.02</f>
        <v>0.81770677223023713</v>
      </c>
    </row>
    <row r="208" spans="2:18" x14ac:dyDescent="0.2">
      <c r="C208">
        <v>100000</v>
      </c>
      <c r="D208">
        <v>278.81019800000001</v>
      </c>
      <c r="E208">
        <v>-18088.144324000001</v>
      </c>
      <c r="F208">
        <v>70542.630210000003</v>
      </c>
      <c r="G208">
        <v>1.8637000000000001E-2</v>
      </c>
      <c r="H208">
        <v>25.602767</v>
      </c>
      <c r="I208">
        <v>204.864969</v>
      </c>
      <c r="J208">
        <v>13.449216</v>
      </c>
      <c r="K208">
        <v>2571</v>
      </c>
      <c r="L208">
        <v>1109</v>
      </c>
      <c r="M208">
        <f>L208/(L208+K208)</f>
        <v>0.30135869565217394</v>
      </c>
      <c r="N208">
        <f t="shared" si="51"/>
        <v>-4.9268032880434784</v>
      </c>
      <c r="O208">
        <f>E208-(SUM(K208:L208)*N208)</f>
        <v>42.491775999998936</v>
      </c>
      <c r="P208">
        <f>O208/(2*H208*J208)</f>
        <v>6.1700831281426775E-2</v>
      </c>
      <c r="Q208">
        <f>P208*16.02</f>
        <v>0.9884473171284569</v>
      </c>
    </row>
    <row r="209" spans="2:18" x14ac:dyDescent="0.2">
      <c r="Q209" s="1">
        <f>AVERAGE(Q204:Q208)</f>
        <v>0.84341431985590898</v>
      </c>
      <c r="R209">
        <f>STDEV(Q204:Q208)</f>
        <v>0.10780605270600992</v>
      </c>
    </row>
    <row r="210" spans="2:18" x14ac:dyDescent="0.2">
      <c r="B210" t="s">
        <v>22</v>
      </c>
      <c r="C210">
        <v>100000</v>
      </c>
      <c r="D210">
        <v>260.18307800000002</v>
      </c>
      <c r="E210">
        <v>-18557.472816000001</v>
      </c>
      <c r="F210">
        <v>72433.833992999993</v>
      </c>
      <c r="G210">
        <v>0.30984200000000001</v>
      </c>
      <c r="H210">
        <v>29.980765999999999</v>
      </c>
      <c r="I210">
        <v>90.097085000000007</v>
      </c>
      <c r="J210">
        <v>26.815625000000001</v>
      </c>
      <c r="K210">
        <v>2632</v>
      </c>
      <c r="L210">
        <v>1144</v>
      </c>
      <c r="M210">
        <f>L210/(L210+K210)</f>
        <v>0.30296610169491528</v>
      </c>
      <c r="N210">
        <f>-4.1653-2.5269*M210</f>
        <v>-4.9308650423728819</v>
      </c>
      <c r="O210">
        <f>E210-(SUM(K210:L210)*N210)</f>
        <v>61.473583999999391</v>
      </c>
      <c r="P210">
        <f>O210/(2*H210*J210)</f>
        <v>3.823207678910398E-2</v>
      </c>
      <c r="Q210">
        <f>P210*16.02</f>
        <v>0.61247787016144573</v>
      </c>
    </row>
    <row r="211" spans="2:18" x14ac:dyDescent="0.2">
      <c r="C211">
        <v>100000</v>
      </c>
      <c r="D211">
        <v>260.24172499999997</v>
      </c>
      <c r="E211">
        <v>-18411.488367999998</v>
      </c>
      <c r="F211">
        <v>72768.872430000003</v>
      </c>
      <c r="G211">
        <v>0.25575900000000001</v>
      </c>
      <c r="H211">
        <v>30.02692</v>
      </c>
      <c r="I211">
        <v>90.235785000000007</v>
      </c>
      <c r="J211">
        <v>26.856905999999999</v>
      </c>
      <c r="K211">
        <v>2689</v>
      </c>
      <c r="L211">
        <v>1087</v>
      </c>
      <c r="M211">
        <f>L211/(L211+K211)</f>
        <v>0.2878707627118644</v>
      </c>
      <c r="N211">
        <f t="shared" ref="N211:N214" si="52">-4.1653-2.5269*M211</f>
        <v>-4.8927206302966102</v>
      </c>
      <c r="O211">
        <f>E211-(SUM(K211:L211)*N211)</f>
        <v>63.424732000003132</v>
      </c>
      <c r="P211">
        <f>O211/(2*H211*J211)</f>
        <v>3.9324379545731029E-2</v>
      </c>
      <c r="Q211">
        <f>P211*16.02</f>
        <v>0.62997656032261107</v>
      </c>
    </row>
    <row r="212" spans="2:18" x14ac:dyDescent="0.2">
      <c r="C212">
        <v>100000</v>
      </c>
      <c r="D212">
        <v>260.24353300000001</v>
      </c>
      <c r="E212">
        <v>-18535.612331</v>
      </c>
      <c r="F212">
        <v>72514.443108000007</v>
      </c>
      <c r="G212">
        <v>0.21796499999999999</v>
      </c>
      <c r="H212">
        <v>29.991883000000001</v>
      </c>
      <c r="I212">
        <v>90.130494999999996</v>
      </c>
      <c r="J212">
        <v>26.825569000000002</v>
      </c>
      <c r="K212">
        <v>2638</v>
      </c>
      <c r="L212">
        <v>1138</v>
      </c>
      <c r="M212">
        <f>L212/(L212+K212)</f>
        <v>0.3013771186440678</v>
      </c>
      <c r="N212">
        <f t="shared" si="52"/>
        <v>-4.9268498411016948</v>
      </c>
      <c r="O212">
        <f>E212-(SUM(K212:L212)*N212)</f>
        <v>68.172668999999587</v>
      </c>
      <c r="P212">
        <f>O212/(2*H212*J212)</f>
        <v>4.2366991509623801E-2</v>
      </c>
      <c r="Q212">
        <f>P212*16.02</f>
        <v>0.67871920398417329</v>
      </c>
    </row>
    <row r="213" spans="2:18" x14ac:dyDescent="0.2">
      <c r="C213">
        <v>100000</v>
      </c>
      <c r="D213">
        <v>260.32296000000002</v>
      </c>
      <c r="E213">
        <v>-18485.252446999999</v>
      </c>
      <c r="F213">
        <v>72599.194292</v>
      </c>
      <c r="G213">
        <v>0.29604900000000001</v>
      </c>
      <c r="H213">
        <v>30.003563</v>
      </c>
      <c r="I213">
        <v>90.165594999999996</v>
      </c>
      <c r="J213">
        <v>26.836016000000001</v>
      </c>
      <c r="K213">
        <v>2658</v>
      </c>
      <c r="L213">
        <v>1118</v>
      </c>
      <c r="M213">
        <f>L213/(L213+K213)</f>
        <v>0.29608050847457629</v>
      </c>
      <c r="N213">
        <f t="shared" si="52"/>
        <v>-4.9134658368644075</v>
      </c>
      <c r="O213">
        <f>E213-(SUM(K213:L213)*N213)</f>
        <v>67.994553000004089</v>
      </c>
      <c r="P213">
        <f>O213/(2*H213*J213)</f>
        <v>4.2223405089002713E-2</v>
      </c>
      <c r="Q213">
        <f>P213*16.02</f>
        <v>0.67641894952582349</v>
      </c>
    </row>
    <row r="214" spans="2:18" x14ac:dyDescent="0.2">
      <c r="C214">
        <v>100000</v>
      </c>
      <c r="D214">
        <v>260.28875799999997</v>
      </c>
      <c r="E214">
        <v>-18577.306863000002</v>
      </c>
      <c r="F214">
        <v>72396.079660000003</v>
      </c>
      <c r="G214">
        <v>0.289879</v>
      </c>
      <c r="H214">
        <v>29.975556000000001</v>
      </c>
      <c r="I214">
        <v>90.081429</v>
      </c>
      <c r="J214">
        <v>26.810966000000001</v>
      </c>
      <c r="K214">
        <v>2622</v>
      </c>
      <c r="L214">
        <v>1154</v>
      </c>
      <c r="M214">
        <f>L214/(L214+K214)</f>
        <v>0.30561440677966101</v>
      </c>
      <c r="N214">
        <f t="shared" si="52"/>
        <v>-4.9375570444915251</v>
      </c>
      <c r="O214">
        <f>E214-(SUM(K214:L214)*N214)</f>
        <v>66.908536999995704</v>
      </c>
      <c r="P214">
        <f>O214/(2*H214*J214)</f>
        <v>4.1626685223178285E-2</v>
      </c>
      <c r="Q214">
        <f>P214*16.02</f>
        <v>0.66685949727531613</v>
      </c>
    </row>
    <row r="215" spans="2:18" x14ac:dyDescent="0.2">
      <c r="Q215" s="1">
        <f>AVERAGE(Q210:Q214)</f>
        <v>0.65289041625387401</v>
      </c>
      <c r="R215">
        <f>STDEV(Q210:Q214)</f>
        <v>2.9891771666467934E-2</v>
      </c>
    </row>
    <row r="216" spans="2:18" x14ac:dyDescent="0.2">
      <c r="B216" t="s">
        <v>33</v>
      </c>
      <c r="C216">
        <v>100000</v>
      </c>
      <c r="D216">
        <v>278.92711100000002</v>
      </c>
      <c r="E216">
        <v>-31808.895672999999</v>
      </c>
      <c r="F216">
        <v>124491.78817299999</v>
      </c>
      <c r="G216">
        <v>-6.9999999999999994E-5</v>
      </c>
      <c r="H216">
        <v>39.248852999999997</v>
      </c>
      <c r="I216">
        <v>235.55744000000001</v>
      </c>
      <c r="J216">
        <v>13.465325999999999</v>
      </c>
      <c r="K216">
        <v>4573</v>
      </c>
      <c r="L216">
        <v>1915</v>
      </c>
      <c r="M216">
        <f>L216/(L216+K216)</f>
        <v>0.29516029593094945</v>
      </c>
      <c r="N216">
        <f>-4.1653-2.5269*M216</f>
        <v>-4.9111405517879163</v>
      </c>
      <c r="O216">
        <f>E216-(SUM(K216:L216)*N216)</f>
        <v>54.584227000003011</v>
      </c>
      <c r="P216">
        <f>O216/(2*H216*J216)</f>
        <v>5.1640843438719407E-2</v>
      </c>
      <c r="Q216">
        <f>P216*16.02</f>
        <v>0.82728631188828483</v>
      </c>
    </row>
    <row r="217" spans="2:18" x14ac:dyDescent="0.2">
      <c r="C217">
        <v>100000</v>
      </c>
      <c r="D217">
        <v>278.907825</v>
      </c>
      <c r="E217">
        <v>-31865.491933000001</v>
      </c>
      <c r="F217">
        <v>124388.401461</v>
      </c>
      <c r="G217">
        <v>1.7867000000000001E-2</v>
      </c>
      <c r="H217">
        <v>39.237983999999997</v>
      </c>
      <c r="I217">
        <v>235.49221399999999</v>
      </c>
      <c r="J217">
        <v>13.461596999999999</v>
      </c>
      <c r="K217">
        <v>4549</v>
      </c>
      <c r="L217">
        <v>1939</v>
      </c>
      <c r="M217">
        <f>L217/(L217+K217)</f>
        <v>0.29885943279901356</v>
      </c>
      <c r="N217">
        <f t="shared" ref="N217:N220" si="53">-4.1653-2.5269*M217</f>
        <v>-4.9204879007398272</v>
      </c>
      <c r="O217">
        <f>E217-(SUM(K217:L217)*N217)</f>
        <v>58.633566999997129</v>
      </c>
      <c r="P217">
        <f>O217/(2*H217*J217)</f>
        <v>5.5502564364678E-2</v>
      </c>
      <c r="Q217">
        <f>P217*16.02</f>
        <v>0.88915108112214158</v>
      </c>
    </row>
    <row r="218" spans="2:18" x14ac:dyDescent="0.2">
      <c r="C218">
        <v>100000</v>
      </c>
      <c r="D218">
        <v>278.90179899999998</v>
      </c>
      <c r="E218">
        <v>-31886.230986999999</v>
      </c>
      <c r="F218">
        <v>124297.373322</v>
      </c>
      <c r="G218">
        <v>-3.8610999999999999E-2</v>
      </c>
      <c r="H218">
        <v>39.228411000000001</v>
      </c>
      <c r="I218">
        <v>235.43475599999999</v>
      </c>
      <c r="J218">
        <v>13.458313</v>
      </c>
      <c r="K218">
        <v>4545</v>
      </c>
      <c r="L218">
        <v>1943</v>
      </c>
      <c r="M218">
        <f>L218/(L218+K218)</f>
        <v>0.29947595561035756</v>
      </c>
      <c r="N218">
        <f t="shared" si="53"/>
        <v>-4.9220457922318124</v>
      </c>
      <c r="O218">
        <f>E218-(SUM(K218:L218)*N218)</f>
        <v>48.002112999998644</v>
      </c>
      <c r="P218">
        <f>O218/(2*H218*J218)</f>
        <v>4.5461003497256819E-2</v>
      </c>
      <c r="Q218">
        <f>P218*16.02</f>
        <v>0.7282852760260542</v>
      </c>
    </row>
    <row r="219" spans="2:18" x14ac:dyDescent="0.2">
      <c r="C219">
        <v>100000</v>
      </c>
      <c r="D219">
        <v>278.92401799999999</v>
      </c>
      <c r="E219">
        <v>-31950.044226000002</v>
      </c>
      <c r="F219">
        <v>124169.288698</v>
      </c>
      <c r="G219">
        <v>-1.2663000000000001E-2</v>
      </c>
      <c r="H219">
        <v>39.214931999999997</v>
      </c>
      <c r="I219">
        <v>235.353859</v>
      </c>
      <c r="J219">
        <v>13.453689000000001</v>
      </c>
      <c r="K219">
        <v>4518</v>
      </c>
      <c r="L219">
        <v>1970</v>
      </c>
      <c r="M219">
        <f>L219/(L219+K219)</f>
        <v>0.30363748458692974</v>
      </c>
      <c r="N219">
        <f t="shared" si="53"/>
        <v>-4.9325615598027133</v>
      </c>
      <c r="O219">
        <f>E219-(SUM(K219:L219)*N219)</f>
        <v>52.415174000001571</v>
      </c>
      <c r="P219">
        <f>O219/(2*H219*J219)</f>
        <v>4.9674577932032685E-2</v>
      </c>
      <c r="Q219">
        <f>P219*16.02</f>
        <v>0.79578673847116355</v>
      </c>
    </row>
    <row r="220" spans="2:18" x14ac:dyDescent="0.2">
      <c r="C220">
        <v>100000</v>
      </c>
      <c r="D220">
        <v>278.882902</v>
      </c>
      <c r="E220">
        <v>-31801.328776999999</v>
      </c>
      <c r="F220">
        <v>124523.31065699999</v>
      </c>
      <c r="G220">
        <v>3.7829000000000002E-2</v>
      </c>
      <c r="H220">
        <v>39.252164999999998</v>
      </c>
      <c r="I220">
        <v>235.57732100000001</v>
      </c>
      <c r="J220">
        <v>13.466462999999999</v>
      </c>
      <c r="K220">
        <v>4575</v>
      </c>
      <c r="L220">
        <v>1913</v>
      </c>
      <c r="M220">
        <f>L220/(L220+K220)</f>
        <v>0.29485203452527742</v>
      </c>
      <c r="N220">
        <f t="shared" si="53"/>
        <v>-4.9103616060419242</v>
      </c>
      <c r="O220">
        <f>E220-(SUM(K220:L220)*N220)</f>
        <v>57.097323000005417</v>
      </c>
      <c r="P220">
        <f>O220/(2*H220*J220)</f>
        <v>5.4009305562966368E-2</v>
      </c>
      <c r="Q220">
        <f>P220*16.02</f>
        <v>0.86522907511872116</v>
      </c>
    </row>
    <row r="221" spans="2:18" x14ac:dyDescent="0.2">
      <c r="Q221" s="1">
        <f>AVERAGE(Q216:Q220)</f>
        <v>0.82114769652527309</v>
      </c>
      <c r="R221">
        <f>STDEV(Q216:Q220)</f>
        <v>6.2991900646629906E-2</v>
      </c>
    </row>
    <row r="222" spans="2:18" x14ac:dyDescent="0.2">
      <c r="B222" t="s">
        <v>34</v>
      </c>
      <c r="C222">
        <v>100000</v>
      </c>
      <c r="D222">
        <v>278.93657899999999</v>
      </c>
      <c r="E222">
        <v>-16129.40115</v>
      </c>
      <c r="F222">
        <v>63300.406465</v>
      </c>
      <c r="G222">
        <v>0.120391</v>
      </c>
      <c r="H222">
        <v>24.249479999999998</v>
      </c>
      <c r="I222">
        <v>194.03868700000001</v>
      </c>
      <c r="J222">
        <v>13.452892</v>
      </c>
      <c r="K222">
        <v>2334</v>
      </c>
      <c r="L222">
        <v>962</v>
      </c>
      <c r="M222">
        <f>L222/(L222+K222)</f>
        <v>0.29186893203883496</v>
      </c>
      <c r="N222">
        <f>-4.1653-2.5269*M222</f>
        <v>-4.9028236043689324</v>
      </c>
      <c r="O222">
        <f>E222-(SUM(K222:L222)*N222)</f>
        <v>30.305450000001656</v>
      </c>
      <c r="P222">
        <f>O222/(2*H222*J222)</f>
        <v>4.6448602903186587E-2</v>
      </c>
      <c r="Q222">
        <f>P222*16.02</f>
        <v>0.74410661850904913</v>
      </c>
    </row>
    <row r="223" spans="2:18" x14ac:dyDescent="0.2">
      <c r="C223">
        <v>100000</v>
      </c>
      <c r="D223">
        <v>278.85449399999999</v>
      </c>
      <c r="E223">
        <v>-16221.928703</v>
      </c>
      <c r="F223">
        <v>63107.309184999998</v>
      </c>
      <c r="G223">
        <v>0.17538400000000001</v>
      </c>
      <c r="H223">
        <v>24.224798</v>
      </c>
      <c r="I223">
        <v>193.841182</v>
      </c>
      <c r="J223">
        <v>13.439199</v>
      </c>
      <c r="K223">
        <v>2298</v>
      </c>
      <c r="L223">
        <v>998</v>
      </c>
      <c r="M223">
        <f>L223/(L223+K223)</f>
        <v>0.30279126213592233</v>
      </c>
      <c r="N223">
        <f t="shared" ref="N223:N226" si="54">-4.1653-2.5269*M223</f>
        <v>-4.9304232402912627</v>
      </c>
      <c r="O223">
        <f>E223-(SUM(K223:L223)*N223)</f>
        <v>28.746297000001505</v>
      </c>
      <c r="P223">
        <f>O223/(2*H223*J223)</f>
        <v>4.414874509676707E-2</v>
      </c>
      <c r="Q223">
        <f>P223*16.02</f>
        <v>0.70726289645020846</v>
      </c>
    </row>
    <row r="224" spans="2:18" x14ac:dyDescent="0.2">
      <c r="C224">
        <v>100000</v>
      </c>
      <c r="D224">
        <v>278.94641799999999</v>
      </c>
      <c r="E224">
        <v>-16140.524124</v>
      </c>
      <c r="F224">
        <v>63294.541729999997</v>
      </c>
      <c r="G224">
        <v>-2.6099999999999999E-3</v>
      </c>
      <c r="H224">
        <v>24.248732</v>
      </c>
      <c r="I224">
        <v>194.03269499999999</v>
      </c>
      <c r="J224">
        <v>13.452477</v>
      </c>
      <c r="K224">
        <v>2330</v>
      </c>
      <c r="L224">
        <v>966</v>
      </c>
      <c r="M224">
        <f>L224/(L224+K224)</f>
        <v>0.29308252427184467</v>
      </c>
      <c r="N224">
        <f t="shared" si="54"/>
        <v>-4.9058902305825249</v>
      </c>
      <c r="O224">
        <f>E224-(SUM(K224:L224)*N224)</f>
        <v>29.290076000002955</v>
      </c>
      <c r="P224">
        <f>O224/(2*H224*J224)</f>
        <v>4.4895127682048112E-2</v>
      </c>
      <c r="Q224">
        <f>P224*16.02</f>
        <v>0.71921994546641077</v>
      </c>
    </row>
    <row r="225" spans="2:18" x14ac:dyDescent="0.2">
      <c r="C225">
        <v>100000</v>
      </c>
      <c r="D225">
        <v>278.96735999999999</v>
      </c>
      <c r="E225">
        <v>-16078.142272999999</v>
      </c>
      <c r="F225">
        <v>63462.760918</v>
      </c>
      <c r="G225">
        <v>3.277E-3</v>
      </c>
      <c r="H225">
        <v>24.270195000000001</v>
      </c>
      <c r="I225">
        <v>194.20443800000001</v>
      </c>
      <c r="J225">
        <v>13.464384000000001</v>
      </c>
      <c r="K225">
        <v>2353</v>
      </c>
      <c r="L225">
        <v>943</v>
      </c>
      <c r="M225">
        <f>L225/(L225+K225)</f>
        <v>0.28610436893203883</v>
      </c>
      <c r="N225">
        <f t="shared" si="54"/>
        <v>-4.8882571298543693</v>
      </c>
      <c r="O225">
        <f>E225-(SUM(K225:L225)*N225)</f>
        <v>33.553227000002153</v>
      </c>
      <c r="P225">
        <f>O225/(2*H225*J225)</f>
        <v>5.1338661854330649E-2</v>
      </c>
      <c r="Q225">
        <f>P225*16.02</f>
        <v>0.82244536290637693</v>
      </c>
    </row>
    <row r="226" spans="2:18" x14ac:dyDescent="0.2">
      <c r="C226">
        <v>100000</v>
      </c>
      <c r="D226">
        <v>278.74237499999998</v>
      </c>
      <c r="E226">
        <v>-16174.780022999999</v>
      </c>
      <c r="F226">
        <v>63213.433176999999</v>
      </c>
      <c r="G226">
        <v>-5.8501999999999998E-2</v>
      </c>
      <c r="H226">
        <v>24.238368999999999</v>
      </c>
      <c r="I226">
        <v>193.94977800000001</v>
      </c>
      <c r="J226">
        <v>13.446728</v>
      </c>
      <c r="K226">
        <v>2314</v>
      </c>
      <c r="L226">
        <v>982</v>
      </c>
      <c r="M226">
        <f>L226/(L226+K226)</f>
        <v>0.2979368932038835</v>
      </c>
      <c r="N226">
        <f t="shared" si="54"/>
        <v>-4.9181567354368934</v>
      </c>
      <c r="O226">
        <f>E226-(SUM(K226:L226)*N226)</f>
        <v>35.464577000000645</v>
      </c>
      <c r="P226">
        <f>O226/(2*H226*J226)</f>
        <v>5.4405746758037485E-2</v>
      </c>
      <c r="Q226">
        <f>P226*16.02</f>
        <v>0.87158006306376046</v>
      </c>
    </row>
    <row r="227" spans="2:18" x14ac:dyDescent="0.2">
      <c r="Q227" s="1">
        <f>AVERAGE(Q222:Q226)</f>
        <v>0.77292297727916126</v>
      </c>
      <c r="R227">
        <f>STDEV(Q222:Q226)</f>
        <v>7.1083281485230659E-2</v>
      </c>
    </row>
    <row r="228" spans="2:18" x14ac:dyDescent="0.2">
      <c r="B228" t="s">
        <v>35</v>
      </c>
      <c r="C228">
        <v>100000</v>
      </c>
      <c r="D228">
        <v>278.91429499999998</v>
      </c>
      <c r="E228">
        <v>-23282.533943999999</v>
      </c>
      <c r="F228">
        <v>91183.837385000006</v>
      </c>
      <c r="G228">
        <v>4.4594000000000002E-2</v>
      </c>
      <c r="H228">
        <v>33.617767000000001</v>
      </c>
      <c r="I228">
        <v>201.70659900000001</v>
      </c>
      <c r="J228">
        <v>13.447107000000001</v>
      </c>
      <c r="K228">
        <v>3357</v>
      </c>
      <c r="L228">
        <v>1395</v>
      </c>
      <c r="M228">
        <f>L228/(L228+K228)</f>
        <v>0.29356060606060608</v>
      </c>
      <c r="N228">
        <f>-4.1653-2.5269*M228</f>
        <v>-4.9070982954545457</v>
      </c>
      <c r="O228">
        <f>E228-(SUM(K228:L228)*N228)</f>
        <v>35.997156000001269</v>
      </c>
      <c r="P228">
        <f>O228/(2*H228*J228)</f>
        <v>3.9814427109937288E-2</v>
      </c>
      <c r="Q228">
        <f>P228*16.02</f>
        <v>0.63782712230119532</v>
      </c>
    </row>
    <row r="229" spans="2:18" x14ac:dyDescent="0.2">
      <c r="C229">
        <v>100000</v>
      </c>
      <c r="D229">
        <v>278.92638199999999</v>
      </c>
      <c r="E229">
        <v>-23331.497477000001</v>
      </c>
      <c r="F229">
        <v>91139.708811000004</v>
      </c>
      <c r="G229">
        <v>3.2814000000000003E-2</v>
      </c>
      <c r="H229">
        <v>33.612343000000003</v>
      </c>
      <c r="I229">
        <v>201.67405600000001</v>
      </c>
      <c r="J229">
        <v>13.444936999999999</v>
      </c>
      <c r="K229">
        <v>3335</v>
      </c>
      <c r="L229">
        <v>1417</v>
      </c>
      <c r="M229">
        <f>L229/(L229+K229)</f>
        <v>0.29819023569023567</v>
      </c>
      <c r="N229">
        <f t="shared" ref="N229:N232" si="55">-4.1653-2.5269*M229</f>
        <v>-4.9187969065656567</v>
      </c>
      <c r="O229">
        <f>E229-(SUM(K229:L229)*N229)</f>
        <v>42.625423000001319</v>
      </c>
      <c r="P229">
        <f>O229/(2*H229*J229)</f>
        <v>4.7160798303194779E-2</v>
      </c>
      <c r="Q229">
        <f>P229*16.02</f>
        <v>0.7555159888171803</v>
      </c>
    </row>
    <row r="230" spans="2:18" x14ac:dyDescent="0.2">
      <c r="C230">
        <v>100000</v>
      </c>
      <c r="D230">
        <v>278.834475</v>
      </c>
      <c r="E230">
        <v>-23308.053478000002</v>
      </c>
      <c r="F230">
        <v>91132.566370999994</v>
      </c>
      <c r="G230">
        <v>7.3462E-2</v>
      </c>
      <c r="H230">
        <v>33.611463999999998</v>
      </c>
      <c r="I230">
        <v>201.66878600000001</v>
      </c>
      <c r="J230">
        <v>13.444585999999999</v>
      </c>
      <c r="K230">
        <v>3346</v>
      </c>
      <c r="L230">
        <v>1406</v>
      </c>
      <c r="M230">
        <f>L230/(L230+K230)</f>
        <v>0.2958754208754209</v>
      </c>
      <c r="N230">
        <f t="shared" si="55"/>
        <v>-4.9129476010101012</v>
      </c>
      <c r="O230">
        <f>E230-(SUM(K230:L230)*N230)</f>
        <v>38.273521999999502</v>
      </c>
      <c r="P230">
        <f>O230/(2*H230*J230)</f>
        <v>4.2348064922550992E-2</v>
      </c>
      <c r="Q230">
        <f>P230*16.02</f>
        <v>0.67841600005926683</v>
      </c>
    </row>
    <row r="231" spans="2:18" x14ac:dyDescent="0.2">
      <c r="C231">
        <v>100000</v>
      </c>
      <c r="D231">
        <v>278.83896600000003</v>
      </c>
      <c r="E231">
        <v>-23343.694647</v>
      </c>
      <c r="F231">
        <v>91032.09633</v>
      </c>
      <c r="G231">
        <v>-1.0793000000000001E-2</v>
      </c>
      <c r="H231">
        <v>33.599108000000001</v>
      </c>
      <c r="I231">
        <v>201.594649</v>
      </c>
      <c r="J231">
        <v>13.439643</v>
      </c>
      <c r="K231">
        <v>3332</v>
      </c>
      <c r="L231">
        <v>1420</v>
      </c>
      <c r="M231">
        <f>L231/(L231+K231)</f>
        <v>0.29882154882154882</v>
      </c>
      <c r="N231">
        <f t="shared" si="55"/>
        <v>-4.9203921717171717</v>
      </c>
      <c r="O231">
        <f>E231-(SUM(K231:L231)*N231)</f>
        <v>38.008953000000474</v>
      </c>
      <c r="P231">
        <f>O231/(2*H231*J231)</f>
        <v>4.2086269376716716E-2</v>
      </c>
      <c r="Q231">
        <f>P231*16.02</f>
        <v>0.67422203541500181</v>
      </c>
    </row>
    <row r="232" spans="2:18" x14ac:dyDescent="0.2">
      <c r="C232">
        <v>100000</v>
      </c>
      <c r="D232">
        <v>278.93410299999999</v>
      </c>
      <c r="E232">
        <v>-23194.501781999999</v>
      </c>
      <c r="F232">
        <v>91366.895585000006</v>
      </c>
      <c r="G232">
        <v>7.6752000000000001E-2</v>
      </c>
      <c r="H232">
        <v>33.640248</v>
      </c>
      <c r="I232">
        <v>201.841489</v>
      </c>
      <c r="J232">
        <v>13.456099</v>
      </c>
      <c r="K232">
        <v>3393</v>
      </c>
      <c r="L232">
        <v>1359</v>
      </c>
      <c r="M232">
        <f>L232/(L232+K232)</f>
        <v>0.28598484848484851</v>
      </c>
      <c r="N232">
        <f t="shared" si="55"/>
        <v>-4.8879551136363641</v>
      </c>
      <c r="O232">
        <f>E232-(SUM(K232:L232)*N232)</f>
        <v>33.060918000002857</v>
      </c>
      <c r="P232">
        <f>O232/(2*H232*J232)</f>
        <v>3.6517963505404198E-2</v>
      </c>
      <c r="Q232">
        <f>P232*16.02</f>
        <v>0.58501777535657529</v>
      </c>
    </row>
    <row r="233" spans="2:18" x14ac:dyDescent="0.2">
      <c r="Q233" s="1">
        <f>AVERAGE(Q228:Q232)</f>
        <v>0.66619978438984384</v>
      </c>
      <c r="R233">
        <f>STDEV(Q228:Q232)</f>
        <v>6.2422959227299915E-2</v>
      </c>
    </row>
    <row r="234" spans="2:18" x14ac:dyDescent="0.2">
      <c r="B234" t="s">
        <v>26</v>
      </c>
      <c r="M234" t="e">
        <f>L234/(L234+K234)</f>
        <v>#DIV/0!</v>
      </c>
      <c r="N234" t="e">
        <f>-4.1653-2.5269*M234</f>
        <v>#DIV/0!</v>
      </c>
      <c r="O234" t="e">
        <f>E234-(SUM(K234:L234)*N234)</f>
        <v>#DIV/0!</v>
      </c>
      <c r="P234" t="e">
        <f>O234/(2*H234*J234)</f>
        <v>#DIV/0!</v>
      </c>
      <c r="Q234" t="e">
        <f>P234*16.02</f>
        <v>#DIV/0!</v>
      </c>
    </row>
    <row r="235" spans="2:18" x14ac:dyDescent="0.2">
      <c r="M235" t="e">
        <f>L235/(L235+K235)</f>
        <v>#DIV/0!</v>
      </c>
      <c r="N235" t="e">
        <f t="shared" ref="N235:N238" si="56">-4.1653-2.5269*M235</f>
        <v>#DIV/0!</v>
      </c>
      <c r="O235" t="e">
        <f>E235-(SUM(K235:L235)*N235)</f>
        <v>#DIV/0!</v>
      </c>
      <c r="P235" t="e">
        <f>O235/(2*H235*J235)</f>
        <v>#DIV/0!</v>
      </c>
      <c r="Q235" t="e">
        <f>P235*16.02</f>
        <v>#DIV/0!</v>
      </c>
    </row>
    <row r="236" spans="2:18" x14ac:dyDescent="0.2">
      <c r="M236" t="e">
        <f>L236/(L236+K236)</f>
        <v>#DIV/0!</v>
      </c>
      <c r="N236" t="e">
        <f t="shared" si="56"/>
        <v>#DIV/0!</v>
      </c>
      <c r="O236" t="e">
        <f>E236-(SUM(K236:L236)*N236)</f>
        <v>#DIV/0!</v>
      </c>
      <c r="P236" t="e">
        <f>O236/(2*H236*J236)</f>
        <v>#DIV/0!</v>
      </c>
      <c r="Q236" t="e">
        <f>P236*16.02</f>
        <v>#DIV/0!</v>
      </c>
    </row>
    <row r="237" spans="2:18" x14ac:dyDescent="0.2">
      <c r="M237" t="e">
        <f>L237/(L237+K237)</f>
        <v>#DIV/0!</v>
      </c>
      <c r="N237" t="e">
        <f t="shared" si="56"/>
        <v>#DIV/0!</v>
      </c>
      <c r="O237" t="e">
        <f>E237-(SUM(K237:L237)*N237)</f>
        <v>#DIV/0!</v>
      </c>
      <c r="P237" t="e">
        <f>O237/(2*H237*J237)</f>
        <v>#DIV/0!</v>
      </c>
      <c r="Q237" t="e">
        <f>P237*16.02</f>
        <v>#DIV/0!</v>
      </c>
    </row>
    <row r="238" spans="2:18" x14ac:dyDescent="0.2">
      <c r="M238" t="e">
        <f>L238/(L238+K238)</f>
        <v>#DIV/0!</v>
      </c>
      <c r="N238" t="e">
        <f t="shared" si="56"/>
        <v>#DIV/0!</v>
      </c>
      <c r="O238" t="e">
        <f>E238-(SUM(K238:L238)*N238)</f>
        <v>#DIV/0!</v>
      </c>
      <c r="P238" t="e">
        <f>O238/(2*H238*J238)</f>
        <v>#DIV/0!</v>
      </c>
      <c r="Q238" t="e">
        <f>P238*16.02</f>
        <v>#DIV/0!</v>
      </c>
    </row>
    <row r="239" spans="2:18" x14ac:dyDescent="0.2">
      <c r="Q239" s="1" t="e">
        <f>AVERAGE(Q234:Q238)</f>
        <v>#DIV/0!</v>
      </c>
      <c r="R239" t="e">
        <f>STDEV(Q234:Q238)</f>
        <v>#DIV/0!</v>
      </c>
    </row>
    <row r="241" spans="2:18" x14ac:dyDescent="0.2">
      <c r="C241" t="s">
        <v>3</v>
      </c>
      <c r="D241" t="s">
        <v>29</v>
      </c>
      <c r="P241" t="s">
        <v>11</v>
      </c>
      <c r="Q241" t="s">
        <v>12</v>
      </c>
    </row>
    <row r="242" spans="2:18" x14ac:dyDescent="0.2">
      <c r="C242" t="s">
        <v>52</v>
      </c>
      <c r="D242" t="s">
        <v>13</v>
      </c>
      <c r="E242" t="s">
        <v>4</v>
      </c>
      <c r="F242" t="s">
        <v>5</v>
      </c>
      <c r="G242" t="s">
        <v>14</v>
      </c>
      <c r="H242" t="s">
        <v>15</v>
      </c>
      <c r="I242" t="s">
        <v>16</v>
      </c>
      <c r="J242" t="s">
        <v>17</v>
      </c>
      <c r="K242" t="s">
        <v>18</v>
      </c>
      <c r="L242" t="s">
        <v>19</v>
      </c>
      <c r="M242" t="s">
        <v>9</v>
      </c>
      <c r="N242" t="s">
        <v>20</v>
      </c>
      <c r="O242" t="s">
        <v>8</v>
      </c>
      <c r="P242" t="s">
        <v>21</v>
      </c>
      <c r="Q242" t="s">
        <v>21</v>
      </c>
    </row>
    <row r="243" spans="2:18" x14ac:dyDescent="0.2">
      <c r="B243" t="s">
        <v>25</v>
      </c>
      <c r="C243">
        <v>100000</v>
      </c>
      <c r="D243">
        <v>260.208935</v>
      </c>
      <c r="E243">
        <v>-23248.187088999999</v>
      </c>
      <c r="F243">
        <v>67421.233649999995</v>
      </c>
      <c r="G243">
        <v>0.46019199999999999</v>
      </c>
      <c r="H243">
        <v>29.406517000000001</v>
      </c>
      <c r="I243">
        <v>176.48047800000001</v>
      </c>
      <c r="J243">
        <v>12.991413</v>
      </c>
      <c r="K243">
        <v>1144</v>
      </c>
      <c r="L243">
        <v>2760</v>
      </c>
      <c r="M243">
        <f>L243/(L243+K243)</f>
        <v>0.70696721311475408</v>
      </c>
      <c r="N243">
        <f>-4.1084-2.6328*M243</f>
        <v>-5.9697032786885238</v>
      </c>
      <c r="O243">
        <f>E243-(SUM(K243:L243)*N243)</f>
        <v>57.53451099999802</v>
      </c>
      <c r="P243">
        <f>O243/(2*H243*J243)</f>
        <v>7.5300602815506171E-2</v>
      </c>
      <c r="Q243">
        <f>P243*16.02</f>
        <v>1.2063156571044089</v>
      </c>
    </row>
    <row r="244" spans="2:18" x14ac:dyDescent="0.2">
      <c r="C244">
        <v>100000</v>
      </c>
      <c r="D244">
        <v>260.15877</v>
      </c>
      <c r="E244">
        <v>-23243.361315999999</v>
      </c>
      <c r="F244">
        <v>67455.653602999999</v>
      </c>
      <c r="G244">
        <v>0.46440999999999999</v>
      </c>
      <c r="H244">
        <v>29.411521</v>
      </c>
      <c r="I244">
        <v>176.51050499999999</v>
      </c>
      <c r="J244">
        <v>12.993622999999999</v>
      </c>
      <c r="K244">
        <v>1146</v>
      </c>
      <c r="L244">
        <v>2758</v>
      </c>
      <c r="M244">
        <f>L244/(L244+K244)</f>
        <v>0.70645491803278693</v>
      </c>
      <c r="N244">
        <f t="shared" ref="N244:N247" si="57">-4.1084-2.6328*M244</f>
        <v>-5.9683545081967209</v>
      </c>
      <c r="O244">
        <f>E244-(SUM(K244:L244)*N244)</f>
        <v>57.094683999999688</v>
      </c>
      <c r="P244">
        <f>O244/(2*H244*J244)</f>
        <v>7.4699540731481343E-2</v>
      </c>
      <c r="Q244">
        <f>P244*16.02</f>
        <v>1.1966866425183311</v>
      </c>
    </row>
    <row r="245" spans="2:18" x14ac:dyDescent="0.2">
      <c r="C245">
        <v>100000</v>
      </c>
      <c r="D245">
        <v>260.20570700000002</v>
      </c>
      <c r="E245">
        <v>-23337.382534</v>
      </c>
      <c r="F245">
        <v>67297.567486</v>
      </c>
      <c r="G245">
        <v>0.41891400000000001</v>
      </c>
      <c r="H245">
        <v>29.388527</v>
      </c>
      <c r="I245">
        <v>176.37251000000001</v>
      </c>
      <c r="J245">
        <v>12.983465000000001</v>
      </c>
      <c r="K245">
        <v>1110</v>
      </c>
      <c r="L245">
        <v>2794</v>
      </c>
      <c r="M245">
        <f>L245/(L245+K245)</f>
        <v>0.71567622950819676</v>
      </c>
      <c r="N245">
        <f t="shared" si="57"/>
        <v>-5.9926323770491798</v>
      </c>
      <c r="O245">
        <f>E245-(SUM(K245:L245)*N245)</f>
        <v>57.854265999998461</v>
      </c>
      <c r="P245">
        <f>O245/(2*H245*J245)</f>
        <v>7.5811826802050758E-2</v>
      </c>
      <c r="Q245">
        <f>P245*16.02</f>
        <v>1.2145054653688532</v>
      </c>
    </row>
    <row r="246" spans="2:18" x14ac:dyDescent="0.2">
      <c r="C246">
        <v>100000</v>
      </c>
      <c r="D246">
        <v>260.27539000000002</v>
      </c>
      <c r="E246">
        <v>-23326.360777000002</v>
      </c>
      <c r="F246">
        <v>67318.560689999998</v>
      </c>
      <c r="G246">
        <v>0.44491799999999998</v>
      </c>
      <c r="H246">
        <v>29.391582</v>
      </c>
      <c r="I246">
        <v>176.39084800000001</v>
      </c>
      <c r="J246">
        <v>12.984814</v>
      </c>
      <c r="K246">
        <v>1117</v>
      </c>
      <c r="L246">
        <v>2787</v>
      </c>
      <c r="M246">
        <f>L246/(L246+K246)</f>
        <v>0.71388319672131151</v>
      </c>
      <c r="N246">
        <f t="shared" si="57"/>
        <v>-5.9879116803278682</v>
      </c>
      <c r="O246">
        <f>E246-(SUM(K246:L246)*N246)</f>
        <v>50.446422999997594</v>
      </c>
      <c r="P246">
        <f>O246/(2*H246*J246)</f>
        <v>6.6090903042486271E-2</v>
      </c>
      <c r="Q246">
        <f>P246*16.02</f>
        <v>1.05877626674063</v>
      </c>
    </row>
    <row r="247" spans="2:18" x14ac:dyDescent="0.2">
      <c r="C247">
        <v>100000</v>
      </c>
      <c r="D247">
        <v>260.192903</v>
      </c>
      <c r="E247">
        <v>-23292.336372999998</v>
      </c>
      <c r="F247">
        <v>67352.082030000005</v>
      </c>
      <c r="G247">
        <v>0.57137700000000002</v>
      </c>
      <c r="H247">
        <v>29.396460000000001</v>
      </c>
      <c r="I247">
        <v>176.42012</v>
      </c>
      <c r="J247">
        <v>12.986969</v>
      </c>
      <c r="K247">
        <v>1131</v>
      </c>
      <c r="L247">
        <v>2773</v>
      </c>
      <c r="M247">
        <f>L247/(L247+K247)</f>
        <v>0.71029713114754101</v>
      </c>
      <c r="N247">
        <f t="shared" si="57"/>
        <v>-5.978470286885246</v>
      </c>
      <c r="O247">
        <f>E247-(SUM(K247:L247)*N247)</f>
        <v>47.611627000002045</v>
      </c>
      <c r="P247">
        <f>O247/(2*H247*J247)</f>
        <v>6.2356278546922383E-2</v>
      </c>
      <c r="Q247">
        <f>P247*16.02</f>
        <v>0.99894758232169656</v>
      </c>
    </row>
    <row r="248" spans="2:18" x14ac:dyDescent="0.2">
      <c r="Q248" s="1">
        <f>AVERAGE(Q243:Q247)</f>
        <v>1.1350463228107839</v>
      </c>
      <c r="R248">
        <f>STDEV(Q243:Q247)</f>
        <v>9.9414021868181476E-2</v>
      </c>
    </row>
    <row r="249" spans="2:18" x14ac:dyDescent="0.2">
      <c r="B249" t="s">
        <v>30</v>
      </c>
      <c r="C249">
        <v>100000</v>
      </c>
      <c r="D249">
        <v>278.97223400000001</v>
      </c>
      <c r="E249">
        <v>-18932.297961</v>
      </c>
      <c r="F249">
        <v>54631.668597999997</v>
      </c>
      <c r="G249">
        <v>0.158801</v>
      </c>
      <c r="H249">
        <v>22.937177999999999</v>
      </c>
      <c r="I249">
        <v>183.53875300000001</v>
      </c>
      <c r="J249">
        <v>12.977069999999999</v>
      </c>
      <c r="K249">
        <v>902</v>
      </c>
      <c r="L249">
        <v>2266</v>
      </c>
      <c r="M249">
        <f>L249/(L249+K249)</f>
        <v>0.71527777777777779</v>
      </c>
      <c r="N249">
        <f>-4.1084-2.6328*M249</f>
        <v>-5.9915833333333328</v>
      </c>
      <c r="O249">
        <f>E249-(SUM(K249:L249)*N249)</f>
        <v>49.038038999999117</v>
      </c>
      <c r="P249">
        <f>O249/(2*H249*J249)</f>
        <v>8.2373300390162801E-2</v>
      </c>
      <c r="Q249">
        <f>P249*16.02</f>
        <v>1.319620272250408</v>
      </c>
    </row>
    <row r="250" spans="2:18" x14ac:dyDescent="0.2">
      <c r="C250">
        <v>100000</v>
      </c>
      <c r="D250">
        <v>278.91950500000002</v>
      </c>
      <c r="E250">
        <v>-18871.730113000001</v>
      </c>
      <c r="F250">
        <v>54746.224271999999</v>
      </c>
      <c r="G250">
        <v>0.249172</v>
      </c>
      <c r="H250">
        <v>22.953199000000001</v>
      </c>
      <c r="I250">
        <v>183.66694899999999</v>
      </c>
      <c r="J250">
        <v>12.986134</v>
      </c>
      <c r="K250">
        <v>929</v>
      </c>
      <c r="L250">
        <v>2239</v>
      </c>
      <c r="M250">
        <f>L250/(L250+K250)</f>
        <v>0.7067550505050505</v>
      </c>
      <c r="N250">
        <f t="shared" ref="N250:N253" si="58">-4.1084-2.6328*M250</f>
        <v>-5.9691446969696962</v>
      </c>
      <c r="O250">
        <f>E250-(SUM(K250:L250)*N250)</f>
        <v>38.520286999995733</v>
      </c>
      <c r="P250">
        <f>O250/(2*H250*J250)</f>
        <v>6.4615456468675031E-2</v>
      </c>
      <c r="Q250">
        <f>P250*16.02</f>
        <v>1.035139612628174</v>
      </c>
    </row>
    <row r="251" spans="2:18" x14ac:dyDescent="0.2">
      <c r="C251">
        <v>100000</v>
      </c>
      <c r="D251">
        <v>278.79560800000002</v>
      </c>
      <c r="E251">
        <v>-18867.358364</v>
      </c>
      <c r="F251">
        <v>54760.717176999999</v>
      </c>
      <c r="G251">
        <v>7.2622000000000006E-2</v>
      </c>
      <c r="H251">
        <v>22.955224000000001</v>
      </c>
      <c r="I251">
        <v>183.683155</v>
      </c>
      <c r="J251">
        <v>12.98728</v>
      </c>
      <c r="K251">
        <v>928</v>
      </c>
      <c r="L251">
        <v>2240</v>
      </c>
      <c r="M251">
        <f>L251/(L251+K251)</f>
        <v>0.70707070707070707</v>
      </c>
      <c r="N251">
        <f t="shared" si="58"/>
        <v>-5.9699757575757575</v>
      </c>
      <c r="O251">
        <f>E251-(SUM(K251:L251)*N251)</f>
        <v>45.524836000000505</v>
      </c>
      <c r="P251">
        <f>O251/(2*H251*J251)</f>
        <v>7.6351690190507956E-2</v>
      </c>
      <c r="Q251">
        <f>P251*16.02</f>
        <v>1.2231540768519373</v>
      </c>
    </row>
    <row r="252" spans="2:18" x14ac:dyDescent="0.2">
      <c r="C252">
        <v>100000</v>
      </c>
      <c r="D252">
        <v>278.907242</v>
      </c>
      <c r="E252">
        <v>-18978.066569999999</v>
      </c>
      <c r="F252">
        <v>54532.513644999999</v>
      </c>
      <c r="G252">
        <v>5.6145E-2</v>
      </c>
      <c r="H252">
        <v>22.923293000000001</v>
      </c>
      <c r="I252">
        <v>183.42764700000001</v>
      </c>
      <c r="J252">
        <v>12.969213999999999</v>
      </c>
      <c r="K252">
        <v>884</v>
      </c>
      <c r="L252">
        <v>2284</v>
      </c>
      <c r="M252">
        <f>L252/(L252+K252)</f>
        <v>0.72095959595959591</v>
      </c>
      <c r="N252">
        <f t="shared" si="58"/>
        <v>-6.0065424242424239</v>
      </c>
      <c r="O252">
        <f>E252-(SUM(K252:L252)*N252)</f>
        <v>50.659830000000511</v>
      </c>
      <c r="P252">
        <f>O252/(2*H252*J252)</f>
        <v>8.5200681872982825E-2</v>
      </c>
      <c r="Q252">
        <f>P252*16.02</f>
        <v>1.3649149236051847</v>
      </c>
    </row>
    <row r="253" spans="2:18" x14ac:dyDescent="0.2">
      <c r="C253">
        <v>100000</v>
      </c>
      <c r="D253">
        <v>278.89503000000002</v>
      </c>
      <c r="E253">
        <v>-18933.523451000001</v>
      </c>
      <c r="F253">
        <v>54615.649950999999</v>
      </c>
      <c r="G253">
        <v>0.173957</v>
      </c>
      <c r="H253">
        <v>22.934936</v>
      </c>
      <c r="I253">
        <v>183.520813</v>
      </c>
      <c r="J253">
        <v>12.975802</v>
      </c>
      <c r="K253">
        <v>903</v>
      </c>
      <c r="L253">
        <v>2265</v>
      </c>
      <c r="M253">
        <f>L253/(L253+K253)</f>
        <v>0.71496212121212122</v>
      </c>
      <c r="N253">
        <f t="shared" si="58"/>
        <v>-5.9907522727272724</v>
      </c>
      <c r="O253">
        <f>E253-(SUM(K253:L253)*N253)</f>
        <v>45.179748999998992</v>
      </c>
      <c r="P253">
        <f>O253/(2*H253*J253)</f>
        <v>7.5907043362696755E-2</v>
      </c>
      <c r="Q253">
        <f>P253*16.02</f>
        <v>1.2160308346704021</v>
      </c>
    </row>
    <row r="254" spans="2:18" x14ac:dyDescent="0.2">
      <c r="Q254" s="1">
        <f>AVERAGE(Q249:Q253)</f>
        <v>1.2317719440012211</v>
      </c>
      <c r="R254">
        <f>STDEV(Q249:Q253)</f>
        <v>0.12691602114426462</v>
      </c>
    </row>
    <row r="255" spans="2:18" x14ac:dyDescent="0.2">
      <c r="B255" t="s">
        <v>24</v>
      </c>
      <c r="C255">
        <v>100000</v>
      </c>
      <c r="D255">
        <v>278.904765</v>
      </c>
      <c r="E255">
        <v>-14760.793390999999</v>
      </c>
      <c r="F255">
        <v>42593.314338999997</v>
      </c>
      <c r="G255">
        <v>0.217416</v>
      </c>
      <c r="H255">
        <v>33.077143999999997</v>
      </c>
      <c r="I255">
        <v>132.32923400000001</v>
      </c>
      <c r="J255">
        <v>9.7310020000000002</v>
      </c>
      <c r="K255">
        <v>701</v>
      </c>
      <c r="L255">
        <v>1771</v>
      </c>
      <c r="M255">
        <f>L255/(L255+K255)</f>
        <v>0.71642394822006472</v>
      </c>
      <c r="N255">
        <f>-4.1084-2.6328*M255</f>
        <v>-5.994600970873786</v>
      </c>
      <c r="O255">
        <f>E255-(SUM(K255:L255)*N255)</f>
        <v>57.860209000000395</v>
      </c>
      <c r="P255">
        <f>O255/(2*H255*J255)</f>
        <v>8.9880284126565832E-2</v>
      </c>
      <c r="Q255">
        <f>P255*16.02</f>
        <v>1.4398821517075846</v>
      </c>
    </row>
    <row r="256" spans="2:18" x14ac:dyDescent="0.2">
      <c r="C256">
        <v>100000</v>
      </c>
      <c r="D256">
        <v>278.76908100000003</v>
      </c>
      <c r="E256">
        <v>-14790.786064</v>
      </c>
      <c r="F256">
        <v>42588.978560000003</v>
      </c>
      <c r="G256">
        <v>-1.8699999999999999E-3</v>
      </c>
      <c r="H256">
        <v>33.076020999999997</v>
      </c>
      <c r="I256">
        <v>132.32474500000001</v>
      </c>
      <c r="J256">
        <v>9.7306720000000002</v>
      </c>
      <c r="K256">
        <v>693</v>
      </c>
      <c r="L256">
        <v>1779</v>
      </c>
      <c r="M256">
        <f>L256/(L256+K256)</f>
        <v>0.71966019417475724</v>
      </c>
      <c r="N256">
        <f t="shared" ref="N256:N259" si="59">-4.1084-2.6328*M256</f>
        <v>-6.0031213592233001</v>
      </c>
      <c r="O256">
        <f>E256-(SUM(K256:L256)*N256)</f>
        <v>48.929935999998634</v>
      </c>
      <c r="P256">
        <f>O256/(2*H256*J256)</f>
        <v>7.6013120109668528E-2</v>
      </c>
      <c r="Q256">
        <f>P256*16.02</f>
        <v>1.2177301841568897</v>
      </c>
    </row>
    <row r="257" spans="2:18" x14ac:dyDescent="0.2">
      <c r="C257">
        <v>100000</v>
      </c>
      <c r="D257">
        <v>278.84303799999998</v>
      </c>
      <c r="E257">
        <v>-14722.894601</v>
      </c>
      <c r="F257">
        <v>42703.511463000003</v>
      </c>
      <c r="G257">
        <v>0.26306800000000002</v>
      </c>
      <c r="H257">
        <v>33.105645000000003</v>
      </c>
      <c r="I257">
        <v>132.44325599999999</v>
      </c>
      <c r="J257">
        <v>9.7393870000000007</v>
      </c>
      <c r="K257">
        <v>718</v>
      </c>
      <c r="L257">
        <v>1754</v>
      </c>
      <c r="M257">
        <f>L257/(L257+K257)</f>
        <v>0.70954692556634302</v>
      </c>
      <c r="N257">
        <f t="shared" si="59"/>
        <v>-5.976495145631068</v>
      </c>
      <c r="O257">
        <f>E257-(SUM(K257:L257)*N257)</f>
        <v>51.001399000000674</v>
      </c>
      <c r="P257">
        <f>O257/(2*H257*J257)</f>
        <v>7.9089424751567064E-2</v>
      </c>
      <c r="Q257">
        <f>P257*16.02</f>
        <v>1.2670125845201043</v>
      </c>
    </row>
    <row r="258" spans="2:18" x14ac:dyDescent="0.2">
      <c r="C258">
        <v>100000</v>
      </c>
      <c r="D258">
        <v>278.88147099999998</v>
      </c>
      <c r="E258">
        <v>-14805.349980999999</v>
      </c>
      <c r="F258">
        <v>42568.786421999997</v>
      </c>
      <c r="G258">
        <v>0.22937399999999999</v>
      </c>
      <c r="H258">
        <v>33.070793000000002</v>
      </c>
      <c r="I258">
        <v>132.30382800000001</v>
      </c>
      <c r="J258">
        <v>9.7291340000000002</v>
      </c>
      <c r="K258">
        <v>686</v>
      </c>
      <c r="L258">
        <v>1786</v>
      </c>
      <c r="M258">
        <f>L258/(L258+K258)</f>
        <v>0.72249190938511332</v>
      </c>
      <c r="N258">
        <f t="shared" si="59"/>
        <v>-6.0105766990291265</v>
      </c>
      <c r="O258">
        <f>E258-(SUM(K258:L258)*N258)</f>
        <v>52.795619000000443</v>
      </c>
      <c r="P258">
        <f>O258/(2*H258*J258)</f>
        <v>8.2044428942742276E-2</v>
      </c>
      <c r="Q258">
        <f>P258*16.02</f>
        <v>1.3143517516627312</v>
      </c>
    </row>
    <row r="259" spans="2:18" x14ac:dyDescent="0.2">
      <c r="C259">
        <v>100000</v>
      </c>
      <c r="D259">
        <v>278.96866799999998</v>
      </c>
      <c r="E259">
        <v>-14626.260888000001</v>
      </c>
      <c r="F259">
        <v>42861.110064</v>
      </c>
      <c r="G259">
        <v>0.17236699999999999</v>
      </c>
      <c r="H259">
        <v>33.146321</v>
      </c>
      <c r="I259">
        <v>132.605986</v>
      </c>
      <c r="J259">
        <v>9.7513539999999992</v>
      </c>
      <c r="K259">
        <v>758</v>
      </c>
      <c r="L259">
        <v>1714</v>
      </c>
      <c r="M259">
        <f>L259/(L259+K259)</f>
        <v>0.69336569579288021</v>
      </c>
      <c r="N259">
        <f t="shared" si="59"/>
        <v>-5.9338932038834944</v>
      </c>
      <c r="O259">
        <f>E259-(SUM(K259:L259)*N259)</f>
        <v>42.323111999998218</v>
      </c>
      <c r="P259">
        <f>O259/(2*H259*J259)</f>
        <v>6.5470754123386599E-2</v>
      </c>
      <c r="Q259">
        <f>P259*16.02</f>
        <v>1.0488414810566533</v>
      </c>
    </row>
    <row r="260" spans="2:18" x14ac:dyDescent="0.2">
      <c r="Q260" s="1">
        <f>AVERAGE(Q255:Q259)</f>
        <v>1.2575636306207927</v>
      </c>
      <c r="R260">
        <f>STDEV(Q255:Q259)</f>
        <v>0.14292118083790686</v>
      </c>
    </row>
    <row r="261" spans="2:18" x14ac:dyDescent="0.2">
      <c r="B261" t="s">
        <v>31</v>
      </c>
      <c r="C261">
        <v>100000</v>
      </c>
      <c r="D261">
        <v>278.850257</v>
      </c>
      <c r="E261">
        <v>-19278.585815999999</v>
      </c>
      <c r="F261">
        <v>55741.949274999999</v>
      </c>
      <c r="G261">
        <v>0.16156400000000001</v>
      </c>
      <c r="H261">
        <v>26.752998000000002</v>
      </c>
      <c r="I261">
        <v>160.53865200000001</v>
      </c>
      <c r="J261">
        <v>12.978664999999999</v>
      </c>
      <c r="K261">
        <v>929</v>
      </c>
      <c r="L261">
        <v>2303</v>
      </c>
      <c r="M261">
        <f>L261/(L261+K261)</f>
        <v>0.71256188118811881</v>
      </c>
      <c r="N261">
        <f>-4.1084-2.6328*M261</f>
        <v>-5.984432920792079</v>
      </c>
      <c r="O261">
        <f>E261-(SUM(K261:L261)*N261)</f>
        <v>63.101384000001417</v>
      </c>
      <c r="P261">
        <f>O261/(2*H261*J261)</f>
        <v>9.0867045881124764E-2</v>
      </c>
      <c r="Q261">
        <f>P261*16.02</f>
        <v>1.4556900750156188</v>
      </c>
    </row>
    <row r="262" spans="2:18" x14ac:dyDescent="0.2">
      <c r="C262">
        <v>100000</v>
      </c>
      <c r="D262">
        <v>278.81696899999997</v>
      </c>
      <c r="E262">
        <v>-19153.250045000001</v>
      </c>
      <c r="F262">
        <v>56024.098994</v>
      </c>
      <c r="G262">
        <v>0.181446</v>
      </c>
      <c r="H262">
        <v>26.79806</v>
      </c>
      <c r="I262">
        <v>160.80906300000001</v>
      </c>
      <c r="J262">
        <v>13.000527</v>
      </c>
      <c r="K262">
        <v>979</v>
      </c>
      <c r="L262">
        <v>2253</v>
      </c>
      <c r="M262">
        <f>L262/(L262+K262)</f>
        <v>0.69709158415841588</v>
      </c>
      <c r="N262">
        <f t="shared" ref="N262:N265" si="60">-4.1084-2.6328*M262</f>
        <v>-5.9437027227722767</v>
      </c>
      <c r="O262">
        <f>E262-(SUM(K262:L262)*N262)</f>
        <v>56.797154999996565</v>
      </c>
      <c r="P262">
        <f>O262/(2*H262*J262)</f>
        <v>8.1514012903069338E-2</v>
      </c>
      <c r="Q262">
        <f>P262*16.02</f>
        <v>1.3058544867071709</v>
      </c>
    </row>
    <row r="263" spans="2:18" x14ac:dyDescent="0.2">
      <c r="C263">
        <v>100000</v>
      </c>
      <c r="D263">
        <v>278.84048100000001</v>
      </c>
      <c r="E263">
        <v>-19290.10298</v>
      </c>
      <c r="F263">
        <v>55743.116557000001</v>
      </c>
      <c r="G263">
        <v>2.1395999999999998E-2</v>
      </c>
      <c r="H263">
        <v>26.753184000000001</v>
      </c>
      <c r="I263">
        <v>160.539773</v>
      </c>
      <c r="J263">
        <v>12.978756000000001</v>
      </c>
      <c r="K263">
        <v>926</v>
      </c>
      <c r="L263">
        <v>2306</v>
      </c>
      <c r="M263">
        <f>L263/(L263+K263)</f>
        <v>0.71349009900990101</v>
      </c>
      <c r="N263">
        <f t="shared" si="60"/>
        <v>-5.9868767326732666</v>
      </c>
      <c r="O263">
        <f>E263-(SUM(K263:L263)*N263)</f>
        <v>59.48261999999886</v>
      </c>
      <c r="P263">
        <f>O263/(2*H263*J263)</f>
        <v>8.5654769250499821E-2</v>
      </c>
      <c r="Q263">
        <f>P263*16.02</f>
        <v>1.3721894033930071</v>
      </c>
    </row>
    <row r="264" spans="2:18" x14ac:dyDescent="0.2">
      <c r="C264">
        <v>100000</v>
      </c>
      <c r="D264">
        <v>278.90345100000002</v>
      </c>
      <c r="E264">
        <v>-19295.475942000001</v>
      </c>
      <c r="F264">
        <v>55769.187015000003</v>
      </c>
      <c r="G264">
        <v>0.26380599999999998</v>
      </c>
      <c r="H264">
        <v>26.757353999999999</v>
      </c>
      <c r="I264">
        <v>160.564797</v>
      </c>
      <c r="J264">
        <v>12.980779</v>
      </c>
      <c r="K264">
        <v>924</v>
      </c>
      <c r="L264">
        <v>2308</v>
      </c>
      <c r="M264">
        <f>L264/(L264+K264)</f>
        <v>0.71410891089108908</v>
      </c>
      <c r="N264">
        <f t="shared" si="60"/>
        <v>-5.9885059405940595</v>
      </c>
      <c r="O264">
        <f>E264-(SUM(K264:L264)*N264)</f>
        <v>59.375258000000031</v>
      </c>
      <c r="P264">
        <f>O264/(2*H264*J264)</f>
        <v>8.5473520797366545E-2</v>
      </c>
      <c r="Q264">
        <f>P264*16.02</f>
        <v>1.369285803173812</v>
      </c>
    </row>
    <row r="265" spans="2:18" x14ac:dyDescent="0.2">
      <c r="C265">
        <v>100000</v>
      </c>
      <c r="D265">
        <v>278.987212</v>
      </c>
      <c r="E265">
        <v>-19248.642142000001</v>
      </c>
      <c r="F265">
        <v>55814.376343999997</v>
      </c>
      <c r="G265">
        <v>7.6945E-2</v>
      </c>
      <c r="H265">
        <v>26.764579999999999</v>
      </c>
      <c r="I265">
        <v>160.60815299999999</v>
      </c>
      <c r="J265">
        <v>12.984284000000001</v>
      </c>
      <c r="K265">
        <v>943</v>
      </c>
      <c r="L265">
        <v>2289</v>
      </c>
      <c r="M265">
        <f>L265/(L265+K265)</f>
        <v>0.70823019801980203</v>
      </c>
      <c r="N265">
        <f t="shared" si="60"/>
        <v>-5.973028465346534</v>
      </c>
      <c r="O265">
        <f>E265-(SUM(K265:L265)*N265)</f>
        <v>56.185857999997097</v>
      </c>
      <c r="P265">
        <f>O265/(2*H265*J265)</f>
        <v>8.0838562635152336E-2</v>
      </c>
      <c r="Q265">
        <f>P265*16.02</f>
        <v>1.2950337734151405</v>
      </c>
    </row>
    <row r="266" spans="2:18" x14ac:dyDescent="0.2">
      <c r="Q266" s="1">
        <f>AVERAGE(Q261:Q265)</f>
        <v>1.3596107083409497</v>
      </c>
      <c r="R266">
        <f>STDEV(Q261:Q265)</f>
        <v>6.4309773010397087E-2</v>
      </c>
    </row>
    <row r="267" spans="2:18" x14ac:dyDescent="0.2">
      <c r="B267" t="s">
        <v>23</v>
      </c>
      <c r="C267">
        <v>100000</v>
      </c>
      <c r="D267">
        <v>278.87659300000001</v>
      </c>
      <c r="E267">
        <v>-17094.485661999999</v>
      </c>
      <c r="F267">
        <v>49839.085276999998</v>
      </c>
      <c r="G267">
        <v>0.197043</v>
      </c>
      <c r="H267">
        <v>30.854671</v>
      </c>
      <c r="I267">
        <v>123.792681</v>
      </c>
      <c r="J267">
        <v>13.048304999999999</v>
      </c>
      <c r="K267">
        <v>859</v>
      </c>
      <c r="L267">
        <v>2021</v>
      </c>
      <c r="M267">
        <f>L267/(L267+K267)</f>
        <v>0.70173611111111112</v>
      </c>
      <c r="N267">
        <f>-4.1084-2.6328*M267</f>
        <v>-5.9559308333333334</v>
      </c>
      <c r="O267">
        <f>E267-(SUM(K267:L267)*N267)</f>
        <v>58.595138000000588</v>
      </c>
      <c r="P267">
        <f>O267/(2*H267*J267)</f>
        <v>7.2770702285311295E-2</v>
      </c>
      <c r="Q267">
        <f>P267*16.02</f>
        <v>1.1657866506106869</v>
      </c>
    </row>
    <row r="268" spans="2:18" x14ac:dyDescent="0.2">
      <c r="C268">
        <v>100000</v>
      </c>
      <c r="D268">
        <v>278.82358199999999</v>
      </c>
      <c r="E268">
        <v>-17127.957893999999</v>
      </c>
      <c r="F268">
        <v>49787.976498000004</v>
      </c>
      <c r="G268">
        <v>0.21163100000000001</v>
      </c>
      <c r="H268">
        <v>30.844121000000001</v>
      </c>
      <c r="I268">
        <v>123.75035099999999</v>
      </c>
      <c r="J268">
        <v>13.043844</v>
      </c>
      <c r="K268">
        <v>847</v>
      </c>
      <c r="L268">
        <v>2033</v>
      </c>
      <c r="M268">
        <f>L268/(L268+K268)</f>
        <v>0.70590277777777777</v>
      </c>
      <c r="N268">
        <f t="shared" ref="N268:N271" si="61">-4.1084-2.6328*M268</f>
        <v>-5.9669008333333329</v>
      </c>
      <c r="O268">
        <f>E268-(SUM(K268:L268)*N268)</f>
        <v>56.716506000000663</v>
      </c>
      <c r="P268">
        <f>O268/(2*H268*J268)</f>
        <v>7.0485774875141419E-2</v>
      </c>
      <c r="Q268">
        <f>P268*16.02</f>
        <v>1.1291821134997655</v>
      </c>
    </row>
    <row r="269" spans="2:18" x14ac:dyDescent="0.2">
      <c r="C269">
        <v>100000</v>
      </c>
      <c r="D269">
        <v>278.88652999999999</v>
      </c>
      <c r="E269">
        <v>-17174.384346999999</v>
      </c>
      <c r="F269">
        <v>49672.062015000003</v>
      </c>
      <c r="G269">
        <v>7.1040000000000006E-2</v>
      </c>
      <c r="H269">
        <v>30.820164999999999</v>
      </c>
      <c r="I269">
        <v>123.65424</v>
      </c>
      <c r="J269">
        <v>13.033713000000001</v>
      </c>
      <c r="K269">
        <v>830</v>
      </c>
      <c r="L269">
        <v>2050</v>
      </c>
      <c r="M269">
        <f>L269/(L269+K269)</f>
        <v>0.71180555555555558</v>
      </c>
      <c r="N269">
        <f t="shared" si="61"/>
        <v>-5.9824416666666664</v>
      </c>
      <c r="O269">
        <f>E269-(SUM(K269:L269)*N269)</f>
        <v>55.047653000001446</v>
      </c>
      <c r="P269">
        <f>O269/(2*H269*J269)</f>
        <v>6.8518161042381537E-2</v>
      </c>
      <c r="Q269">
        <f>P269*16.02</f>
        <v>1.0976609398989521</v>
      </c>
    </row>
    <row r="270" spans="2:18" x14ac:dyDescent="0.2">
      <c r="C270">
        <v>100000</v>
      </c>
      <c r="D270">
        <v>278.94816400000002</v>
      </c>
      <c r="E270">
        <v>-17239.069301</v>
      </c>
      <c r="F270">
        <v>49594.113786000002</v>
      </c>
      <c r="G270">
        <v>0.109043</v>
      </c>
      <c r="H270">
        <v>30.804034999999999</v>
      </c>
      <c r="I270">
        <v>123.589524</v>
      </c>
      <c r="J270">
        <v>13.026892</v>
      </c>
      <c r="K270">
        <v>803</v>
      </c>
      <c r="L270">
        <v>2077</v>
      </c>
      <c r="M270">
        <f>L270/(L270+K270)</f>
        <v>0.7211805555555556</v>
      </c>
      <c r="N270">
        <f t="shared" si="61"/>
        <v>-6.0071241666666664</v>
      </c>
      <c r="O270">
        <f>E270-(SUM(K270:L270)*N270)</f>
        <v>61.448298999999679</v>
      </c>
      <c r="P270">
        <f>O270/(2*H270*J270)</f>
        <v>7.6565204860847585E-2</v>
      </c>
      <c r="Q270">
        <f>P270*16.02</f>
        <v>1.2265745818707783</v>
      </c>
    </row>
    <row r="271" spans="2:18" x14ac:dyDescent="0.2">
      <c r="C271">
        <v>100000</v>
      </c>
      <c r="D271">
        <v>278.81602900000001</v>
      </c>
      <c r="E271">
        <v>-17083.474859999998</v>
      </c>
      <c r="F271">
        <v>49830.619008000001</v>
      </c>
      <c r="G271">
        <v>0.16803799999999999</v>
      </c>
      <c r="H271">
        <v>30.852924000000002</v>
      </c>
      <c r="I271">
        <v>123.78567099999999</v>
      </c>
      <c r="J271">
        <v>13.047567000000001</v>
      </c>
      <c r="K271">
        <v>863</v>
      </c>
      <c r="L271">
        <v>2017</v>
      </c>
      <c r="M271">
        <f>L271/(L271+K271)</f>
        <v>0.70034722222222223</v>
      </c>
      <c r="N271">
        <f t="shared" si="61"/>
        <v>-5.9522741666666663</v>
      </c>
      <c r="O271">
        <f>E271-(SUM(K271:L271)*N271)</f>
        <v>59.07474000000002</v>
      </c>
      <c r="P271">
        <f>O271/(2*H271*J271)</f>
        <v>7.3374635729791665E-2</v>
      </c>
      <c r="Q271">
        <f>P271*16.02</f>
        <v>1.1754616643912625</v>
      </c>
    </row>
    <row r="272" spans="2:18" x14ac:dyDescent="0.2">
      <c r="Q272" s="1">
        <f>AVERAGE(Q267:Q271)</f>
        <v>1.158933190054289</v>
      </c>
      <c r="R272">
        <f>STDEV(Q267:Q271)</f>
        <v>4.8823491957328345E-2</v>
      </c>
    </row>
    <row r="273" spans="2:18" x14ac:dyDescent="0.2">
      <c r="B273" t="s">
        <v>32</v>
      </c>
      <c r="C273">
        <v>100000</v>
      </c>
      <c r="D273">
        <v>278.82217200000002</v>
      </c>
      <c r="E273">
        <v>-21886.038409000001</v>
      </c>
      <c r="F273">
        <v>63625.649425000003</v>
      </c>
      <c r="G273">
        <v>6.3600000000000004E-2</v>
      </c>
      <c r="H273">
        <v>24.737005</v>
      </c>
      <c r="I273">
        <v>197.93742</v>
      </c>
      <c r="J273">
        <v>12.994427999999999</v>
      </c>
      <c r="K273">
        <v>1087</v>
      </c>
      <c r="L273">
        <v>2593</v>
      </c>
      <c r="M273">
        <f>L273/(L273+K273)</f>
        <v>0.70461956521739133</v>
      </c>
      <c r="N273">
        <f>-4.1084-2.6328*M273</f>
        <v>-5.9635223913043474</v>
      </c>
      <c r="O273">
        <f>E273-(SUM(K273:L273)*N273)</f>
        <v>59.723990999998932</v>
      </c>
      <c r="P273">
        <f>O273/(2*H273*J273)</f>
        <v>9.2899749240583987E-2</v>
      </c>
      <c r="Q273">
        <f>P273*16.02</f>
        <v>1.4882539828341554</v>
      </c>
    </row>
    <row r="274" spans="2:18" x14ac:dyDescent="0.2">
      <c r="C274">
        <v>100000</v>
      </c>
      <c r="D274">
        <v>278.82216599999998</v>
      </c>
      <c r="E274">
        <v>-21902.962183</v>
      </c>
      <c r="F274">
        <v>63594.236255999997</v>
      </c>
      <c r="G274">
        <v>-3.3196999999999997E-2</v>
      </c>
      <c r="H274">
        <v>24.732932999999999</v>
      </c>
      <c r="I274">
        <v>197.90483900000001</v>
      </c>
      <c r="J274">
        <v>12.992289</v>
      </c>
      <c r="K274">
        <v>1079</v>
      </c>
      <c r="L274">
        <v>2601</v>
      </c>
      <c r="M274">
        <f>L274/(L274+K274)</f>
        <v>0.70679347826086958</v>
      </c>
      <c r="N274">
        <f t="shared" ref="N274:N277" si="62">-4.1084-2.6328*M274</f>
        <v>-5.9692458695652171</v>
      </c>
      <c r="O274">
        <f>E274-(SUM(K274:L274)*N274)</f>
        <v>63.862616999998863</v>
      </c>
      <c r="P274">
        <f>O274/(2*H274*J274)</f>
        <v>9.93700302954095E-2</v>
      </c>
      <c r="Q274">
        <f>P274*16.02</f>
        <v>1.5919078853324602</v>
      </c>
    </row>
    <row r="275" spans="2:18" x14ac:dyDescent="0.2">
      <c r="C275">
        <v>100000</v>
      </c>
      <c r="D275">
        <v>278.784626</v>
      </c>
      <c r="E275">
        <v>-21849.868692</v>
      </c>
      <c r="F275">
        <v>63669.684384</v>
      </c>
      <c r="G275">
        <v>7.6805999999999999E-2</v>
      </c>
      <c r="H275">
        <v>24.742709999999999</v>
      </c>
      <c r="I275">
        <v>197.98307299999999</v>
      </c>
      <c r="J275">
        <v>12.997425</v>
      </c>
      <c r="K275">
        <v>1100</v>
      </c>
      <c r="L275">
        <v>2580</v>
      </c>
      <c r="M275">
        <f>L275/(L275+K275)</f>
        <v>0.70108695652173914</v>
      </c>
      <c r="N275">
        <f t="shared" si="62"/>
        <v>-5.9542217391304346</v>
      </c>
      <c r="O275">
        <f>E275-(SUM(K275:L275)*N275)</f>
        <v>61.667308000000048</v>
      </c>
      <c r="P275">
        <f>O275/(2*H275*J275)</f>
        <v>9.5878318674604557E-2</v>
      </c>
      <c r="Q275">
        <f>P275*16.02</f>
        <v>1.535970665167165</v>
      </c>
    </row>
    <row r="276" spans="2:18" x14ac:dyDescent="0.2">
      <c r="C276">
        <v>100000</v>
      </c>
      <c r="D276">
        <v>278.92268000000001</v>
      </c>
      <c r="E276">
        <v>-21804.029187</v>
      </c>
      <c r="F276">
        <v>63753.885178999997</v>
      </c>
      <c r="G276">
        <v>9.1067999999999996E-2</v>
      </c>
      <c r="H276">
        <v>24.753612</v>
      </c>
      <c r="I276">
        <v>198.07031000000001</v>
      </c>
      <c r="J276">
        <v>13.003152</v>
      </c>
      <c r="K276">
        <v>1119</v>
      </c>
      <c r="L276">
        <v>2561</v>
      </c>
      <c r="M276">
        <f>L276/(L276+K276)</f>
        <v>0.69592391304347823</v>
      </c>
      <c r="N276">
        <f t="shared" si="62"/>
        <v>-5.9406284782608694</v>
      </c>
      <c r="O276">
        <f>E276-(SUM(K276:L276)*N276)</f>
        <v>57.483613000000332</v>
      </c>
      <c r="P276">
        <f>O276/(2*H276*J276)</f>
        <v>8.9294938534565216E-2</v>
      </c>
      <c r="Q276">
        <f>P276*16.02</f>
        <v>1.4305049153237348</v>
      </c>
    </row>
    <row r="277" spans="2:18" x14ac:dyDescent="0.2">
      <c r="C277">
        <v>100000</v>
      </c>
      <c r="D277">
        <v>278.83753400000001</v>
      </c>
      <c r="E277">
        <v>-21861.033732</v>
      </c>
      <c r="F277">
        <v>63664.376186000001</v>
      </c>
      <c r="G277">
        <v>6.0352999999999997E-2</v>
      </c>
      <c r="H277">
        <v>24.742021999999999</v>
      </c>
      <c r="I277">
        <v>197.97756999999999</v>
      </c>
      <c r="J277">
        <v>12.997064</v>
      </c>
      <c r="K277">
        <v>1098</v>
      </c>
      <c r="L277">
        <v>2582</v>
      </c>
      <c r="M277">
        <f>L277/(L277+K277)</f>
        <v>0.70163043478260867</v>
      </c>
      <c r="N277">
        <f t="shared" si="62"/>
        <v>-5.9556526086956518</v>
      </c>
      <c r="O277">
        <f>E277-(SUM(K277:L277)*N277)</f>
        <v>55.767867999998998</v>
      </c>
      <c r="P277">
        <f>O277/(2*H277*J277)</f>
        <v>8.6710881225067996E-2</v>
      </c>
      <c r="Q277">
        <f>P277*16.02</f>
        <v>1.3891083172255894</v>
      </c>
    </row>
    <row r="278" spans="2:18" x14ac:dyDescent="0.2">
      <c r="Q278" s="1">
        <f>AVERAGE(Q273:Q277)</f>
        <v>1.4871491531766208</v>
      </c>
      <c r="R278">
        <f>STDEV(Q273:Q277)</f>
        <v>8.0900753767232131E-2</v>
      </c>
    </row>
    <row r="279" spans="2:18" x14ac:dyDescent="0.2">
      <c r="B279" t="s">
        <v>22</v>
      </c>
      <c r="C279">
        <v>100000</v>
      </c>
      <c r="D279">
        <v>260.20388100000002</v>
      </c>
      <c r="E279">
        <v>-22507.176344</v>
      </c>
      <c r="F279">
        <v>65308.728854000001</v>
      </c>
      <c r="G279">
        <v>0.54839000000000004</v>
      </c>
      <c r="H279">
        <v>28.963607</v>
      </c>
      <c r="I279">
        <v>87.040357999999998</v>
      </c>
      <c r="J279">
        <v>25.905850999999998</v>
      </c>
      <c r="K279">
        <v>1080</v>
      </c>
      <c r="L279">
        <v>2696</v>
      </c>
      <c r="M279">
        <f>L279/(L279+K279)</f>
        <v>0.71398305084745761</v>
      </c>
      <c r="N279">
        <f>-4.1084-2.6328*M279</f>
        <v>-5.9881745762711862</v>
      </c>
      <c r="O279">
        <f>E279-(SUM(K279:L279)*N279)</f>
        <v>104.17085600000064</v>
      </c>
      <c r="P279">
        <f>O279/(2*H279*J279)</f>
        <v>6.9416981954285056E-2</v>
      </c>
      <c r="Q279">
        <f>P279*16.02</f>
        <v>1.1120600509076466</v>
      </c>
    </row>
    <row r="280" spans="2:18" x14ac:dyDescent="0.2">
      <c r="C280">
        <v>100000</v>
      </c>
      <c r="D280">
        <v>260.233474</v>
      </c>
      <c r="E280">
        <v>-22509.294532</v>
      </c>
      <c r="F280">
        <v>65285.034815999999</v>
      </c>
      <c r="G280">
        <v>0.50922599999999996</v>
      </c>
      <c r="H280">
        <v>28.960104000000001</v>
      </c>
      <c r="I280">
        <v>87.029830000000004</v>
      </c>
      <c r="J280">
        <v>25.902716999999999</v>
      </c>
      <c r="K280">
        <v>1079</v>
      </c>
      <c r="L280">
        <v>2697</v>
      </c>
      <c r="M280">
        <f>L280/(L280+K280)</f>
        <v>0.7142478813559322</v>
      </c>
      <c r="N280">
        <f t="shared" ref="N280:N283" si="63">-4.1084-2.6328*M280</f>
        <v>-5.9888718220338983</v>
      </c>
      <c r="O280">
        <f>E280-(SUM(K280:L280)*N280)</f>
        <v>104.68546799999967</v>
      </c>
      <c r="P280">
        <f>O280/(2*H280*J280)</f>
        <v>6.9776786634903845E-2</v>
      </c>
      <c r="Q280">
        <f>P280*16.02</f>
        <v>1.1178241218911595</v>
      </c>
    </row>
    <row r="281" spans="2:18" x14ac:dyDescent="0.2">
      <c r="C281">
        <v>100000</v>
      </c>
      <c r="D281">
        <v>260.19890099999998</v>
      </c>
      <c r="E281">
        <v>-22356.848577000001</v>
      </c>
      <c r="F281">
        <v>65526.630158</v>
      </c>
      <c r="G281">
        <v>0.46282000000000001</v>
      </c>
      <c r="H281">
        <v>28.995784</v>
      </c>
      <c r="I281">
        <v>87.137052999999995</v>
      </c>
      <c r="J281">
        <v>25.934629999999999</v>
      </c>
      <c r="K281">
        <v>1133</v>
      </c>
      <c r="L281">
        <v>2643</v>
      </c>
      <c r="M281">
        <f>L281/(L281+K281)</f>
        <v>0.69994703389830504</v>
      </c>
      <c r="N281">
        <f t="shared" si="63"/>
        <v>-5.9512205508474576</v>
      </c>
      <c r="O281">
        <f>E281-(SUM(K281:L281)*N281)</f>
        <v>114.96022299999822</v>
      </c>
      <c r="P281">
        <f>O281/(2*H281*J281)</f>
        <v>7.6436833863467626E-2</v>
      </c>
      <c r="Q281">
        <f>P281*16.02</f>
        <v>1.2245180784927514</v>
      </c>
    </row>
    <row r="282" spans="2:18" x14ac:dyDescent="0.2">
      <c r="C282">
        <v>100000</v>
      </c>
      <c r="D282">
        <v>260.22609299999999</v>
      </c>
      <c r="E282">
        <v>-22488.546525000002</v>
      </c>
      <c r="F282">
        <v>65327.193059999998</v>
      </c>
      <c r="G282">
        <v>0.49453799999999998</v>
      </c>
      <c r="H282">
        <v>28.966335999999998</v>
      </c>
      <c r="I282">
        <v>87.048559999999995</v>
      </c>
      <c r="J282">
        <v>25.908291999999999</v>
      </c>
      <c r="K282">
        <v>1086</v>
      </c>
      <c r="L282">
        <v>2690</v>
      </c>
      <c r="M282">
        <f>L282/(L282+K282)</f>
        <v>0.71239406779661019</v>
      </c>
      <c r="N282">
        <f t="shared" si="63"/>
        <v>-5.9839911016949152</v>
      </c>
      <c r="O282">
        <f>E282-(SUM(K282:L282)*N282)</f>
        <v>107.00387499999852</v>
      </c>
      <c r="P282">
        <f>O282/(2*H282*J282)</f>
        <v>7.1291403145503585E-2</v>
      </c>
      <c r="Q282">
        <f>P282*16.02</f>
        <v>1.1420882783909674</v>
      </c>
    </row>
    <row r="283" spans="2:18" x14ac:dyDescent="0.2">
      <c r="C283">
        <v>100000</v>
      </c>
      <c r="D283">
        <v>260.21531900000002</v>
      </c>
      <c r="E283">
        <v>-22326.183314999998</v>
      </c>
      <c r="F283">
        <v>65582.343781999996</v>
      </c>
      <c r="G283">
        <v>0.47035700000000003</v>
      </c>
      <c r="H283">
        <v>29.003999</v>
      </c>
      <c r="I283">
        <v>87.161742000000004</v>
      </c>
      <c r="J283">
        <v>25.941977999999999</v>
      </c>
      <c r="K283">
        <v>1145</v>
      </c>
      <c r="L283">
        <v>2631</v>
      </c>
      <c r="M283">
        <f>L283/(L283+K283)</f>
        <v>0.69676906779661019</v>
      </c>
      <c r="N283">
        <f t="shared" si="63"/>
        <v>-5.9428536016949147</v>
      </c>
      <c r="O283">
        <f>E283-(SUM(K283:L283)*N283)</f>
        <v>114.03188500000033</v>
      </c>
      <c r="P283">
        <f>O283/(2*H283*J283)</f>
        <v>7.5776639170758567E-2</v>
      </c>
      <c r="Q283">
        <f>P283*16.02</f>
        <v>1.2139417595155522</v>
      </c>
    </row>
    <row r="284" spans="2:18" x14ac:dyDescent="0.2">
      <c r="Q284" s="1">
        <f>AVERAGE(Q279:Q283)</f>
        <v>1.1620864578396153</v>
      </c>
      <c r="R284">
        <f>STDEV(Q279:Q283)</f>
        <v>5.3498604011405569E-2</v>
      </c>
    </row>
    <row r="285" spans="2:18" x14ac:dyDescent="0.2">
      <c r="B285" t="s">
        <v>33</v>
      </c>
      <c r="C285">
        <v>100000</v>
      </c>
      <c r="D285">
        <v>278.86943100000002</v>
      </c>
      <c r="E285">
        <v>-38617.591062</v>
      </c>
      <c r="F285">
        <v>112090.99363</v>
      </c>
      <c r="G285">
        <v>8.5022E-2</v>
      </c>
      <c r="H285">
        <v>37.899805000000001</v>
      </c>
      <c r="I285">
        <v>227.46094299999999</v>
      </c>
      <c r="J285">
        <v>13.002501000000001</v>
      </c>
      <c r="K285">
        <v>1911</v>
      </c>
      <c r="L285">
        <v>4577</v>
      </c>
      <c r="M285">
        <f>L285/(L285+K285)</f>
        <v>0.70545622688039455</v>
      </c>
      <c r="N285">
        <f>-4.1084-2.6328*M285</f>
        <v>-5.9657251541307019</v>
      </c>
      <c r="O285">
        <f>E285-(SUM(K285:L285)*N285)</f>
        <v>88.03373799999099</v>
      </c>
      <c r="P285">
        <f>O285/(2*H285*J285)</f>
        <v>8.9321349482515522E-2</v>
      </c>
      <c r="Q285">
        <f>P285*16.02</f>
        <v>1.4309280187098987</v>
      </c>
    </row>
    <row r="286" spans="2:18" x14ac:dyDescent="0.2">
      <c r="C286">
        <v>100000</v>
      </c>
      <c r="D286">
        <v>278.89435800000001</v>
      </c>
      <c r="E286">
        <v>-38655.758578000001</v>
      </c>
      <c r="F286">
        <v>112025.419658</v>
      </c>
      <c r="G286">
        <v>0.13061600000000001</v>
      </c>
      <c r="H286">
        <v>37.892412999999998</v>
      </c>
      <c r="I286">
        <v>227.41657900000001</v>
      </c>
      <c r="J286">
        <v>12.999965</v>
      </c>
      <c r="K286">
        <v>1897</v>
      </c>
      <c r="L286">
        <v>4591</v>
      </c>
      <c r="M286">
        <f>L286/(L286+K286)</f>
        <v>0.70761405672009869</v>
      </c>
      <c r="N286">
        <f t="shared" ref="N286:N289" si="64">-4.1084-2.6328*M286</f>
        <v>-5.9714062885326751</v>
      </c>
      <c r="O286">
        <f>E286-(SUM(K286:L286)*N286)</f>
        <v>86.725421999995888</v>
      </c>
      <c r="P286">
        <f>O286/(2*H286*J286)</f>
        <v>8.8028232309018711E-2</v>
      </c>
      <c r="Q286">
        <f>P286*16.02</f>
        <v>1.4102122815904796</v>
      </c>
    </row>
    <row r="287" spans="2:18" x14ac:dyDescent="0.2">
      <c r="C287">
        <v>100000</v>
      </c>
      <c r="D287">
        <v>278.90065299999998</v>
      </c>
      <c r="E287">
        <v>-38509.702794999997</v>
      </c>
      <c r="F287">
        <v>112282.75258099999</v>
      </c>
      <c r="G287">
        <v>9.5874000000000001E-2</v>
      </c>
      <c r="H287">
        <v>37.921405</v>
      </c>
      <c r="I287">
        <v>227.59057799999999</v>
      </c>
      <c r="J287">
        <v>13.009911000000001</v>
      </c>
      <c r="K287">
        <v>1957</v>
      </c>
      <c r="L287">
        <v>4531</v>
      </c>
      <c r="M287">
        <f>L287/(L287+K287)</f>
        <v>0.6983662145499383</v>
      </c>
      <c r="N287">
        <f t="shared" si="64"/>
        <v>-5.9470585696670772</v>
      </c>
      <c r="O287">
        <f>E287-(SUM(K287:L287)*N287)</f>
        <v>74.813204999998561</v>
      </c>
      <c r="P287">
        <f>O287/(2*H287*J287)</f>
        <v>7.5821001980741085E-2</v>
      </c>
      <c r="Q287">
        <f>P287*16.02</f>
        <v>1.2146524517314721</v>
      </c>
    </row>
    <row r="288" spans="2:18" x14ac:dyDescent="0.2">
      <c r="C288">
        <v>100000</v>
      </c>
      <c r="D288">
        <v>278.91372799999999</v>
      </c>
      <c r="E288">
        <v>-38697.311642000001</v>
      </c>
      <c r="F288">
        <v>111960.269271</v>
      </c>
      <c r="G288">
        <v>2.1722999999999999E-2</v>
      </c>
      <c r="H288">
        <v>37.885066000000002</v>
      </c>
      <c r="I288">
        <v>227.37248500000001</v>
      </c>
      <c r="J288">
        <v>12.997444</v>
      </c>
      <c r="K288">
        <v>1884</v>
      </c>
      <c r="L288">
        <v>4604</v>
      </c>
      <c r="M288">
        <f>L288/(L288+K288)</f>
        <v>0.70961775585696674</v>
      </c>
      <c r="N288">
        <f t="shared" si="64"/>
        <v>-5.9766816276202217</v>
      </c>
      <c r="O288">
        <f>E288-(SUM(K288:L288)*N288)</f>
        <v>79.398757999995723</v>
      </c>
      <c r="P288">
        <f>O288/(2*H288*J288)</f>
        <v>8.0622769046645185E-2</v>
      </c>
      <c r="Q288">
        <f>P288*16.02</f>
        <v>1.2915767601272559</v>
      </c>
    </row>
    <row r="289" spans="2:18" x14ac:dyDescent="0.2">
      <c r="C289">
        <v>100000</v>
      </c>
      <c r="D289">
        <v>278.88552499999997</v>
      </c>
      <c r="E289">
        <v>-38830.991847999998</v>
      </c>
      <c r="F289">
        <v>111739.39681400001</v>
      </c>
      <c r="G289">
        <v>1.4337000000000001E-2</v>
      </c>
      <c r="H289">
        <v>37.860137000000002</v>
      </c>
      <c r="I289">
        <v>227.22286800000001</v>
      </c>
      <c r="J289">
        <v>12.988891000000001</v>
      </c>
      <c r="K289">
        <v>1833</v>
      </c>
      <c r="L289">
        <v>4655</v>
      </c>
      <c r="M289">
        <f>L289/(L289+K289)</f>
        <v>0.71747842170160292</v>
      </c>
      <c r="N289">
        <f t="shared" si="64"/>
        <v>-5.9973771886559799</v>
      </c>
      <c r="O289">
        <f>E289-(SUM(K289:L289)*N289)</f>
        <v>79.991351999997278</v>
      </c>
      <c r="P289">
        <f>O289/(2*H289*J289)</f>
        <v>8.133150112416869E-2</v>
      </c>
      <c r="Q289">
        <f>P289*16.02</f>
        <v>1.3029306480091825</v>
      </c>
    </row>
    <row r="290" spans="2:18" x14ac:dyDescent="0.2">
      <c r="Q290" s="1">
        <f>AVERAGE(Q285:Q289)</f>
        <v>1.3300600320336577</v>
      </c>
      <c r="R290">
        <f>STDEV(Q285:Q289)</f>
        <v>8.9630643658450207E-2</v>
      </c>
    </row>
    <row r="291" spans="2:18" x14ac:dyDescent="0.2">
      <c r="B291" t="s">
        <v>34</v>
      </c>
      <c r="C291">
        <v>100000</v>
      </c>
      <c r="D291">
        <v>279.00811900000002</v>
      </c>
      <c r="E291">
        <v>-19566.284063999999</v>
      </c>
      <c r="F291">
        <v>56998.721253999996</v>
      </c>
      <c r="G291">
        <v>0.14724100000000001</v>
      </c>
      <c r="H291">
        <v>23.416499999999999</v>
      </c>
      <c r="I291">
        <v>187.37337299999999</v>
      </c>
      <c r="J291">
        <v>12.990779</v>
      </c>
      <c r="K291">
        <v>993</v>
      </c>
      <c r="L291">
        <v>2303</v>
      </c>
      <c r="M291">
        <f>L291/(L291+K291)</f>
        <v>0.69872572815533984</v>
      </c>
      <c r="N291">
        <f>-4.1084-2.6328*M291</f>
        <v>-5.9480050970873783</v>
      </c>
      <c r="O291">
        <f>E291-(SUM(K291:L291)*N291)</f>
        <v>38.340735999998287</v>
      </c>
      <c r="P291">
        <f>O291/(2*H291*J291)</f>
        <v>6.3019256117161818E-2</v>
      </c>
      <c r="Q291">
        <f>P291*16.02</f>
        <v>1.0095684829969322</v>
      </c>
    </row>
    <row r="292" spans="2:18" x14ac:dyDescent="0.2">
      <c r="C292">
        <v>100000</v>
      </c>
      <c r="D292">
        <v>278.89914700000003</v>
      </c>
      <c r="E292">
        <v>-19642.644627999998</v>
      </c>
      <c r="F292">
        <v>56919.169978999998</v>
      </c>
      <c r="G292">
        <v>6.6712999999999995E-2</v>
      </c>
      <c r="H292">
        <v>23.405601000000001</v>
      </c>
      <c r="I292">
        <v>187.28616199999999</v>
      </c>
      <c r="J292">
        <v>12.984733</v>
      </c>
      <c r="K292">
        <v>960</v>
      </c>
      <c r="L292">
        <v>2336</v>
      </c>
      <c r="M292">
        <f>L292/(L292+K292)</f>
        <v>0.70873786407766992</v>
      </c>
      <c r="N292">
        <f t="shared" ref="N292:N295" si="65">-4.1084-2.6328*M292</f>
        <v>-5.9743650485436888</v>
      </c>
      <c r="O292">
        <f>E292-(SUM(K292:L292)*N292)</f>
        <v>48.862572000001819</v>
      </c>
      <c r="P292">
        <f>O292/(2*H292*J292)</f>
        <v>8.0388422547475566E-2</v>
      </c>
      <c r="Q292">
        <f>P292*16.02</f>
        <v>1.2878225292105585</v>
      </c>
    </row>
    <row r="293" spans="2:18" x14ac:dyDescent="0.2">
      <c r="C293">
        <v>100000</v>
      </c>
      <c r="D293">
        <v>278.80289399999998</v>
      </c>
      <c r="E293">
        <v>-19520.338037000001</v>
      </c>
      <c r="F293">
        <v>57096.554183</v>
      </c>
      <c r="G293">
        <v>0.28323799999999999</v>
      </c>
      <c r="H293">
        <v>23.42989</v>
      </c>
      <c r="I293">
        <v>187.480515</v>
      </c>
      <c r="J293">
        <v>12.998208</v>
      </c>
      <c r="K293">
        <v>1005</v>
      </c>
      <c r="L293">
        <v>2291</v>
      </c>
      <c r="M293">
        <f>L293/(L293+K293)</f>
        <v>0.69508495145631066</v>
      </c>
      <c r="N293">
        <f t="shared" si="65"/>
        <v>-5.9384196601941746</v>
      </c>
      <c r="O293">
        <f>E293-(SUM(K293:L293)*N293)</f>
        <v>52.693162999996275</v>
      </c>
      <c r="P293">
        <f>O293/(2*H293*J293)</f>
        <v>8.6510842398387203E-2</v>
      </c>
      <c r="Q293">
        <f>P293*16.02</f>
        <v>1.3859036952221631</v>
      </c>
    </row>
    <row r="294" spans="2:18" x14ac:dyDescent="0.2">
      <c r="C294">
        <v>100000</v>
      </c>
      <c r="D294">
        <v>278.84782899999999</v>
      </c>
      <c r="E294">
        <v>-19509.937521</v>
      </c>
      <c r="F294">
        <v>57125.994339999997</v>
      </c>
      <c r="G294">
        <v>0.112052</v>
      </c>
      <c r="H294">
        <v>23.433916</v>
      </c>
      <c r="I294">
        <v>187.512732</v>
      </c>
      <c r="J294">
        <v>13.000441</v>
      </c>
      <c r="K294">
        <v>1013</v>
      </c>
      <c r="L294">
        <v>2283</v>
      </c>
      <c r="M294">
        <f>L294/(L294+K294)</f>
        <v>0.69265776699029125</v>
      </c>
      <c r="N294">
        <f t="shared" si="65"/>
        <v>-5.9320293689320387</v>
      </c>
      <c r="O294">
        <f>E294-(SUM(K294:L294)*N294)</f>
        <v>42.031278999998904</v>
      </c>
      <c r="P294">
        <f>O294/(2*H294*J294)</f>
        <v>6.8982615456974553E-2</v>
      </c>
      <c r="Q294">
        <f>P294*16.02</f>
        <v>1.1051014996207322</v>
      </c>
    </row>
    <row r="295" spans="2:18" x14ac:dyDescent="0.2">
      <c r="C295">
        <v>100000</v>
      </c>
      <c r="D295">
        <v>278.77838800000001</v>
      </c>
      <c r="E295">
        <v>-19430.546406000001</v>
      </c>
      <c r="F295">
        <v>57292.189488999997</v>
      </c>
      <c r="G295">
        <v>0.22988</v>
      </c>
      <c r="H295">
        <v>23.456619</v>
      </c>
      <c r="I295">
        <v>187.694399</v>
      </c>
      <c r="J295">
        <v>13.013036</v>
      </c>
      <c r="K295">
        <v>1038</v>
      </c>
      <c r="L295">
        <v>2258</v>
      </c>
      <c r="M295">
        <f>L295/(L295+K295)</f>
        <v>0.68507281553398058</v>
      </c>
      <c r="N295">
        <f t="shared" si="65"/>
        <v>-5.9120597087378641</v>
      </c>
      <c r="O295">
        <f>E295-(SUM(K295:L295)*N295)</f>
        <v>55.60239399999773</v>
      </c>
      <c r="P295">
        <f>O295/(2*H295*J295)</f>
        <v>9.1079250930441988E-2</v>
      </c>
      <c r="Q295">
        <f>P295*16.02</f>
        <v>1.4590895999056805</v>
      </c>
    </row>
    <row r="296" spans="2:18" x14ac:dyDescent="0.2">
      <c r="Q296" s="1">
        <f>AVERAGE(Q291:Q295)</f>
        <v>1.2494971613912134</v>
      </c>
      <c r="R296">
        <f>STDEV(Q291:Q295)</f>
        <v>0.18869316656073201</v>
      </c>
    </row>
    <row r="297" spans="2:18" x14ac:dyDescent="0.2">
      <c r="B297" t="s">
        <v>35</v>
      </c>
      <c r="C297">
        <v>100000</v>
      </c>
      <c r="D297">
        <v>278.88837000000001</v>
      </c>
      <c r="E297">
        <v>-28333.068541000001</v>
      </c>
      <c r="F297">
        <v>82016.500421000004</v>
      </c>
      <c r="G297">
        <v>5.9249999999999997E-2</v>
      </c>
      <c r="H297">
        <v>32.451141999999997</v>
      </c>
      <c r="I297">
        <v>194.706853</v>
      </c>
      <c r="J297">
        <v>12.980456999999999</v>
      </c>
      <c r="K297">
        <v>1382</v>
      </c>
      <c r="L297">
        <v>3370</v>
      </c>
      <c r="M297">
        <f>L297/(L297+K297)</f>
        <v>0.70917508417508412</v>
      </c>
      <c r="N297">
        <f>-4.1084-2.6328*M297</f>
        <v>-5.9755161616161612</v>
      </c>
      <c r="O297">
        <f>E297-(SUM(K297:L297)*N297)</f>
        <v>62.584258999995654</v>
      </c>
      <c r="P297">
        <f>O297/(2*H297*J297)</f>
        <v>7.4287398726754786E-2</v>
      </c>
      <c r="Q297">
        <f>P297*16.02</f>
        <v>1.1900841276026117</v>
      </c>
    </row>
    <row r="298" spans="2:18" x14ac:dyDescent="0.2">
      <c r="C298">
        <v>100000</v>
      </c>
      <c r="D298">
        <v>278.863879</v>
      </c>
      <c r="E298">
        <v>-28259.10555</v>
      </c>
      <c r="F298">
        <v>82161.434315000006</v>
      </c>
      <c r="G298">
        <v>0.237457</v>
      </c>
      <c r="H298">
        <v>32.470246000000003</v>
      </c>
      <c r="I298">
        <v>194.82147599999999</v>
      </c>
      <c r="J298">
        <v>12.988098000000001</v>
      </c>
      <c r="K298">
        <v>1412</v>
      </c>
      <c r="L298">
        <v>3340</v>
      </c>
      <c r="M298">
        <f>L298/(L298+K298)</f>
        <v>0.70286195286195285</v>
      </c>
      <c r="N298">
        <f t="shared" ref="N298:N301" si="66">-4.1084-2.6328*M298</f>
        <v>-5.9588949494949492</v>
      </c>
      <c r="O298">
        <f>E298-(SUM(K298:L298)*N298)</f>
        <v>57.563249999999243</v>
      </c>
      <c r="P298">
        <f>O298/(2*H298*J298)</f>
        <v>6.8247095727733367E-2</v>
      </c>
      <c r="Q298">
        <f>P298*16.02</f>
        <v>1.0933184735582886</v>
      </c>
    </row>
    <row r="299" spans="2:18" x14ac:dyDescent="0.2">
      <c r="C299">
        <v>100000</v>
      </c>
      <c r="D299">
        <v>278.914061</v>
      </c>
      <c r="E299">
        <v>-28301.601692</v>
      </c>
      <c r="F299">
        <v>82063.028802999994</v>
      </c>
      <c r="G299">
        <v>2.1758E-2</v>
      </c>
      <c r="H299">
        <v>32.457278000000002</v>
      </c>
      <c r="I299">
        <v>194.74366499999999</v>
      </c>
      <c r="J299">
        <v>12.982911</v>
      </c>
      <c r="K299">
        <v>1393</v>
      </c>
      <c r="L299">
        <v>3359</v>
      </c>
      <c r="M299">
        <f>L299/(L299+K299)</f>
        <v>0.70686026936026936</v>
      </c>
      <c r="N299">
        <f t="shared" si="66"/>
        <v>-5.9694217171717163</v>
      </c>
      <c r="O299">
        <f>E299-(SUM(K299:L299)*N299)</f>
        <v>65.090307999995275</v>
      </c>
      <c r="P299">
        <f>O299/(2*H299*J299)</f>
        <v>7.7232866797745686E-2</v>
      </c>
      <c r="Q299">
        <f>P299*16.02</f>
        <v>1.237270526099886</v>
      </c>
    </row>
    <row r="300" spans="2:18" x14ac:dyDescent="0.2">
      <c r="C300">
        <v>100000</v>
      </c>
      <c r="D300">
        <v>278.87397499999997</v>
      </c>
      <c r="E300">
        <v>-28428.156003</v>
      </c>
      <c r="F300">
        <v>81876.086576000002</v>
      </c>
      <c r="G300">
        <v>0.15535599999999999</v>
      </c>
      <c r="H300">
        <v>32.432613000000003</v>
      </c>
      <c r="I300">
        <v>194.595675</v>
      </c>
      <c r="J300">
        <v>12.973045000000001</v>
      </c>
      <c r="K300">
        <v>1343</v>
      </c>
      <c r="L300">
        <v>3409</v>
      </c>
      <c r="M300">
        <f>L300/(L300+K300)</f>
        <v>0.71738215488215484</v>
      </c>
      <c r="N300">
        <f t="shared" si="66"/>
        <v>-5.9971237373737374</v>
      </c>
      <c r="O300">
        <f>E300-(SUM(K300:L300)*N300)</f>
        <v>70.175996999998461</v>
      </c>
      <c r="P300">
        <f>O300/(2*H300*J300)</f>
        <v>8.339398579260833E-2</v>
      </c>
      <c r="Q300">
        <f>P300*16.02</f>
        <v>1.3359716523975853</v>
      </c>
    </row>
    <row r="301" spans="2:18" x14ac:dyDescent="0.2">
      <c r="C301">
        <v>100000</v>
      </c>
      <c r="D301">
        <v>278.846677</v>
      </c>
      <c r="E301">
        <v>-28126.242323999999</v>
      </c>
      <c r="F301">
        <v>82344.074116000003</v>
      </c>
      <c r="G301">
        <v>-6.4017000000000004E-2</v>
      </c>
      <c r="H301">
        <v>32.494287999999997</v>
      </c>
      <c r="I301">
        <v>194.96572800000001</v>
      </c>
      <c r="J301">
        <v>12.997714999999999</v>
      </c>
      <c r="K301">
        <v>1460</v>
      </c>
      <c r="L301">
        <v>3292</v>
      </c>
      <c r="M301">
        <f>L301/(L301+K301)</f>
        <v>0.6927609427609428</v>
      </c>
      <c r="N301">
        <f t="shared" si="66"/>
        <v>-5.9323010101010096</v>
      </c>
      <c r="O301">
        <f>E301-(SUM(K301:L301)*N301)</f>
        <v>64.052075999999943</v>
      </c>
      <c r="P301">
        <f>O301/(2*H301*J301)</f>
        <v>7.58279262962641E-2</v>
      </c>
      <c r="Q301">
        <f>P301*16.02</f>
        <v>1.214763379266151</v>
      </c>
    </row>
    <row r="302" spans="2:18" x14ac:dyDescent="0.2">
      <c r="Q302" s="1">
        <f>AVERAGE(Q297:Q301)</f>
        <v>1.2142816317849046</v>
      </c>
      <c r="R302">
        <f>STDEV(Q297:Q301)</f>
        <v>8.739963860907142E-2</v>
      </c>
    </row>
    <row r="303" spans="2:18" x14ac:dyDescent="0.2">
      <c r="B303" t="s">
        <v>26</v>
      </c>
      <c r="M303" t="e">
        <f>L303/(L303+K303)</f>
        <v>#DIV/0!</v>
      </c>
      <c r="N303" t="e">
        <f>-4.1084-2.6328*M303</f>
        <v>#DIV/0!</v>
      </c>
      <c r="O303" t="e">
        <f>E303-(SUM(K303:L303)*N303)</f>
        <v>#DIV/0!</v>
      </c>
      <c r="P303" t="e">
        <f>O303/(2*H303*J303)</f>
        <v>#DIV/0!</v>
      </c>
      <c r="Q303" t="e">
        <f>P303*16.02</f>
        <v>#DIV/0!</v>
      </c>
    </row>
    <row r="304" spans="2:18" x14ac:dyDescent="0.2">
      <c r="M304" t="e">
        <f>L304/(L304+K304)</f>
        <v>#DIV/0!</v>
      </c>
      <c r="N304" t="e">
        <f t="shared" ref="N304:N307" si="67">-4.1084-2.6328*M304</f>
        <v>#DIV/0!</v>
      </c>
      <c r="O304" t="e">
        <f>E304-(SUM(K304:L304)*N304)</f>
        <v>#DIV/0!</v>
      </c>
      <c r="P304" t="e">
        <f>O304/(2*H304*J304)</f>
        <v>#DIV/0!</v>
      </c>
      <c r="Q304" t="e">
        <f>P304*16.02</f>
        <v>#DIV/0!</v>
      </c>
    </row>
    <row r="305" spans="2:18" x14ac:dyDescent="0.2">
      <c r="M305" t="e">
        <f>L305/(L305+K305)</f>
        <v>#DIV/0!</v>
      </c>
      <c r="N305" t="e">
        <f t="shared" si="67"/>
        <v>#DIV/0!</v>
      </c>
      <c r="O305" t="e">
        <f>E305-(SUM(K305:L305)*N305)</f>
        <v>#DIV/0!</v>
      </c>
      <c r="P305" t="e">
        <f>O305/(2*H305*J305)</f>
        <v>#DIV/0!</v>
      </c>
      <c r="Q305" t="e">
        <f>P305*16.02</f>
        <v>#DIV/0!</v>
      </c>
    </row>
    <row r="306" spans="2:18" x14ac:dyDescent="0.2">
      <c r="M306" t="e">
        <f>L306/(L306+K306)</f>
        <v>#DIV/0!</v>
      </c>
      <c r="N306" t="e">
        <f t="shared" si="67"/>
        <v>#DIV/0!</v>
      </c>
      <c r="O306" t="e">
        <f>E306-(SUM(K306:L306)*N306)</f>
        <v>#DIV/0!</v>
      </c>
      <c r="P306" t="e">
        <f>O306/(2*H306*J306)</f>
        <v>#DIV/0!</v>
      </c>
      <c r="Q306" t="e">
        <f>P306*16.02</f>
        <v>#DIV/0!</v>
      </c>
    </row>
    <row r="307" spans="2:18" x14ac:dyDescent="0.2">
      <c r="M307" t="e">
        <f>L307/(L307+K307)</f>
        <v>#DIV/0!</v>
      </c>
      <c r="N307" t="e">
        <f t="shared" si="67"/>
        <v>#DIV/0!</v>
      </c>
      <c r="O307" t="e">
        <f>E307-(SUM(K307:L307)*N307)</f>
        <v>#DIV/0!</v>
      </c>
      <c r="P307" t="e">
        <f>O307/(2*H307*J307)</f>
        <v>#DIV/0!</v>
      </c>
      <c r="Q307" t="e">
        <f>P307*16.02</f>
        <v>#DIV/0!</v>
      </c>
    </row>
    <row r="308" spans="2:18" x14ac:dyDescent="0.2">
      <c r="Q308" s="1" t="e">
        <f>AVERAGE(Q303:Q307)</f>
        <v>#DIV/0!</v>
      </c>
      <c r="R308" t="e">
        <f>STDEV(Q303:Q307)</f>
        <v>#DIV/0!</v>
      </c>
    </row>
    <row r="310" spans="2:18" x14ac:dyDescent="0.2">
      <c r="C310" t="s">
        <v>3</v>
      </c>
      <c r="D310" t="s">
        <v>2</v>
      </c>
      <c r="P310" t="s">
        <v>11</v>
      </c>
      <c r="Q310" t="s">
        <v>12</v>
      </c>
    </row>
    <row r="311" spans="2:18" x14ac:dyDescent="0.2">
      <c r="C311" t="s">
        <v>52</v>
      </c>
      <c r="D311" t="s">
        <v>13</v>
      </c>
      <c r="E311" t="s">
        <v>4</v>
      </c>
      <c r="F311" t="s">
        <v>5</v>
      </c>
      <c r="G311" t="s">
        <v>14</v>
      </c>
      <c r="H311" t="s">
        <v>15</v>
      </c>
      <c r="I311" t="s">
        <v>16</v>
      </c>
      <c r="J311" t="s">
        <v>17</v>
      </c>
      <c r="K311" t="s">
        <v>18</v>
      </c>
      <c r="L311" t="s">
        <v>19</v>
      </c>
      <c r="M311" t="s">
        <v>9</v>
      </c>
      <c r="N311" t="s">
        <v>20</v>
      </c>
      <c r="O311" t="s">
        <v>8</v>
      </c>
      <c r="P311" t="s">
        <v>21</v>
      </c>
      <c r="Q311" t="s">
        <v>21</v>
      </c>
    </row>
    <row r="312" spans="2:18" x14ac:dyDescent="0.2">
      <c r="B312" t="s">
        <v>25</v>
      </c>
      <c r="M312" t="e">
        <f>L312/(L312+K312)</f>
        <v>#DIV/0!</v>
      </c>
      <c r="N312" t="e">
        <f>-4.1793-2.4352*M312</f>
        <v>#DIV/0!</v>
      </c>
      <c r="O312" t="e">
        <f>E312-(SUM(K312:L312)*N312)</f>
        <v>#DIV/0!</v>
      </c>
      <c r="P312" t="e">
        <f>O312/(2*H312*J312)</f>
        <v>#DIV/0!</v>
      </c>
      <c r="Q312" t="e">
        <f>P312*16.02</f>
        <v>#DIV/0!</v>
      </c>
    </row>
    <row r="313" spans="2:18" x14ac:dyDescent="0.2">
      <c r="M313" t="e">
        <f>L313/(L313+K313)</f>
        <v>#DIV/0!</v>
      </c>
      <c r="N313" t="e">
        <f t="shared" ref="N313:N316" si="68">-4.1793-2.4352*M313</f>
        <v>#DIV/0!</v>
      </c>
      <c r="O313" t="e">
        <f>E313-(SUM(K313:L313)*N313)</f>
        <v>#DIV/0!</v>
      </c>
      <c r="P313" t="e">
        <f>O313/(2*H313*J313)</f>
        <v>#DIV/0!</v>
      </c>
      <c r="Q313" t="e">
        <f>P313*16.02</f>
        <v>#DIV/0!</v>
      </c>
    </row>
    <row r="314" spans="2:18" x14ac:dyDescent="0.2">
      <c r="M314" t="e">
        <f>L314/(L314+K314)</f>
        <v>#DIV/0!</v>
      </c>
      <c r="N314" t="e">
        <f t="shared" si="68"/>
        <v>#DIV/0!</v>
      </c>
      <c r="O314" t="e">
        <f>E314-(SUM(K314:L314)*N314)</f>
        <v>#DIV/0!</v>
      </c>
      <c r="P314" t="e">
        <f>O314/(2*H314*J314)</f>
        <v>#DIV/0!</v>
      </c>
      <c r="Q314" t="e">
        <f>P314*16.02</f>
        <v>#DIV/0!</v>
      </c>
    </row>
    <row r="315" spans="2:18" x14ac:dyDescent="0.2">
      <c r="M315" t="e">
        <f>L315/(L315+K315)</f>
        <v>#DIV/0!</v>
      </c>
      <c r="N315" t="e">
        <f t="shared" si="68"/>
        <v>#DIV/0!</v>
      </c>
      <c r="O315" t="e">
        <f>E315-(SUM(K315:L315)*N315)</f>
        <v>#DIV/0!</v>
      </c>
      <c r="P315" t="e">
        <f>O315/(2*H315*J315)</f>
        <v>#DIV/0!</v>
      </c>
      <c r="Q315" t="e">
        <f>P315*16.02</f>
        <v>#DIV/0!</v>
      </c>
    </row>
    <row r="316" spans="2:18" x14ac:dyDescent="0.2">
      <c r="M316" t="e">
        <f>L316/(L316+K316)</f>
        <v>#DIV/0!</v>
      </c>
      <c r="N316" t="e">
        <f t="shared" si="68"/>
        <v>#DIV/0!</v>
      </c>
      <c r="O316" t="e">
        <f>E316-(SUM(K316:L316)*N316)</f>
        <v>#DIV/0!</v>
      </c>
      <c r="P316" t="e">
        <f>O316/(2*H316*J316)</f>
        <v>#DIV/0!</v>
      </c>
      <c r="Q316" t="e">
        <f>P316*16.02</f>
        <v>#DIV/0!</v>
      </c>
    </row>
    <row r="317" spans="2:18" x14ac:dyDescent="0.2">
      <c r="Q317" s="1" t="e">
        <f>AVERAGE(Q312:Q316)</f>
        <v>#DIV/0!</v>
      </c>
      <c r="R317" t="e">
        <f>STDEV(Q312:Q316)</f>
        <v>#DIV/0!</v>
      </c>
    </row>
    <row r="318" spans="2:18" x14ac:dyDescent="0.2">
      <c r="B318" t="s">
        <v>30</v>
      </c>
      <c r="M318" t="e">
        <f>L318/(L318+K318)</f>
        <v>#DIV/0!</v>
      </c>
      <c r="N318" t="e">
        <f>-4.1793-2.4352*M318</f>
        <v>#DIV/0!</v>
      </c>
      <c r="O318" t="e">
        <f>E318-(SUM(K318:L318)*N318)</f>
        <v>#DIV/0!</v>
      </c>
      <c r="P318" t="e">
        <f>O318/(2*H318*J318)</f>
        <v>#DIV/0!</v>
      </c>
      <c r="Q318" t="e">
        <f>P318*16.02</f>
        <v>#DIV/0!</v>
      </c>
    </row>
    <row r="319" spans="2:18" x14ac:dyDescent="0.2">
      <c r="M319" t="e">
        <f>L319/(L319+K319)</f>
        <v>#DIV/0!</v>
      </c>
      <c r="N319" t="e">
        <f t="shared" ref="N319:N322" si="69">-4.1793-2.4352*M319</f>
        <v>#DIV/0!</v>
      </c>
      <c r="O319" t="e">
        <f>E319-(SUM(K319:L319)*N319)</f>
        <v>#DIV/0!</v>
      </c>
      <c r="P319" t="e">
        <f>O319/(2*H319*J319)</f>
        <v>#DIV/0!</v>
      </c>
      <c r="Q319" t="e">
        <f>P319*16.02</f>
        <v>#DIV/0!</v>
      </c>
    </row>
    <row r="320" spans="2:18" x14ac:dyDescent="0.2">
      <c r="M320" t="e">
        <f>L320/(L320+K320)</f>
        <v>#DIV/0!</v>
      </c>
      <c r="N320" t="e">
        <f t="shared" si="69"/>
        <v>#DIV/0!</v>
      </c>
      <c r="O320" t="e">
        <f>E320-(SUM(K320:L320)*N320)</f>
        <v>#DIV/0!</v>
      </c>
      <c r="P320" t="e">
        <f>O320/(2*H320*J320)</f>
        <v>#DIV/0!</v>
      </c>
      <c r="Q320" t="e">
        <f>P320*16.02</f>
        <v>#DIV/0!</v>
      </c>
    </row>
    <row r="321" spans="2:18" x14ac:dyDescent="0.2">
      <c r="M321" t="e">
        <f>L321/(L321+K321)</f>
        <v>#DIV/0!</v>
      </c>
      <c r="N321" t="e">
        <f t="shared" si="69"/>
        <v>#DIV/0!</v>
      </c>
      <c r="O321" t="e">
        <f>E321-(SUM(K321:L321)*N321)</f>
        <v>#DIV/0!</v>
      </c>
      <c r="P321" t="e">
        <f>O321/(2*H321*J321)</f>
        <v>#DIV/0!</v>
      </c>
      <c r="Q321" t="e">
        <f>P321*16.02</f>
        <v>#DIV/0!</v>
      </c>
    </row>
    <row r="322" spans="2:18" x14ac:dyDescent="0.2">
      <c r="M322" t="e">
        <f>L322/(L322+K322)</f>
        <v>#DIV/0!</v>
      </c>
      <c r="N322" t="e">
        <f t="shared" si="69"/>
        <v>#DIV/0!</v>
      </c>
      <c r="O322" t="e">
        <f>E322-(SUM(K322:L322)*N322)</f>
        <v>#DIV/0!</v>
      </c>
      <c r="P322" t="e">
        <f>O322/(2*H322*J322)</f>
        <v>#DIV/0!</v>
      </c>
      <c r="Q322" t="e">
        <f>P322*16.02</f>
        <v>#DIV/0!</v>
      </c>
    </row>
    <row r="323" spans="2:18" x14ac:dyDescent="0.2">
      <c r="Q323" s="1" t="e">
        <f>AVERAGE(Q318:Q322)</f>
        <v>#DIV/0!</v>
      </c>
      <c r="R323" t="e">
        <f>STDEV(Q318:Q322)</f>
        <v>#DIV/0!</v>
      </c>
    </row>
    <row r="324" spans="2:18" x14ac:dyDescent="0.2">
      <c r="B324" t="s">
        <v>24</v>
      </c>
      <c r="M324" t="e">
        <f>L324/(L324+K324)</f>
        <v>#DIV/0!</v>
      </c>
      <c r="N324" t="e">
        <f>-4.1793-2.4352*M324</f>
        <v>#DIV/0!</v>
      </c>
      <c r="O324" t="e">
        <f>E324-(SUM(K324:L324)*N324)</f>
        <v>#DIV/0!</v>
      </c>
      <c r="P324" t="e">
        <f>O324/(2*H324*J324)</f>
        <v>#DIV/0!</v>
      </c>
      <c r="Q324" t="e">
        <f>P324*16.02</f>
        <v>#DIV/0!</v>
      </c>
    </row>
    <row r="325" spans="2:18" x14ac:dyDescent="0.2">
      <c r="M325" t="e">
        <f>L325/(L325+K325)</f>
        <v>#DIV/0!</v>
      </c>
      <c r="N325" t="e">
        <f t="shared" ref="N325:N328" si="70">-4.1793-2.4352*M325</f>
        <v>#DIV/0!</v>
      </c>
      <c r="O325" t="e">
        <f>E325-(SUM(K325:L325)*N325)</f>
        <v>#DIV/0!</v>
      </c>
      <c r="P325" t="e">
        <f>O325/(2*H325*J325)</f>
        <v>#DIV/0!</v>
      </c>
      <c r="Q325" t="e">
        <f>P325*16.02</f>
        <v>#DIV/0!</v>
      </c>
    </row>
    <row r="326" spans="2:18" x14ac:dyDescent="0.2">
      <c r="M326" t="e">
        <f>L326/(L326+K326)</f>
        <v>#DIV/0!</v>
      </c>
      <c r="N326" t="e">
        <f t="shared" si="70"/>
        <v>#DIV/0!</v>
      </c>
      <c r="O326" t="e">
        <f>E326-(SUM(K326:L326)*N326)</f>
        <v>#DIV/0!</v>
      </c>
      <c r="P326" t="e">
        <f>O326/(2*H326*J326)</f>
        <v>#DIV/0!</v>
      </c>
      <c r="Q326" t="e">
        <f>P326*16.02</f>
        <v>#DIV/0!</v>
      </c>
    </row>
    <row r="327" spans="2:18" x14ac:dyDescent="0.2">
      <c r="M327" t="e">
        <f>L327/(L327+K327)</f>
        <v>#DIV/0!</v>
      </c>
      <c r="N327" t="e">
        <f t="shared" si="70"/>
        <v>#DIV/0!</v>
      </c>
      <c r="O327" t="e">
        <f>E327-(SUM(K327:L327)*N327)</f>
        <v>#DIV/0!</v>
      </c>
      <c r="P327" t="e">
        <f>O327/(2*H327*J327)</f>
        <v>#DIV/0!</v>
      </c>
      <c r="Q327" t="e">
        <f>P327*16.02</f>
        <v>#DIV/0!</v>
      </c>
    </row>
    <row r="328" spans="2:18" x14ac:dyDescent="0.2">
      <c r="M328" t="e">
        <f>L328/(L328+K328)</f>
        <v>#DIV/0!</v>
      </c>
      <c r="N328" t="e">
        <f t="shared" si="70"/>
        <v>#DIV/0!</v>
      </c>
      <c r="O328" t="e">
        <f>E328-(SUM(K328:L328)*N328)</f>
        <v>#DIV/0!</v>
      </c>
      <c r="P328" t="e">
        <f>O328/(2*H328*J328)</f>
        <v>#DIV/0!</v>
      </c>
      <c r="Q328" t="e">
        <f>P328*16.02</f>
        <v>#DIV/0!</v>
      </c>
    </row>
    <row r="329" spans="2:18" x14ac:dyDescent="0.2">
      <c r="Q329" s="1" t="e">
        <f>AVERAGE(Q324:Q328)</f>
        <v>#DIV/0!</v>
      </c>
      <c r="R329" t="e">
        <f>STDEV(Q324:Q328)</f>
        <v>#DIV/0!</v>
      </c>
    </row>
    <row r="330" spans="2:18" x14ac:dyDescent="0.2">
      <c r="B330" t="s">
        <v>31</v>
      </c>
      <c r="M330" t="e">
        <f>L330/(L330+K330)</f>
        <v>#DIV/0!</v>
      </c>
      <c r="N330" t="e">
        <f>-4.1793-2.4352*M330</f>
        <v>#DIV/0!</v>
      </c>
      <c r="O330" t="e">
        <f>E330-(SUM(K330:L330)*N330)</f>
        <v>#DIV/0!</v>
      </c>
      <c r="P330" t="e">
        <f>O330/(2*H330*J330)</f>
        <v>#DIV/0!</v>
      </c>
      <c r="Q330" t="e">
        <f>P330*16.02</f>
        <v>#DIV/0!</v>
      </c>
    </row>
    <row r="331" spans="2:18" x14ac:dyDescent="0.2">
      <c r="M331" t="e">
        <f>L331/(L331+K331)</f>
        <v>#DIV/0!</v>
      </c>
      <c r="N331" t="e">
        <f t="shared" ref="N331:N334" si="71">-4.1793-2.4352*M331</f>
        <v>#DIV/0!</v>
      </c>
      <c r="O331" t="e">
        <f>E331-(SUM(K331:L331)*N331)</f>
        <v>#DIV/0!</v>
      </c>
      <c r="P331" t="e">
        <f>O331/(2*H331*J331)</f>
        <v>#DIV/0!</v>
      </c>
      <c r="Q331" t="e">
        <f>P331*16.02</f>
        <v>#DIV/0!</v>
      </c>
    </row>
    <row r="332" spans="2:18" x14ac:dyDescent="0.2">
      <c r="M332" t="e">
        <f>L332/(L332+K332)</f>
        <v>#DIV/0!</v>
      </c>
      <c r="N332" t="e">
        <f t="shared" si="71"/>
        <v>#DIV/0!</v>
      </c>
      <c r="O332" t="e">
        <f>E332-(SUM(K332:L332)*N332)</f>
        <v>#DIV/0!</v>
      </c>
      <c r="P332" t="e">
        <f>O332/(2*H332*J332)</f>
        <v>#DIV/0!</v>
      </c>
      <c r="Q332" t="e">
        <f>P332*16.02</f>
        <v>#DIV/0!</v>
      </c>
    </row>
    <row r="333" spans="2:18" x14ac:dyDescent="0.2">
      <c r="M333" t="e">
        <f>L333/(L333+K333)</f>
        <v>#DIV/0!</v>
      </c>
      <c r="N333" t="e">
        <f t="shared" si="71"/>
        <v>#DIV/0!</v>
      </c>
      <c r="O333" t="e">
        <f>E333-(SUM(K333:L333)*N333)</f>
        <v>#DIV/0!</v>
      </c>
      <c r="P333" t="e">
        <f>O333/(2*H333*J333)</f>
        <v>#DIV/0!</v>
      </c>
      <c r="Q333" t="e">
        <f>P333*16.02</f>
        <v>#DIV/0!</v>
      </c>
    </row>
    <row r="334" spans="2:18" x14ac:dyDescent="0.2">
      <c r="M334" t="e">
        <f>L334/(L334+K334)</f>
        <v>#DIV/0!</v>
      </c>
      <c r="N334" t="e">
        <f t="shared" si="71"/>
        <v>#DIV/0!</v>
      </c>
      <c r="O334" t="e">
        <f>E334-(SUM(K334:L334)*N334)</f>
        <v>#DIV/0!</v>
      </c>
      <c r="P334" t="e">
        <f>O334/(2*H334*J334)</f>
        <v>#DIV/0!</v>
      </c>
      <c r="Q334" t="e">
        <f>P334*16.02</f>
        <v>#DIV/0!</v>
      </c>
    </row>
    <row r="335" spans="2:18" x14ac:dyDescent="0.2">
      <c r="Q335" s="1" t="e">
        <f>AVERAGE(Q330:Q334)</f>
        <v>#DIV/0!</v>
      </c>
      <c r="R335" t="e">
        <f>STDEV(Q330:Q334)</f>
        <v>#DIV/0!</v>
      </c>
    </row>
    <row r="336" spans="2:18" x14ac:dyDescent="0.2">
      <c r="B336" t="s">
        <v>23</v>
      </c>
      <c r="M336" t="e">
        <f>L336/(L336+K336)</f>
        <v>#DIV/0!</v>
      </c>
      <c r="N336" t="e">
        <f>-4.1793-2.4352*M336</f>
        <v>#DIV/0!</v>
      </c>
      <c r="O336" t="e">
        <f>E336-(SUM(K336:L336)*N336)</f>
        <v>#DIV/0!</v>
      </c>
      <c r="P336" t="e">
        <f>O336/(2*H336*J336)</f>
        <v>#DIV/0!</v>
      </c>
      <c r="Q336" t="e">
        <f>P336*16.02</f>
        <v>#DIV/0!</v>
      </c>
    </row>
    <row r="337" spans="2:18" x14ac:dyDescent="0.2">
      <c r="M337" t="e">
        <f>L337/(L337+K337)</f>
        <v>#DIV/0!</v>
      </c>
      <c r="N337" t="e">
        <f t="shared" ref="N337:N340" si="72">-4.1793-2.4352*M337</f>
        <v>#DIV/0!</v>
      </c>
      <c r="O337" t="e">
        <f>E337-(SUM(K337:L337)*N337)</f>
        <v>#DIV/0!</v>
      </c>
      <c r="P337" t="e">
        <f>O337/(2*H337*J337)</f>
        <v>#DIV/0!</v>
      </c>
      <c r="Q337" t="e">
        <f>P337*16.02</f>
        <v>#DIV/0!</v>
      </c>
    </row>
    <row r="338" spans="2:18" x14ac:dyDescent="0.2">
      <c r="M338" t="e">
        <f>L338/(L338+K338)</f>
        <v>#DIV/0!</v>
      </c>
      <c r="N338" t="e">
        <f t="shared" si="72"/>
        <v>#DIV/0!</v>
      </c>
      <c r="O338" t="e">
        <f>E338-(SUM(K338:L338)*N338)</f>
        <v>#DIV/0!</v>
      </c>
      <c r="P338" t="e">
        <f>O338/(2*H338*J338)</f>
        <v>#DIV/0!</v>
      </c>
      <c r="Q338" t="e">
        <f>P338*16.02</f>
        <v>#DIV/0!</v>
      </c>
    </row>
    <row r="339" spans="2:18" x14ac:dyDescent="0.2">
      <c r="M339" t="e">
        <f>L339/(L339+K339)</f>
        <v>#DIV/0!</v>
      </c>
      <c r="N339" t="e">
        <f t="shared" si="72"/>
        <v>#DIV/0!</v>
      </c>
      <c r="O339" t="e">
        <f>E339-(SUM(K339:L339)*N339)</f>
        <v>#DIV/0!</v>
      </c>
      <c r="P339" t="e">
        <f>O339/(2*H339*J339)</f>
        <v>#DIV/0!</v>
      </c>
      <c r="Q339" t="e">
        <f>P339*16.02</f>
        <v>#DIV/0!</v>
      </c>
    </row>
    <row r="340" spans="2:18" x14ac:dyDescent="0.2">
      <c r="M340" t="e">
        <f>L340/(L340+K340)</f>
        <v>#DIV/0!</v>
      </c>
      <c r="N340" t="e">
        <f t="shared" si="72"/>
        <v>#DIV/0!</v>
      </c>
      <c r="O340" t="e">
        <f>E340-(SUM(K340:L340)*N340)</f>
        <v>#DIV/0!</v>
      </c>
      <c r="P340" t="e">
        <f>O340/(2*H340*J340)</f>
        <v>#DIV/0!</v>
      </c>
      <c r="Q340" t="e">
        <f>P340*16.02</f>
        <v>#DIV/0!</v>
      </c>
    </row>
    <row r="341" spans="2:18" x14ac:dyDescent="0.2">
      <c r="Q341" s="1" t="e">
        <f>AVERAGE(Q336:Q340)</f>
        <v>#DIV/0!</v>
      </c>
      <c r="R341" t="e">
        <f>STDEV(Q336:Q340)</f>
        <v>#DIV/0!</v>
      </c>
    </row>
    <row r="342" spans="2:18" x14ac:dyDescent="0.2">
      <c r="B342" t="s">
        <v>32</v>
      </c>
      <c r="M342" t="e">
        <f>L342/(L342+K342)</f>
        <v>#DIV/0!</v>
      </c>
      <c r="N342" t="e">
        <f>-4.1793-2.4352*M342</f>
        <v>#DIV/0!</v>
      </c>
      <c r="O342" t="e">
        <f>E342-(SUM(K342:L342)*N342)</f>
        <v>#DIV/0!</v>
      </c>
      <c r="P342" t="e">
        <f>O342/(2*H342*J342)</f>
        <v>#DIV/0!</v>
      </c>
      <c r="Q342" t="e">
        <f>P342*16.02</f>
        <v>#DIV/0!</v>
      </c>
    </row>
    <row r="343" spans="2:18" x14ac:dyDescent="0.2">
      <c r="M343" t="e">
        <f>L343/(L343+K343)</f>
        <v>#DIV/0!</v>
      </c>
      <c r="N343" t="e">
        <f t="shared" ref="N343:N346" si="73">-4.1793-2.4352*M343</f>
        <v>#DIV/0!</v>
      </c>
      <c r="O343" t="e">
        <f>E343-(SUM(K343:L343)*N343)</f>
        <v>#DIV/0!</v>
      </c>
      <c r="P343" t="e">
        <f>O343/(2*H343*J343)</f>
        <v>#DIV/0!</v>
      </c>
      <c r="Q343" t="e">
        <f>P343*16.02</f>
        <v>#DIV/0!</v>
      </c>
    </row>
    <row r="344" spans="2:18" x14ac:dyDescent="0.2">
      <c r="M344" t="e">
        <f>L344/(L344+K344)</f>
        <v>#DIV/0!</v>
      </c>
      <c r="N344" t="e">
        <f t="shared" si="73"/>
        <v>#DIV/0!</v>
      </c>
      <c r="O344" t="e">
        <f>E344-(SUM(K344:L344)*N344)</f>
        <v>#DIV/0!</v>
      </c>
      <c r="P344" t="e">
        <f>O344/(2*H344*J344)</f>
        <v>#DIV/0!</v>
      </c>
      <c r="Q344" t="e">
        <f>P344*16.02</f>
        <v>#DIV/0!</v>
      </c>
    </row>
    <row r="345" spans="2:18" x14ac:dyDescent="0.2">
      <c r="M345" t="e">
        <f>L345/(L345+K345)</f>
        <v>#DIV/0!</v>
      </c>
      <c r="N345" t="e">
        <f t="shared" si="73"/>
        <v>#DIV/0!</v>
      </c>
      <c r="O345" t="e">
        <f>E345-(SUM(K345:L345)*N345)</f>
        <v>#DIV/0!</v>
      </c>
      <c r="P345" t="e">
        <f>O345/(2*H345*J345)</f>
        <v>#DIV/0!</v>
      </c>
      <c r="Q345" t="e">
        <f>P345*16.02</f>
        <v>#DIV/0!</v>
      </c>
    </row>
    <row r="346" spans="2:18" x14ac:dyDescent="0.2">
      <c r="M346" t="e">
        <f>L346/(L346+K346)</f>
        <v>#DIV/0!</v>
      </c>
      <c r="N346" t="e">
        <f t="shared" si="73"/>
        <v>#DIV/0!</v>
      </c>
      <c r="O346" t="e">
        <f>E346-(SUM(K346:L346)*N346)</f>
        <v>#DIV/0!</v>
      </c>
      <c r="P346" t="e">
        <f>O346/(2*H346*J346)</f>
        <v>#DIV/0!</v>
      </c>
      <c r="Q346" t="e">
        <f>P346*16.02</f>
        <v>#DIV/0!</v>
      </c>
    </row>
    <row r="347" spans="2:18" x14ac:dyDescent="0.2">
      <c r="Q347" s="1" t="e">
        <f>AVERAGE(Q342:Q346)</f>
        <v>#DIV/0!</v>
      </c>
      <c r="R347" t="e">
        <f>STDEV(Q342:Q346)</f>
        <v>#DIV/0!</v>
      </c>
    </row>
    <row r="348" spans="2:18" x14ac:dyDescent="0.2">
      <c r="B348" t="s">
        <v>22</v>
      </c>
      <c r="M348" t="e">
        <f>L348/(L348+K348)</f>
        <v>#DIV/0!</v>
      </c>
      <c r="N348" t="e">
        <f>-4.1793-2.4352*M348</f>
        <v>#DIV/0!</v>
      </c>
      <c r="O348" t="e">
        <f>E348-(SUM(K348:L348)*N348)</f>
        <v>#DIV/0!</v>
      </c>
      <c r="P348" t="e">
        <f>O348/(2*H348*J348)</f>
        <v>#DIV/0!</v>
      </c>
      <c r="Q348" t="e">
        <f>P348*16.02</f>
        <v>#DIV/0!</v>
      </c>
    </row>
    <row r="349" spans="2:18" x14ac:dyDescent="0.2">
      <c r="M349" t="e">
        <f>L349/(L349+K349)</f>
        <v>#DIV/0!</v>
      </c>
      <c r="N349" t="e">
        <f t="shared" ref="N349:N351" si="74">-4.1793-2.4352*M349</f>
        <v>#DIV/0!</v>
      </c>
      <c r="O349" t="e">
        <f>E349-(SUM(K349:L349)*N349)</f>
        <v>#DIV/0!</v>
      </c>
      <c r="P349" t="e">
        <f>O349/(2*H349*J349)</f>
        <v>#DIV/0!</v>
      </c>
      <c r="Q349" t="e">
        <f>P349*16.02</f>
        <v>#DIV/0!</v>
      </c>
    </row>
    <row r="350" spans="2:18" x14ac:dyDescent="0.2">
      <c r="M350" t="e">
        <f>L350/(L350+K350)</f>
        <v>#DIV/0!</v>
      </c>
      <c r="N350" t="e">
        <f t="shared" si="74"/>
        <v>#DIV/0!</v>
      </c>
      <c r="O350" t="e">
        <f>E350-(SUM(K350:L350)*N350)</f>
        <v>#DIV/0!</v>
      </c>
      <c r="P350" t="e">
        <f>O350/(2*H350*J350)</f>
        <v>#DIV/0!</v>
      </c>
      <c r="Q350" t="e">
        <f>P350*16.02</f>
        <v>#DIV/0!</v>
      </c>
    </row>
    <row r="351" spans="2:18" x14ac:dyDescent="0.2">
      <c r="M351" t="e">
        <f>L351/(L351+K351)</f>
        <v>#DIV/0!</v>
      </c>
      <c r="N351" t="e">
        <f t="shared" si="74"/>
        <v>#DIV/0!</v>
      </c>
      <c r="O351" t="e">
        <f>E351-(SUM(K351:L351)*N351)</f>
        <v>#DIV/0!</v>
      </c>
      <c r="P351" t="e">
        <f>O351/(2*H351*J351)</f>
        <v>#DIV/0!</v>
      </c>
      <c r="Q351" t="e">
        <f>P351*16.02</f>
        <v>#DIV/0!</v>
      </c>
    </row>
    <row r="352" spans="2:18" x14ac:dyDescent="0.2">
      <c r="M352" t="e">
        <f>L352/(L352+K352)</f>
        <v>#DIV/0!</v>
      </c>
      <c r="N352" t="e">
        <f>-4.1793-2.4352*M352</f>
        <v>#DIV/0!</v>
      </c>
      <c r="O352" t="e">
        <f>E352-(SUM(K352:L352)*N352)</f>
        <v>#DIV/0!</v>
      </c>
      <c r="P352" t="e">
        <f>O352/(2*H352*J352)</f>
        <v>#DIV/0!</v>
      </c>
      <c r="Q352" t="e">
        <f>P352*16.02</f>
        <v>#DIV/0!</v>
      </c>
    </row>
    <row r="353" spans="2:18" x14ac:dyDescent="0.2">
      <c r="Q353" s="1" t="e">
        <f>AVERAGE(Q348:Q352)</f>
        <v>#DIV/0!</v>
      </c>
      <c r="R353" t="e">
        <f>STDEV(Q348:Q352)</f>
        <v>#DIV/0!</v>
      </c>
    </row>
    <row r="354" spans="2:18" x14ac:dyDescent="0.2">
      <c r="B354" t="s">
        <v>33</v>
      </c>
      <c r="M354" t="e">
        <f>L354/(L354+K354)</f>
        <v>#DIV/0!</v>
      </c>
      <c r="N354" t="e">
        <f>-4.1793-2.4352*M354</f>
        <v>#DIV/0!</v>
      </c>
      <c r="O354" t="e">
        <f>E354-(SUM(K354:L354)*N354)</f>
        <v>#DIV/0!</v>
      </c>
      <c r="P354" t="e">
        <f>O354/(2*H354*J354)</f>
        <v>#DIV/0!</v>
      </c>
      <c r="Q354" t="e">
        <f>P354*16.02</f>
        <v>#DIV/0!</v>
      </c>
    </row>
    <row r="355" spans="2:18" x14ac:dyDescent="0.2">
      <c r="M355" t="e">
        <f>L355/(L355+K355)</f>
        <v>#DIV/0!</v>
      </c>
      <c r="N355" t="e">
        <f t="shared" ref="N355:N358" si="75">-4.1793-2.4352*M355</f>
        <v>#DIV/0!</v>
      </c>
      <c r="O355" t="e">
        <f>E355-(SUM(K355:L355)*N355)</f>
        <v>#DIV/0!</v>
      </c>
      <c r="P355" t="e">
        <f>O355/(2*H355*J355)</f>
        <v>#DIV/0!</v>
      </c>
      <c r="Q355" t="e">
        <f>P355*16.02</f>
        <v>#DIV/0!</v>
      </c>
    </row>
    <row r="356" spans="2:18" x14ac:dyDescent="0.2">
      <c r="M356" t="e">
        <f>L356/(L356+K356)</f>
        <v>#DIV/0!</v>
      </c>
      <c r="N356" t="e">
        <f t="shared" si="75"/>
        <v>#DIV/0!</v>
      </c>
      <c r="O356" t="e">
        <f>E356-(SUM(K356:L356)*N356)</f>
        <v>#DIV/0!</v>
      </c>
      <c r="P356" t="e">
        <f>O356/(2*H356*J356)</f>
        <v>#DIV/0!</v>
      </c>
      <c r="Q356" t="e">
        <f>P356*16.02</f>
        <v>#DIV/0!</v>
      </c>
    </row>
    <row r="357" spans="2:18" x14ac:dyDescent="0.2">
      <c r="M357" t="e">
        <f>L357/(L357+K357)</f>
        <v>#DIV/0!</v>
      </c>
      <c r="N357" t="e">
        <f t="shared" si="75"/>
        <v>#DIV/0!</v>
      </c>
      <c r="O357" t="e">
        <f>E357-(SUM(K357:L357)*N357)</f>
        <v>#DIV/0!</v>
      </c>
      <c r="P357" t="e">
        <f>O357/(2*H357*J357)</f>
        <v>#DIV/0!</v>
      </c>
      <c r="Q357" t="e">
        <f>P357*16.02</f>
        <v>#DIV/0!</v>
      </c>
    </row>
    <row r="358" spans="2:18" x14ac:dyDescent="0.2">
      <c r="M358" t="e">
        <f>L358/(L358+K358)</f>
        <v>#DIV/0!</v>
      </c>
      <c r="N358" t="e">
        <f t="shared" si="75"/>
        <v>#DIV/0!</v>
      </c>
      <c r="O358" t="e">
        <f>E358-(SUM(K358:L358)*N358)</f>
        <v>#DIV/0!</v>
      </c>
      <c r="P358" t="e">
        <f>O358/(2*H358*J358)</f>
        <v>#DIV/0!</v>
      </c>
      <c r="Q358" t="e">
        <f>P358*16.02</f>
        <v>#DIV/0!</v>
      </c>
    </row>
    <row r="359" spans="2:18" x14ac:dyDescent="0.2">
      <c r="Q359" s="1" t="e">
        <f>AVERAGE(Q354:Q358)</f>
        <v>#DIV/0!</v>
      </c>
      <c r="R359" t="e">
        <f>STDEV(Q354:Q358)</f>
        <v>#DIV/0!</v>
      </c>
    </row>
    <row r="360" spans="2:18" x14ac:dyDescent="0.2">
      <c r="B360" t="s">
        <v>34</v>
      </c>
      <c r="M360" t="e">
        <f>L360/(L360+K360)</f>
        <v>#DIV/0!</v>
      </c>
      <c r="N360" t="e">
        <f>-4.1793-2.4352*M360</f>
        <v>#DIV/0!</v>
      </c>
      <c r="O360" t="e">
        <f>E360-(SUM(K360:L360)*N360)</f>
        <v>#DIV/0!</v>
      </c>
      <c r="P360" t="e">
        <f>O360/(2*H360*J360)</f>
        <v>#DIV/0!</v>
      </c>
      <c r="Q360" t="e">
        <f>P360*16.02</f>
        <v>#DIV/0!</v>
      </c>
    </row>
    <row r="361" spans="2:18" x14ac:dyDescent="0.2">
      <c r="M361" t="e">
        <f>L361/(L361+K361)</f>
        <v>#DIV/0!</v>
      </c>
      <c r="N361" t="e">
        <f t="shared" ref="N361:N364" si="76">-4.1793-2.4352*M361</f>
        <v>#DIV/0!</v>
      </c>
      <c r="O361" t="e">
        <f>E361-(SUM(K361:L361)*N361)</f>
        <v>#DIV/0!</v>
      </c>
      <c r="P361" t="e">
        <f>O361/(2*H361*J361)</f>
        <v>#DIV/0!</v>
      </c>
      <c r="Q361" t="e">
        <f>P361*16.02</f>
        <v>#DIV/0!</v>
      </c>
    </row>
    <row r="362" spans="2:18" x14ac:dyDescent="0.2">
      <c r="M362" t="e">
        <f>L362/(L362+K362)</f>
        <v>#DIV/0!</v>
      </c>
      <c r="N362" t="e">
        <f t="shared" si="76"/>
        <v>#DIV/0!</v>
      </c>
      <c r="O362" t="e">
        <f>E362-(SUM(K362:L362)*N362)</f>
        <v>#DIV/0!</v>
      </c>
      <c r="P362" t="e">
        <f>O362/(2*H362*J362)</f>
        <v>#DIV/0!</v>
      </c>
      <c r="Q362" t="e">
        <f>P362*16.02</f>
        <v>#DIV/0!</v>
      </c>
    </row>
    <row r="363" spans="2:18" x14ac:dyDescent="0.2">
      <c r="M363" t="e">
        <f>L363/(L363+K363)</f>
        <v>#DIV/0!</v>
      </c>
      <c r="N363" t="e">
        <f t="shared" si="76"/>
        <v>#DIV/0!</v>
      </c>
      <c r="O363" t="e">
        <f>E363-(SUM(K363:L363)*N363)</f>
        <v>#DIV/0!</v>
      </c>
      <c r="P363" t="e">
        <f>O363/(2*H363*J363)</f>
        <v>#DIV/0!</v>
      </c>
      <c r="Q363" t="e">
        <f>P363*16.02</f>
        <v>#DIV/0!</v>
      </c>
    </row>
    <row r="364" spans="2:18" x14ac:dyDescent="0.2">
      <c r="M364" t="e">
        <f>L364/(L364+K364)</f>
        <v>#DIV/0!</v>
      </c>
      <c r="N364" t="e">
        <f t="shared" si="76"/>
        <v>#DIV/0!</v>
      </c>
      <c r="O364" t="e">
        <f>E364-(SUM(K364:L364)*N364)</f>
        <v>#DIV/0!</v>
      </c>
      <c r="P364" t="e">
        <f>O364/(2*H364*J364)</f>
        <v>#DIV/0!</v>
      </c>
      <c r="Q364" t="e">
        <f>P364*16.02</f>
        <v>#DIV/0!</v>
      </c>
    </row>
    <row r="365" spans="2:18" x14ac:dyDescent="0.2">
      <c r="Q365" s="1" t="e">
        <f>AVERAGE(Q360:Q364)</f>
        <v>#DIV/0!</v>
      </c>
      <c r="R365" t="e">
        <f>STDEV(Q360:Q364)</f>
        <v>#DIV/0!</v>
      </c>
    </row>
    <row r="366" spans="2:18" x14ac:dyDescent="0.2">
      <c r="B366" t="s">
        <v>35</v>
      </c>
      <c r="M366" t="e">
        <f>L366/(L366+K366)</f>
        <v>#DIV/0!</v>
      </c>
      <c r="N366" t="e">
        <f>-4.1793-2.4352*M366</f>
        <v>#DIV/0!</v>
      </c>
      <c r="O366" t="e">
        <f>E366-(SUM(K366:L366)*N366)</f>
        <v>#DIV/0!</v>
      </c>
      <c r="P366" t="e">
        <f>O366/(2*H366*J366)</f>
        <v>#DIV/0!</v>
      </c>
      <c r="Q366" t="e">
        <f>P366*16.02</f>
        <v>#DIV/0!</v>
      </c>
    </row>
    <row r="367" spans="2:18" x14ac:dyDescent="0.2">
      <c r="M367" t="e">
        <f>L367/(L367+K367)</f>
        <v>#DIV/0!</v>
      </c>
      <c r="N367" t="e">
        <f t="shared" ref="N367:N370" si="77">-4.1793-2.4352*M367</f>
        <v>#DIV/0!</v>
      </c>
      <c r="O367" t="e">
        <f>E367-(SUM(K367:L367)*N367)</f>
        <v>#DIV/0!</v>
      </c>
      <c r="P367" t="e">
        <f>O367/(2*H367*J367)</f>
        <v>#DIV/0!</v>
      </c>
      <c r="Q367" t="e">
        <f>P367*16.02</f>
        <v>#DIV/0!</v>
      </c>
    </row>
    <row r="368" spans="2:18" x14ac:dyDescent="0.2">
      <c r="M368" t="e">
        <f>L368/(L368+K368)</f>
        <v>#DIV/0!</v>
      </c>
      <c r="N368" t="e">
        <f t="shared" si="77"/>
        <v>#DIV/0!</v>
      </c>
      <c r="O368" t="e">
        <f>E368-(SUM(K368:L368)*N368)</f>
        <v>#DIV/0!</v>
      </c>
      <c r="P368" t="e">
        <f>O368/(2*H368*J368)</f>
        <v>#DIV/0!</v>
      </c>
      <c r="Q368" t="e">
        <f>P368*16.02</f>
        <v>#DIV/0!</v>
      </c>
    </row>
    <row r="369" spans="2:18" x14ac:dyDescent="0.2">
      <c r="M369" t="e">
        <f>L369/(L369+K369)</f>
        <v>#DIV/0!</v>
      </c>
      <c r="N369" t="e">
        <f t="shared" si="77"/>
        <v>#DIV/0!</v>
      </c>
      <c r="O369" t="e">
        <f>E369-(SUM(K369:L369)*N369)</f>
        <v>#DIV/0!</v>
      </c>
      <c r="P369" t="e">
        <f>O369/(2*H369*J369)</f>
        <v>#DIV/0!</v>
      </c>
      <c r="Q369" t="e">
        <f>P369*16.02</f>
        <v>#DIV/0!</v>
      </c>
    </row>
    <row r="370" spans="2:18" x14ac:dyDescent="0.2">
      <c r="M370" t="e">
        <f>L370/(L370+K370)</f>
        <v>#DIV/0!</v>
      </c>
      <c r="N370" t="e">
        <f t="shared" si="77"/>
        <v>#DIV/0!</v>
      </c>
      <c r="O370" t="e">
        <f>E370-(SUM(K370:L370)*N370)</f>
        <v>#DIV/0!</v>
      </c>
      <c r="P370" t="e">
        <f>O370/(2*H370*J370)</f>
        <v>#DIV/0!</v>
      </c>
      <c r="Q370" t="e">
        <f>P370*16.02</f>
        <v>#DIV/0!</v>
      </c>
    </row>
    <row r="371" spans="2:18" x14ac:dyDescent="0.2">
      <c r="Q371" s="1" t="e">
        <f>AVERAGE(Q366:Q370)</f>
        <v>#DIV/0!</v>
      </c>
      <c r="R371" t="e">
        <f>STDEV(Q366:Q370)</f>
        <v>#DIV/0!</v>
      </c>
    </row>
    <row r="372" spans="2:18" x14ac:dyDescent="0.2">
      <c r="B372" t="s">
        <v>26</v>
      </c>
      <c r="M372" t="e">
        <f>L372/(L372+K372)</f>
        <v>#DIV/0!</v>
      </c>
      <c r="N372" t="e">
        <f>-4.1793-2.4352*M372</f>
        <v>#DIV/0!</v>
      </c>
      <c r="O372" t="e">
        <f>E372-(SUM(K372:L372)*N372)</f>
        <v>#DIV/0!</v>
      </c>
      <c r="P372" t="e">
        <f>O372/(2*H372*J372)</f>
        <v>#DIV/0!</v>
      </c>
      <c r="Q372" t="e">
        <f>P372*16.02</f>
        <v>#DIV/0!</v>
      </c>
    </row>
    <row r="373" spans="2:18" x14ac:dyDescent="0.2">
      <c r="M373" t="e">
        <f>L373/(L373+K373)</f>
        <v>#DIV/0!</v>
      </c>
      <c r="N373" t="e">
        <f t="shared" ref="N373:N376" si="78">-4.1793-2.4352*M373</f>
        <v>#DIV/0!</v>
      </c>
      <c r="O373" t="e">
        <f>E373-(SUM(K373:L373)*N373)</f>
        <v>#DIV/0!</v>
      </c>
      <c r="P373" t="e">
        <f>O373/(2*H373*J373)</f>
        <v>#DIV/0!</v>
      </c>
      <c r="Q373" t="e">
        <f>P373*16.02</f>
        <v>#DIV/0!</v>
      </c>
    </row>
    <row r="374" spans="2:18" x14ac:dyDescent="0.2">
      <c r="M374" t="e">
        <f>L374/(L374+K374)</f>
        <v>#DIV/0!</v>
      </c>
      <c r="N374" t="e">
        <f t="shared" si="78"/>
        <v>#DIV/0!</v>
      </c>
      <c r="O374" t="e">
        <f>E374-(SUM(K374:L374)*N374)</f>
        <v>#DIV/0!</v>
      </c>
      <c r="P374" t="e">
        <f>O374/(2*H374*J374)</f>
        <v>#DIV/0!</v>
      </c>
      <c r="Q374" t="e">
        <f>P374*16.02</f>
        <v>#DIV/0!</v>
      </c>
    </row>
    <row r="375" spans="2:18" x14ac:dyDescent="0.2">
      <c r="M375" t="e">
        <f>L375/(L375+K375)</f>
        <v>#DIV/0!</v>
      </c>
      <c r="N375" t="e">
        <f t="shared" si="78"/>
        <v>#DIV/0!</v>
      </c>
      <c r="O375" t="e">
        <f>E375-(SUM(K375:L375)*N375)</f>
        <v>#DIV/0!</v>
      </c>
      <c r="P375" t="e">
        <f>O375/(2*H375*J375)</f>
        <v>#DIV/0!</v>
      </c>
      <c r="Q375" t="e">
        <f>P375*16.02</f>
        <v>#DIV/0!</v>
      </c>
    </row>
    <row r="376" spans="2:18" x14ac:dyDescent="0.2">
      <c r="M376" t="e">
        <f>L376/(L376+K376)</f>
        <v>#DIV/0!</v>
      </c>
      <c r="N376" t="e">
        <f t="shared" si="78"/>
        <v>#DIV/0!</v>
      </c>
      <c r="O376" t="e">
        <f>E376-(SUM(K376:L376)*N376)</f>
        <v>#DIV/0!</v>
      </c>
      <c r="P376" t="e">
        <f>O376/(2*H376*J376)</f>
        <v>#DIV/0!</v>
      </c>
      <c r="Q376" t="e">
        <f>P376*16.02</f>
        <v>#DIV/0!</v>
      </c>
    </row>
    <row r="377" spans="2:18" x14ac:dyDescent="0.2">
      <c r="Q377" s="1" t="e">
        <f>AVERAGE(Q372:Q376)</f>
        <v>#DIV/0!</v>
      </c>
      <c r="R377" t="e">
        <f>STDEV(Q372:Q376)</f>
        <v>#DIV/0!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Z289"/>
  <sheetViews>
    <sheetView topLeftCell="D68" workbookViewId="0">
      <selection activeCell="U80" activeCellId="3" sqref="U35:V48 U50:V63 U65:V78 U80:V93"/>
    </sheetView>
  </sheetViews>
  <sheetFormatPr baseColWidth="10" defaultRowHeight="16" x14ac:dyDescent="0.2"/>
  <sheetData>
    <row r="2" spans="1:23" x14ac:dyDescent="0.2">
      <c r="A2" t="s">
        <v>48</v>
      </c>
      <c r="C2" t="s">
        <v>47</v>
      </c>
      <c r="G2" t="s">
        <v>49</v>
      </c>
      <c r="I2" t="s">
        <v>50</v>
      </c>
    </row>
    <row r="4" spans="1:23" x14ac:dyDescent="0.2">
      <c r="A4" t="s">
        <v>1</v>
      </c>
      <c r="G4" t="s">
        <v>10</v>
      </c>
      <c r="H4" t="s">
        <v>4</v>
      </c>
      <c r="I4" t="s">
        <v>5</v>
      </c>
      <c r="J4" t="s">
        <v>6</v>
      </c>
      <c r="K4" t="s">
        <v>7</v>
      </c>
      <c r="L4" t="s">
        <v>9</v>
      </c>
      <c r="R4" t="s">
        <v>28</v>
      </c>
      <c r="S4" t="s">
        <v>4</v>
      </c>
      <c r="T4" t="s">
        <v>5</v>
      </c>
      <c r="U4" t="s">
        <v>6</v>
      </c>
      <c r="V4" t="s">
        <v>7</v>
      </c>
      <c r="W4" t="s">
        <v>9</v>
      </c>
    </row>
    <row r="5" spans="1:23" x14ac:dyDescent="0.2">
      <c r="H5">
        <v>-8815.6441809999997</v>
      </c>
      <c r="I5">
        <v>41187.418743000002</v>
      </c>
      <c r="J5">
        <f>H5/2000</f>
        <v>-4.4078220904999998</v>
      </c>
      <c r="K5">
        <f>I5/2000</f>
        <v>20.593709371500001</v>
      </c>
      <c r="L5">
        <f>231/2000</f>
        <v>0.11550000000000001</v>
      </c>
      <c r="S5">
        <v>-9838.2539230000002</v>
      </c>
      <c r="T5">
        <v>38421.968067000002</v>
      </c>
      <c r="U5">
        <f>S5/2000</f>
        <v>-4.9191269615</v>
      </c>
      <c r="V5">
        <f>T5/2000</f>
        <v>19.210984033500001</v>
      </c>
      <c r="W5">
        <f>631/2000</f>
        <v>0.3155</v>
      </c>
    </row>
    <row r="6" spans="1:23" x14ac:dyDescent="0.2">
      <c r="H6">
        <v>-8770.5944749999999</v>
      </c>
      <c r="I6">
        <v>41354.507103000004</v>
      </c>
      <c r="J6">
        <f t="shared" ref="J6:K14" si="0">H6/2000</f>
        <v>-4.3852972374999997</v>
      </c>
      <c r="K6">
        <f t="shared" si="0"/>
        <v>20.677253551500002</v>
      </c>
      <c r="L6">
        <f>213/2000</f>
        <v>0.1065</v>
      </c>
      <c r="S6">
        <v>-9780.0537010000007</v>
      </c>
      <c r="T6">
        <v>38560.586092999998</v>
      </c>
      <c r="U6">
        <f t="shared" ref="U6:V14" si="1">S6/2000</f>
        <v>-4.8900268505</v>
      </c>
      <c r="V6">
        <f t="shared" si="1"/>
        <v>19.280293046499999</v>
      </c>
      <c r="W6">
        <f>608/2000</f>
        <v>0.30399999999999999</v>
      </c>
    </row>
    <row r="7" spans="1:23" x14ac:dyDescent="0.2">
      <c r="H7">
        <v>-8857.4637110000003</v>
      </c>
      <c r="I7">
        <v>41059.731702999998</v>
      </c>
      <c r="J7">
        <f t="shared" si="0"/>
        <v>-4.4287318555000006</v>
      </c>
      <c r="K7">
        <f t="shared" si="0"/>
        <v>20.529865851499999</v>
      </c>
      <c r="L7">
        <f>247/2000</f>
        <v>0.1235</v>
      </c>
      <c r="S7">
        <v>-9852.7631280000005</v>
      </c>
      <c r="T7">
        <v>38394.237419999998</v>
      </c>
      <c r="U7">
        <f t="shared" si="1"/>
        <v>-4.9263815640000006</v>
      </c>
      <c r="V7">
        <f t="shared" si="1"/>
        <v>19.197118709999998</v>
      </c>
      <c r="W7">
        <f>637/2000</f>
        <v>0.31850000000000001</v>
      </c>
    </row>
    <row r="8" spans="1:23" x14ac:dyDescent="0.2">
      <c r="H8">
        <v>-8862.4753259999998</v>
      </c>
      <c r="I8">
        <v>41048.956383999997</v>
      </c>
      <c r="J8">
        <f t="shared" si="0"/>
        <v>-4.4312376630000001</v>
      </c>
      <c r="K8">
        <f t="shared" si="0"/>
        <v>20.524478192</v>
      </c>
      <c r="L8">
        <f>249/2000</f>
        <v>0.1245</v>
      </c>
      <c r="S8">
        <v>-9736.0092929999992</v>
      </c>
      <c r="T8">
        <v>38660.681579999997</v>
      </c>
      <c r="U8">
        <f t="shared" si="1"/>
        <v>-4.8680046464999993</v>
      </c>
      <c r="V8">
        <f t="shared" si="1"/>
        <v>19.330340789999997</v>
      </c>
      <c r="W8">
        <f>590/2000</f>
        <v>0.29499999999999998</v>
      </c>
    </row>
    <row r="9" spans="1:23" x14ac:dyDescent="0.2">
      <c r="H9">
        <v>-8892.9592109999994</v>
      </c>
      <c r="I9">
        <v>40940.195649000001</v>
      </c>
      <c r="J9">
        <f t="shared" si="0"/>
        <v>-4.4464796054999995</v>
      </c>
      <c r="K9">
        <f t="shared" si="0"/>
        <v>20.470097824500002</v>
      </c>
      <c r="L9">
        <f>261/2000</f>
        <v>0.1305</v>
      </c>
      <c r="S9">
        <v>-9840.5660399999997</v>
      </c>
      <c r="T9">
        <v>38428.646085</v>
      </c>
      <c r="U9">
        <f t="shared" si="1"/>
        <v>-4.9202830200000003</v>
      </c>
      <c r="V9">
        <f t="shared" si="1"/>
        <v>19.214323042499998</v>
      </c>
      <c r="W9">
        <f>631/2000</f>
        <v>0.3155</v>
      </c>
    </row>
    <row r="10" spans="1:23" x14ac:dyDescent="0.2">
      <c r="H10">
        <v>-8856.0089700000008</v>
      </c>
      <c r="I10">
        <v>41059.467964000003</v>
      </c>
      <c r="J10">
        <f t="shared" si="0"/>
        <v>-4.4280044850000007</v>
      </c>
      <c r="K10">
        <f t="shared" si="0"/>
        <v>20.529733982000003</v>
      </c>
      <c r="L10">
        <f>246/2000</f>
        <v>0.123</v>
      </c>
      <c r="S10">
        <v>-9861.2539899999992</v>
      </c>
      <c r="T10">
        <v>38371.992688999999</v>
      </c>
      <c r="U10">
        <f t="shared" si="1"/>
        <v>-4.9306269949999999</v>
      </c>
      <c r="V10">
        <f t="shared" si="1"/>
        <v>19.185996344499998</v>
      </c>
      <c r="W10">
        <f>639/2000</f>
        <v>0.31950000000000001</v>
      </c>
    </row>
    <row r="11" spans="1:23" x14ac:dyDescent="0.2">
      <c r="H11">
        <v>-8799.1868979999999</v>
      </c>
      <c r="I11">
        <v>41277.323066999998</v>
      </c>
      <c r="J11">
        <f t="shared" si="0"/>
        <v>-4.3995934490000002</v>
      </c>
      <c r="K11">
        <f t="shared" si="0"/>
        <v>20.638661533499999</v>
      </c>
      <c r="L11">
        <f>224/2000</f>
        <v>0.112</v>
      </c>
      <c r="S11">
        <v>-9759.9409479999995</v>
      </c>
      <c r="T11">
        <v>38621.607820999998</v>
      </c>
      <c r="U11">
        <f t="shared" si="1"/>
        <v>-4.8799704739999994</v>
      </c>
      <c r="V11">
        <f t="shared" si="1"/>
        <v>19.310803910499999</v>
      </c>
      <c r="W11">
        <f>598/2000</f>
        <v>0.29899999999999999</v>
      </c>
    </row>
    <row r="12" spans="1:23" x14ac:dyDescent="0.2">
      <c r="H12">
        <v>-8800.5190079999993</v>
      </c>
      <c r="I12">
        <v>41224.010775000002</v>
      </c>
      <c r="J12">
        <f t="shared" si="0"/>
        <v>-4.4002595039999992</v>
      </c>
      <c r="K12">
        <f t="shared" si="0"/>
        <v>20.612005387500002</v>
      </c>
      <c r="L12">
        <f>225/2000</f>
        <v>0.1125</v>
      </c>
      <c r="S12">
        <v>-9867.5038659999991</v>
      </c>
      <c r="T12">
        <v>38372.612384</v>
      </c>
      <c r="U12">
        <f t="shared" si="1"/>
        <v>-4.9337519329999999</v>
      </c>
      <c r="V12">
        <f t="shared" si="1"/>
        <v>19.186306192</v>
      </c>
      <c r="W12">
        <f>641/2000</f>
        <v>0.32050000000000001</v>
      </c>
    </row>
    <row r="13" spans="1:23" x14ac:dyDescent="0.2">
      <c r="H13">
        <v>-8844.8102290000006</v>
      </c>
      <c r="I13">
        <v>41098.314730999999</v>
      </c>
      <c r="J13">
        <f t="shared" si="0"/>
        <v>-4.4224051145000001</v>
      </c>
      <c r="K13">
        <f t="shared" si="0"/>
        <v>20.549157365500001</v>
      </c>
      <c r="L13">
        <f>242/2000</f>
        <v>0.121</v>
      </c>
      <c r="S13">
        <v>-9924.6098689999999</v>
      </c>
      <c r="T13">
        <v>38254.017338999998</v>
      </c>
      <c r="U13">
        <f t="shared" si="1"/>
        <v>-4.9623049344999997</v>
      </c>
      <c r="V13">
        <f t="shared" si="1"/>
        <v>19.1270086695</v>
      </c>
      <c r="W13">
        <f>663/2000</f>
        <v>0.33150000000000002</v>
      </c>
    </row>
    <row r="14" spans="1:23" x14ac:dyDescent="0.2">
      <c r="H14">
        <v>-8857.2166460000008</v>
      </c>
      <c r="I14">
        <v>41046.661663999999</v>
      </c>
      <c r="J14">
        <f t="shared" si="0"/>
        <v>-4.4286083230000006</v>
      </c>
      <c r="K14">
        <f t="shared" si="0"/>
        <v>20.523330831999999</v>
      </c>
      <c r="L14">
        <f>247/2000</f>
        <v>0.1235</v>
      </c>
      <c r="S14">
        <v>-9783.4963289999996</v>
      </c>
      <c r="T14">
        <v>38564.233751</v>
      </c>
      <c r="U14">
        <f t="shared" si="1"/>
        <v>-4.8917481645000001</v>
      </c>
      <c r="V14">
        <f t="shared" si="1"/>
        <v>19.282116875500002</v>
      </c>
      <c r="W14">
        <f>607/2000</f>
        <v>0.30349999999999999</v>
      </c>
    </row>
    <row r="16" spans="1:23" x14ac:dyDescent="0.2">
      <c r="G16" t="s">
        <v>27</v>
      </c>
      <c r="R16" t="s">
        <v>29</v>
      </c>
      <c r="S16" t="s">
        <v>4</v>
      </c>
      <c r="T16" t="s">
        <v>5</v>
      </c>
      <c r="U16" t="s">
        <v>6</v>
      </c>
      <c r="V16" t="s">
        <v>7</v>
      </c>
      <c r="W16" t="s">
        <v>9</v>
      </c>
    </row>
    <row r="17" spans="1:23" x14ac:dyDescent="0.2">
      <c r="H17">
        <v>-9248.9294539999992</v>
      </c>
      <c r="I17">
        <v>39868.490261999999</v>
      </c>
      <c r="J17">
        <f t="shared" ref="J17:K26" si="2">H17/2000</f>
        <v>-4.6244647269999994</v>
      </c>
      <c r="K17">
        <f t="shared" si="2"/>
        <v>19.934245131000001</v>
      </c>
      <c r="L17">
        <f>400/2000</f>
        <v>0.2</v>
      </c>
      <c r="S17">
        <v>-11931.022676000001</v>
      </c>
      <c r="T17">
        <v>34602.590027999999</v>
      </c>
      <c r="U17">
        <f>S17/2000</f>
        <v>-5.9655113380000007</v>
      </c>
      <c r="V17">
        <f>T17/2000</f>
        <v>17.301295014000001</v>
      </c>
      <c r="W17">
        <f>1440/2000</f>
        <v>0.72</v>
      </c>
    </row>
    <row r="18" spans="1:23" x14ac:dyDescent="0.2">
      <c r="H18">
        <v>-9357.9152020000001</v>
      </c>
      <c r="I18">
        <v>39572.332939</v>
      </c>
      <c r="J18">
        <f t="shared" si="2"/>
        <v>-4.6789576010000005</v>
      </c>
      <c r="K18">
        <f t="shared" si="2"/>
        <v>19.786166469499999</v>
      </c>
      <c r="L18">
        <f>442/2000</f>
        <v>0.221</v>
      </c>
      <c r="S18">
        <v>-11884.271580000001</v>
      </c>
      <c r="T18">
        <v>34689.972967000002</v>
      </c>
      <c r="U18">
        <f t="shared" ref="U18:V26" si="3">S18/2000</f>
        <v>-5.94213579</v>
      </c>
      <c r="V18">
        <f t="shared" si="3"/>
        <v>17.344986483500001</v>
      </c>
      <c r="W18">
        <f>1425/2000</f>
        <v>0.71250000000000002</v>
      </c>
    </row>
    <row r="19" spans="1:23" x14ac:dyDescent="0.2">
      <c r="A19" t="s">
        <v>2</v>
      </c>
      <c r="B19" t="s">
        <v>4</v>
      </c>
      <c r="C19" t="s">
        <v>5</v>
      </c>
      <c r="D19" t="s">
        <v>6</v>
      </c>
      <c r="E19" t="s">
        <v>7</v>
      </c>
      <c r="H19">
        <v>-9330.8235069999992</v>
      </c>
      <c r="I19">
        <v>39629.868159999998</v>
      </c>
      <c r="J19">
        <f t="shared" si="2"/>
        <v>-4.6654117534999999</v>
      </c>
      <c r="K19">
        <f t="shared" si="2"/>
        <v>19.81493408</v>
      </c>
      <c r="L19">
        <f>432/2000</f>
        <v>0.216</v>
      </c>
      <c r="S19">
        <v>-11863.750724</v>
      </c>
      <c r="T19">
        <v>34711.797562</v>
      </c>
      <c r="U19">
        <f t="shared" si="3"/>
        <v>-5.9318753619999995</v>
      </c>
      <c r="V19">
        <f t="shared" si="3"/>
        <v>17.355898781</v>
      </c>
      <c r="W19">
        <f>1415/2000</f>
        <v>0.70750000000000002</v>
      </c>
    </row>
    <row r="20" spans="1:23" x14ac:dyDescent="0.2">
      <c r="D20">
        <f>B20/8192</f>
        <v>0</v>
      </c>
      <c r="E20">
        <f>C20/8192</f>
        <v>0</v>
      </c>
      <c r="H20">
        <v>-9362.3063760000005</v>
      </c>
      <c r="I20">
        <v>39568.571212000003</v>
      </c>
      <c r="J20">
        <f t="shared" si="2"/>
        <v>-4.6811531880000006</v>
      </c>
      <c r="K20">
        <f t="shared" si="2"/>
        <v>19.784285606000001</v>
      </c>
      <c r="L20">
        <f>444/2000</f>
        <v>0.222</v>
      </c>
      <c r="S20">
        <v>-11965.175341</v>
      </c>
      <c r="T20">
        <v>34561.045961000003</v>
      </c>
      <c r="U20">
        <f t="shared" si="3"/>
        <v>-5.9825876705000001</v>
      </c>
      <c r="V20">
        <f t="shared" si="3"/>
        <v>17.280522980500002</v>
      </c>
      <c r="W20">
        <f>1454/2000</f>
        <v>0.72699999999999998</v>
      </c>
    </row>
    <row r="21" spans="1:23" x14ac:dyDescent="0.2">
      <c r="D21">
        <f t="shared" ref="D21:E29" si="4">B21/8192</f>
        <v>0</v>
      </c>
      <c r="E21">
        <f t="shared" si="4"/>
        <v>0</v>
      </c>
      <c r="H21">
        <v>-9317.9515840000004</v>
      </c>
      <c r="I21">
        <v>39670.062675000001</v>
      </c>
      <c r="J21">
        <f t="shared" si="2"/>
        <v>-4.6589757920000006</v>
      </c>
      <c r="K21">
        <f t="shared" si="2"/>
        <v>19.835031337500002</v>
      </c>
      <c r="L21">
        <f>426/2000</f>
        <v>0.21299999999999999</v>
      </c>
      <c r="R21" t="s">
        <v>51</v>
      </c>
      <c r="S21">
        <v>-11938.918895000001</v>
      </c>
      <c r="T21">
        <v>34591.280680999997</v>
      </c>
      <c r="U21">
        <f t="shared" si="3"/>
        <v>-5.9694594475000002</v>
      </c>
      <c r="V21">
        <f t="shared" si="3"/>
        <v>17.295640340499997</v>
      </c>
      <c r="W21">
        <f>1445/2000</f>
        <v>0.72250000000000003</v>
      </c>
    </row>
    <row r="22" spans="1:23" x14ac:dyDescent="0.2">
      <c r="D22">
        <f t="shared" si="4"/>
        <v>0</v>
      </c>
      <c r="E22">
        <f t="shared" si="4"/>
        <v>0</v>
      </c>
      <c r="H22">
        <v>-9332.0259900000001</v>
      </c>
      <c r="I22">
        <v>39664.546113999997</v>
      </c>
      <c r="J22">
        <f t="shared" si="2"/>
        <v>-4.666012995</v>
      </c>
      <c r="K22">
        <f t="shared" si="2"/>
        <v>19.832273056999998</v>
      </c>
      <c r="L22">
        <f>432/2000</f>
        <v>0.216</v>
      </c>
      <c r="S22">
        <v>-11947.778877000001</v>
      </c>
      <c r="T22">
        <v>34590.729544000002</v>
      </c>
      <c r="U22">
        <f t="shared" si="3"/>
        <v>-5.9738894385000005</v>
      </c>
      <c r="V22">
        <f t="shared" si="3"/>
        <v>17.295364771999999</v>
      </c>
      <c r="W22">
        <f>1448/2000</f>
        <v>0.72399999999999998</v>
      </c>
    </row>
    <row r="23" spans="1:23" x14ac:dyDescent="0.2">
      <c r="D23">
        <f t="shared" si="4"/>
        <v>0</v>
      </c>
      <c r="E23">
        <f t="shared" si="4"/>
        <v>0</v>
      </c>
      <c r="H23">
        <v>-9275.1945169999999</v>
      </c>
      <c r="I23">
        <v>39783.61894</v>
      </c>
      <c r="J23">
        <f t="shared" si="2"/>
        <v>-4.6375972584999996</v>
      </c>
      <c r="K23">
        <f t="shared" si="2"/>
        <v>19.891809470000002</v>
      </c>
      <c r="L23">
        <f>409/2000</f>
        <v>0.20449999999999999</v>
      </c>
      <c r="S23">
        <v>-11896.074768</v>
      </c>
      <c r="T23">
        <v>34678.696419</v>
      </c>
      <c r="U23">
        <f t="shared" si="3"/>
        <v>-5.948037384</v>
      </c>
      <c r="V23">
        <f t="shared" si="3"/>
        <v>17.339348209499999</v>
      </c>
      <c r="W23">
        <f>1430/2000</f>
        <v>0.71499999999999997</v>
      </c>
    </row>
    <row r="24" spans="1:23" x14ac:dyDescent="0.2">
      <c r="D24">
        <f t="shared" si="4"/>
        <v>0</v>
      </c>
      <c r="E24">
        <f t="shared" si="4"/>
        <v>0</v>
      </c>
      <c r="H24">
        <v>-9295.1640889999999</v>
      </c>
      <c r="I24">
        <v>39740.941252999997</v>
      </c>
      <c r="J24">
        <f t="shared" si="2"/>
        <v>-4.6475820445</v>
      </c>
      <c r="K24">
        <f t="shared" si="2"/>
        <v>19.870470626499998</v>
      </c>
      <c r="L24">
        <f>417/2000</f>
        <v>0.20849999999999999</v>
      </c>
      <c r="S24">
        <v>-11871.273063000001</v>
      </c>
      <c r="T24">
        <v>34714.990064999998</v>
      </c>
      <c r="U24">
        <f t="shared" si="3"/>
        <v>-5.9356365315000001</v>
      </c>
      <c r="V24">
        <f t="shared" si="3"/>
        <v>17.357495032499997</v>
      </c>
      <c r="W24">
        <f>1419/2000</f>
        <v>0.70950000000000002</v>
      </c>
    </row>
    <row r="25" spans="1:23" x14ac:dyDescent="0.2">
      <c r="D25">
        <f t="shared" si="4"/>
        <v>0</v>
      </c>
      <c r="E25">
        <f t="shared" si="4"/>
        <v>0</v>
      </c>
      <c r="H25">
        <v>-9254.3999459999995</v>
      </c>
      <c r="I25">
        <v>39867.922912000002</v>
      </c>
      <c r="J25">
        <f t="shared" si="2"/>
        <v>-4.6271999729999997</v>
      </c>
      <c r="K25">
        <f t="shared" si="2"/>
        <v>19.933961456000002</v>
      </c>
      <c r="L25">
        <f>402/2000</f>
        <v>0.20100000000000001</v>
      </c>
      <c r="S25">
        <v>-11957.60331</v>
      </c>
      <c r="T25">
        <v>34572.127423999998</v>
      </c>
      <c r="U25">
        <f t="shared" si="3"/>
        <v>-5.9788016549999998</v>
      </c>
      <c r="V25">
        <f t="shared" si="3"/>
        <v>17.286063712000001</v>
      </c>
      <c r="W25">
        <f>1450/2000</f>
        <v>0.72499999999999998</v>
      </c>
    </row>
    <row r="26" spans="1:23" x14ac:dyDescent="0.2">
      <c r="D26">
        <f t="shared" si="4"/>
        <v>0</v>
      </c>
      <c r="E26">
        <f t="shared" si="4"/>
        <v>0</v>
      </c>
      <c r="H26">
        <v>-9205.2664710000008</v>
      </c>
      <c r="I26">
        <v>39993.711518999997</v>
      </c>
      <c r="J26">
        <f t="shared" si="2"/>
        <v>-4.6026332355000008</v>
      </c>
      <c r="K26">
        <f t="shared" si="2"/>
        <v>19.996855759499997</v>
      </c>
      <c r="L26">
        <f>382/2000</f>
        <v>0.191</v>
      </c>
      <c r="S26">
        <v>-11814.206856999999</v>
      </c>
      <c r="T26">
        <v>34811.912558999997</v>
      </c>
      <c r="U26">
        <f t="shared" si="3"/>
        <v>-5.9071034284999993</v>
      </c>
      <c r="V26">
        <f t="shared" si="3"/>
        <v>17.4059562795</v>
      </c>
      <c r="W26">
        <f>1397/2000</f>
        <v>0.69850000000000001</v>
      </c>
    </row>
    <row r="27" spans="1:23" x14ac:dyDescent="0.2">
      <c r="D27">
        <f t="shared" si="4"/>
        <v>0</v>
      </c>
      <c r="E27">
        <f t="shared" si="4"/>
        <v>0</v>
      </c>
    </row>
    <row r="28" spans="1:23" x14ac:dyDescent="0.2">
      <c r="D28">
        <f t="shared" si="4"/>
        <v>0</v>
      </c>
      <c r="E28">
        <f t="shared" si="4"/>
        <v>0</v>
      </c>
    </row>
    <row r="29" spans="1:23" x14ac:dyDescent="0.2">
      <c r="D29">
        <f t="shared" si="4"/>
        <v>0</v>
      </c>
      <c r="E29">
        <f t="shared" si="4"/>
        <v>0</v>
      </c>
    </row>
    <row r="30" spans="1:23" x14ac:dyDescent="0.2">
      <c r="D30">
        <f>AVERAGE(D20:D29)</f>
        <v>0</v>
      </c>
    </row>
    <row r="34" spans="2:26" x14ac:dyDescent="0.2">
      <c r="B34" s="1" t="s">
        <v>63</v>
      </c>
      <c r="S34" t="s">
        <v>53</v>
      </c>
      <c r="T34" t="s">
        <v>54</v>
      </c>
      <c r="U34" t="s">
        <v>4</v>
      </c>
      <c r="V34" t="s">
        <v>55</v>
      </c>
    </row>
    <row r="35" spans="2:26" x14ac:dyDescent="0.2">
      <c r="C35" t="s">
        <v>52</v>
      </c>
      <c r="D35" t="s">
        <v>13</v>
      </c>
      <c r="E35" t="s">
        <v>4</v>
      </c>
      <c r="F35" t="s">
        <v>5</v>
      </c>
      <c r="G35" t="s">
        <v>14</v>
      </c>
      <c r="H35" t="s">
        <v>15</v>
      </c>
      <c r="I35" t="s">
        <v>16</v>
      </c>
      <c r="J35" t="s">
        <v>17</v>
      </c>
      <c r="K35" t="s">
        <v>18</v>
      </c>
      <c r="L35" t="s">
        <v>19</v>
      </c>
      <c r="M35" t="s">
        <v>9</v>
      </c>
      <c r="N35" t="s">
        <v>20</v>
      </c>
      <c r="O35" t="s">
        <v>8</v>
      </c>
      <c r="P35" t="s">
        <v>21</v>
      </c>
      <c r="Q35" t="s">
        <v>21</v>
      </c>
      <c r="U35" t="s">
        <v>10</v>
      </c>
    </row>
    <row r="36" spans="2:26" x14ac:dyDescent="0.2">
      <c r="B36" t="s">
        <v>25</v>
      </c>
      <c r="C36">
        <v>100000</v>
      </c>
      <c r="D36">
        <v>520.48162200000002</v>
      </c>
      <c r="E36">
        <v>-17173.346615999999</v>
      </c>
      <c r="F36">
        <v>80476.793911000001</v>
      </c>
      <c r="G36">
        <v>0.276754</v>
      </c>
      <c r="H36">
        <v>31.193795000000001</v>
      </c>
      <c r="I36">
        <v>187.20665600000001</v>
      </c>
      <c r="J36">
        <v>13.781008</v>
      </c>
      <c r="K36">
        <v>3457</v>
      </c>
      <c r="L36">
        <v>447</v>
      </c>
      <c r="M36">
        <f>L36/(L36+K36)</f>
        <v>0.11449795081967214</v>
      </c>
      <c r="N36">
        <f>-4.1126-2.5598*M36</f>
        <v>-4.4056918545081967</v>
      </c>
      <c r="O36">
        <f>E36-(SUM(K36:L36)*N36)</f>
        <v>26.47438400000101</v>
      </c>
      <c r="P36">
        <f>O36/(2*H36*J36)</f>
        <v>3.079262191817583E-2</v>
      </c>
      <c r="Q36">
        <f>P36*16.02</f>
        <v>0.49329780312917676</v>
      </c>
      <c r="S36">
        <v>0</v>
      </c>
      <c r="T36" s="3"/>
      <c r="U36">
        <v>0</v>
      </c>
      <c r="X36" s="4"/>
      <c r="Z36" s="6"/>
    </row>
    <row r="37" spans="2:26" x14ac:dyDescent="0.2">
      <c r="C37">
        <v>100000</v>
      </c>
      <c r="D37">
        <v>520.49847999999997</v>
      </c>
      <c r="E37">
        <v>-17227.151257000001</v>
      </c>
      <c r="F37">
        <v>80286.375633000003</v>
      </c>
      <c r="G37">
        <v>0.33196700000000001</v>
      </c>
      <c r="H37">
        <v>31.169172</v>
      </c>
      <c r="I37">
        <v>187.058887</v>
      </c>
      <c r="J37">
        <v>13.77013</v>
      </c>
      <c r="K37">
        <v>3437</v>
      </c>
      <c r="L37">
        <v>467</v>
      </c>
      <c r="M37">
        <f>L37/(L37+K37)</f>
        <v>0.11962090163934426</v>
      </c>
      <c r="N37">
        <f t="shared" ref="N37:N40" si="5">-4.1126-2.5598*M37</f>
        <v>-4.4188055840163933</v>
      </c>
      <c r="O37">
        <f>E37-(SUM(K37:L37)*N37)</f>
        <v>23.865742999998474</v>
      </c>
      <c r="P37">
        <f>O37/(2*H37*J37)</f>
        <v>2.7802359714822044E-2</v>
      </c>
      <c r="Q37">
        <f>P37*16.02</f>
        <v>0.44539380263144912</v>
      </c>
      <c r="S37" s="2">
        <v>12.68</v>
      </c>
      <c r="T37" s="3" t="s">
        <v>36</v>
      </c>
      <c r="U37" s="4">
        <v>0.45706043226859594</v>
      </c>
      <c r="V37" s="6">
        <v>2.2208141765890359E-2</v>
      </c>
    </row>
    <row r="38" spans="2:26" x14ac:dyDescent="0.2">
      <c r="C38">
        <v>100000</v>
      </c>
      <c r="D38">
        <v>520.56435599999998</v>
      </c>
      <c r="E38">
        <v>-17349.136102</v>
      </c>
      <c r="F38">
        <v>79899.535621999996</v>
      </c>
      <c r="G38">
        <v>0.26425300000000002</v>
      </c>
      <c r="H38">
        <v>31.119032000000001</v>
      </c>
      <c r="I38">
        <v>186.75797299999999</v>
      </c>
      <c r="J38">
        <v>13.747979000000001</v>
      </c>
      <c r="K38">
        <v>3389</v>
      </c>
      <c r="L38">
        <v>515</v>
      </c>
      <c r="M38">
        <f>L38/(L38+K38)</f>
        <v>0.13191598360655737</v>
      </c>
      <c r="N38">
        <f t="shared" si="5"/>
        <v>-4.4502785348360652</v>
      </c>
      <c r="O38">
        <f>E38-(SUM(K38:L38)*N38)</f>
        <v>24.751297999999224</v>
      </c>
      <c r="P38">
        <f>O38/(2*H38*J38)</f>
        <v>2.8926976585294958E-2</v>
      </c>
      <c r="Q38">
        <f>P38*16.02</f>
        <v>0.46341016489642523</v>
      </c>
      <c r="S38" s="6">
        <v>16.260000000000002</v>
      </c>
      <c r="T38" s="3" t="s">
        <v>37</v>
      </c>
      <c r="U38" s="4">
        <v>0.46591911876639847</v>
      </c>
      <c r="V38" s="6">
        <v>2.6890259110014851E-2</v>
      </c>
      <c r="X38" s="4"/>
      <c r="Z38" s="6"/>
    </row>
    <row r="39" spans="2:26" x14ac:dyDescent="0.2">
      <c r="C39">
        <v>100000</v>
      </c>
      <c r="D39">
        <v>520.62595099999999</v>
      </c>
      <c r="E39">
        <v>-17253.053741</v>
      </c>
      <c r="F39">
        <v>80210.398447</v>
      </c>
      <c r="G39">
        <v>0.19681999999999999</v>
      </c>
      <c r="H39">
        <v>31.159338000000002</v>
      </c>
      <c r="I39">
        <v>186.999865</v>
      </c>
      <c r="J39">
        <v>13.765784999999999</v>
      </c>
      <c r="K39">
        <v>3427</v>
      </c>
      <c r="L39">
        <v>477</v>
      </c>
      <c r="M39">
        <f>L39/(L39+K39)</f>
        <v>0.12218237704918032</v>
      </c>
      <c r="N39">
        <f t="shared" si="5"/>
        <v>-4.4253624487704917</v>
      </c>
      <c r="O39">
        <f>E39-(SUM(K39:L39)*N39)</f>
        <v>23.561258999998245</v>
      </c>
      <c r="P39">
        <f>O39/(2*H39*J39)</f>
        <v>2.7464980383364906E-2</v>
      </c>
      <c r="Q39">
        <f>P39*16.02</f>
        <v>0.4399889857415058</v>
      </c>
      <c r="S39" s="2">
        <v>22.62</v>
      </c>
      <c r="T39" s="3" t="s">
        <v>38</v>
      </c>
      <c r="U39" s="4">
        <v>0.46642325060690892</v>
      </c>
      <c r="V39" s="6">
        <v>1.9255880149228733E-2</v>
      </c>
    </row>
    <row r="40" spans="2:26" x14ac:dyDescent="0.2">
      <c r="C40">
        <v>100000</v>
      </c>
      <c r="D40">
        <v>520.53011700000002</v>
      </c>
      <c r="E40">
        <v>-17211.895294000002</v>
      </c>
      <c r="F40">
        <v>80357.901557999998</v>
      </c>
      <c r="G40">
        <v>0.25907200000000002</v>
      </c>
      <c r="H40">
        <v>31.178426000000002</v>
      </c>
      <c r="I40">
        <v>187.11442099999999</v>
      </c>
      <c r="J40">
        <v>13.774217999999999</v>
      </c>
      <c r="K40">
        <v>3443</v>
      </c>
      <c r="L40">
        <v>461</v>
      </c>
      <c r="M40">
        <f>L40/(L40+K40)</f>
        <v>0.11808401639344263</v>
      </c>
      <c r="N40">
        <f t="shared" si="5"/>
        <v>-4.4148714651639338</v>
      </c>
      <c r="O40">
        <f>E40-(SUM(K40:L40)*N40)</f>
        <v>23.762905999996292</v>
      </c>
      <c r="P40">
        <f>O40/(2*H40*J40)</f>
        <v>2.76661301463435E-2</v>
      </c>
      <c r="Q40">
        <f>P40*16.02</f>
        <v>0.44321140494442285</v>
      </c>
      <c r="S40" s="6">
        <v>27.6760219742164</v>
      </c>
      <c r="T40" s="5" t="s">
        <v>39</v>
      </c>
      <c r="U40" s="4">
        <v>0.51052689022628139</v>
      </c>
      <c r="V40" s="6">
        <v>1.1402135040670513E-2</v>
      </c>
      <c r="X40" s="4"/>
    </row>
    <row r="41" spans="2:26" x14ac:dyDescent="0.2">
      <c r="Q41" s="1">
        <f>AVERAGE(Q36:Q40)</f>
        <v>0.45706043226859594</v>
      </c>
      <c r="R41">
        <f>STDEV(Q36:Q40)</f>
        <v>2.2208141765890359E-2</v>
      </c>
      <c r="S41" s="2">
        <v>36.869999999999997</v>
      </c>
      <c r="T41" s="5" t="s">
        <v>40</v>
      </c>
      <c r="U41" s="4">
        <v>0.43201438739346942</v>
      </c>
      <c r="V41" s="6">
        <v>1.3894137911562075E-2</v>
      </c>
    </row>
    <row r="42" spans="2:26" x14ac:dyDescent="0.2">
      <c r="B42" t="s">
        <v>30</v>
      </c>
      <c r="C42">
        <v>100000</v>
      </c>
      <c r="D42">
        <v>557.72861</v>
      </c>
      <c r="E42">
        <v>-13987.900383</v>
      </c>
      <c r="F42">
        <v>65123.112892999998</v>
      </c>
      <c r="G42">
        <v>8.5115999999999997E-2</v>
      </c>
      <c r="H42">
        <v>24.320368999999999</v>
      </c>
      <c r="I42">
        <v>194.606776</v>
      </c>
      <c r="J42">
        <v>13.759632</v>
      </c>
      <c r="K42">
        <v>2786</v>
      </c>
      <c r="L42">
        <v>382</v>
      </c>
      <c r="M42">
        <f>L42/(L42+K42)</f>
        <v>0.12058080808080808</v>
      </c>
      <c r="N42">
        <f>-4.1126-2.5598*M42</f>
        <v>-4.4212627525252524</v>
      </c>
      <c r="O42">
        <f>E42-(SUM(K42:L42)*N42)</f>
        <v>18.660017000000153</v>
      </c>
      <c r="P42">
        <f>O42/(2*H42*J42)</f>
        <v>2.7880789052707865E-2</v>
      </c>
      <c r="Q42">
        <f>P42*16.02</f>
        <v>0.44665024062437997</v>
      </c>
      <c r="S42" s="6">
        <v>46.145146311133402</v>
      </c>
      <c r="T42" s="5" t="s">
        <v>41</v>
      </c>
      <c r="U42" s="4">
        <v>0.53498112009255749</v>
      </c>
      <c r="V42" s="6">
        <v>3.430878986983877E-2</v>
      </c>
      <c r="X42" s="4"/>
      <c r="Z42" s="6"/>
    </row>
    <row r="43" spans="2:26" x14ac:dyDescent="0.2">
      <c r="C43">
        <v>100000</v>
      </c>
      <c r="D43">
        <v>557.68043899999998</v>
      </c>
      <c r="E43">
        <v>-14086.327122000001</v>
      </c>
      <c r="F43">
        <v>64821.073964000003</v>
      </c>
      <c r="G43">
        <v>-1.5939999999999999E-3</v>
      </c>
      <c r="H43">
        <v>24.282712</v>
      </c>
      <c r="I43">
        <v>194.30544900000001</v>
      </c>
      <c r="J43">
        <v>13.738327</v>
      </c>
      <c r="K43">
        <v>2747</v>
      </c>
      <c r="L43">
        <v>421</v>
      </c>
      <c r="M43">
        <f>L43/(L43+K43)</f>
        <v>0.13289141414141414</v>
      </c>
      <c r="N43">
        <f t="shared" ref="N43:N46" si="6">-4.1126-2.5598*M43</f>
        <v>-4.4527754419191918</v>
      </c>
      <c r="O43">
        <f>E43-(SUM(K43:L43)*N43)</f>
        <v>20.06547799999862</v>
      </c>
      <c r="P43">
        <f>O43/(2*H43*J43)</f>
        <v>3.0073811689545857E-2</v>
      </c>
      <c r="Q43">
        <f>P43*16.02</f>
        <v>0.48178246326652463</v>
      </c>
      <c r="S43" s="2">
        <v>53.13</v>
      </c>
      <c r="T43" s="5" t="s">
        <v>42</v>
      </c>
      <c r="U43" s="4">
        <v>0.47203784183508396</v>
      </c>
      <c r="V43" s="6">
        <v>2.3641957491298413E-2</v>
      </c>
    </row>
    <row r="44" spans="2:26" x14ac:dyDescent="0.2">
      <c r="C44">
        <v>100000</v>
      </c>
      <c r="D44">
        <v>557.74101700000006</v>
      </c>
      <c r="E44">
        <v>-13967.888252999999</v>
      </c>
      <c r="F44">
        <v>65189.334379</v>
      </c>
      <c r="G44">
        <v>-2.6960000000000001E-2</v>
      </c>
      <c r="H44">
        <v>24.328610000000001</v>
      </c>
      <c r="I44">
        <v>194.672718</v>
      </c>
      <c r="J44">
        <v>13.764295000000001</v>
      </c>
      <c r="K44">
        <v>2793</v>
      </c>
      <c r="L44">
        <v>375</v>
      </c>
      <c r="M44">
        <f>L44/(L44+K44)</f>
        <v>0.11837121212121213</v>
      </c>
      <c r="N44">
        <f t="shared" si="6"/>
        <v>-4.4156066287878781</v>
      </c>
      <c r="O44">
        <f>E44-(SUM(K44:L44)*N44)</f>
        <v>20.753546999998434</v>
      </c>
      <c r="P44">
        <f>O44/(2*H44*J44)</f>
        <v>3.0987823152036045E-2</v>
      </c>
      <c r="Q44">
        <f>P44*16.02</f>
        <v>0.4964249268956174</v>
      </c>
      <c r="S44" s="2">
        <v>61.71</v>
      </c>
      <c r="T44" s="5" t="s">
        <v>43</v>
      </c>
      <c r="U44" s="4">
        <v>0.58151188697169442</v>
      </c>
      <c r="V44" s="6">
        <v>5.0357849004400289E-2</v>
      </c>
    </row>
    <row r="45" spans="2:26" x14ac:dyDescent="0.2">
      <c r="C45">
        <v>100000</v>
      </c>
      <c r="D45">
        <v>557.71284500000002</v>
      </c>
      <c r="E45">
        <v>-14003.947198</v>
      </c>
      <c r="F45">
        <v>65089.872121</v>
      </c>
      <c r="G45">
        <v>0.30819400000000002</v>
      </c>
      <c r="H45">
        <v>24.316230000000001</v>
      </c>
      <c r="I45">
        <v>194.573654</v>
      </c>
      <c r="J45">
        <v>13.757291</v>
      </c>
      <c r="K45">
        <v>2780</v>
      </c>
      <c r="L45">
        <v>388</v>
      </c>
      <c r="M45">
        <f>L45/(L45+K45)</f>
        <v>0.12247474747474747</v>
      </c>
      <c r="N45">
        <f t="shared" si="6"/>
        <v>-4.426110858585858</v>
      </c>
      <c r="O45">
        <f>E45-(SUM(K45:L45)*N45)</f>
        <v>17.972001999998611</v>
      </c>
      <c r="P45">
        <f>O45/(2*H45*J45)</f>
        <v>2.686193514635337E-2</v>
      </c>
      <c r="Q45">
        <f>P45*16.02</f>
        <v>0.43032820104458097</v>
      </c>
      <c r="S45" s="6">
        <v>67.724661178359398</v>
      </c>
      <c r="T45" s="5" t="s">
        <v>44</v>
      </c>
      <c r="U45" s="4">
        <v>0.49460858753198089</v>
      </c>
      <c r="V45" s="6">
        <v>4.031486575879558E-2</v>
      </c>
    </row>
    <row r="46" spans="2:26" x14ac:dyDescent="0.2">
      <c r="C46">
        <v>100000</v>
      </c>
      <c r="D46">
        <v>557.90406499999995</v>
      </c>
      <c r="E46">
        <v>-13958.558204000001</v>
      </c>
      <c r="F46">
        <v>65244.635282000003</v>
      </c>
      <c r="G46">
        <v>1.0338E-2</v>
      </c>
      <c r="H46">
        <v>24.335488000000002</v>
      </c>
      <c r="I46">
        <v>194.72774799999999</v>
      </c>
      <c r="J46">
        <v>13.768186</v>
      </c>
      <c r="K46">
        <v>2797</v>
      </c>
      <c r="L46">
        <v>371</v>
      </c>
      <c r="M46">
        <f>L46/(L46+K46)</f>
        <v>0.11710858585858586</v>
      </c>
      <c r="N46">
        <f t="shared" si="6"/>
        <v>-4.412374558080808</v>
      </c>
      <c r="O46">
        <f>E46-(SUM(K46:L46)*N46)</f>
        <v>19.844395999998596</v>
      </c>
      <c r="P46">
        <f>O46/(2*H46*J46)</f>
        <v>2.9613593133638528E-2</v>
      </c>
      <c r="Q46">
        <f>P46*16.02</f>
        <v>0.47440976200088919</v>
      </c>
      <c r="S46" s="6">
        <v>73.933636606903903</v>
      </c>
      <c r="T46" s="5" t="s">
        <v>45</v>
      </c>
      <c r="U46" s="4">
        <v>0.4789959389859475</v>
      </c>
      <c r="V46" s="6">
        <v>2.770397306845768E-2</v>
      </c>
    </row>
    <row r="47" spans="2:26" x14ac:dyDescent="0.2">
      <c r="Q47" s="1">
        <f>AVERAGE(Q42:Q46)</f>
        <v>0.46591911876639847</v>
      </c>
      <c r="R47">
        <f>STDEV(Q42:Q46)</f>
        <v>2.6890259110014851E-2</v>
      </c>
      <c r="S47" s="2">
        <v>90</v>
      </c>
      <c r="U47" s="1">
        <v>0</v>
      </c>
    </row>
    <row r="48" spans="2:26" x14ac:dyDescent="0.2">
      <c r="B48" t="s">
        <v>24</v>
      </c>
      <c r="C48">
        <v>100000</v>
      </c>
      <c r="D48">
        <v>557.98496299999999</v>
      </c>
      <c r="E48">
        <v>-10908.433117</v>
      </c>
      <c r="F48">
        <v>50839.887272</v>
      </c>
      <c r="G48">
        <v>0.34986400000000001</v>
      </c>
      <c r="H48">
        <v>35.087221</v>
      </c>
      <c r="I48">
        <v>140.3708</v>
      </c>
      <c r="J48">
        <v>10.322349000000001</v>
      </c>
      <c r="K48">
        <v>2174</v>
      </c>
      <c r="L48">
        <v>298</v>
      </c>
      <c r="M48">
        <f>L48/(L48+K48)</f>
        <v>0.12055016181229773</v>
      </c>
      <c r="N48">
        <f>-4.1126-2.5598*M48</f>
        <v>-4.4211843042071193</v>
      </c>
      <c r="O48">
        <f>E48-(SUM(K48:L48)*N48)</f>
        <v>20.734482999998363</v>
      </c>
      <c r="P48">
        <f>O48/(2*H48*J48)</f>
        <v>2.8624354676963792E-2</v>
      </c>
      <c r="Q48">
        <f>P48*16.02</f>
        <v>0.45856216192495991</v>
      </c>
      <c r="T48" s="5" t="s">
        <v>46</v>
      </c>
      <c r="U48">
        <f>AVERAGE(U37:U46)</f>
        <v>0.48940794546789179</v>
      </c>
    </row>
    <row r="49" spans="2:22" x14ac:dyDescent="0.2">
      <c r="C49">
        <v>100000</v>
      </c>
      <c r="D49">
        <v>557.68909399999995</v>
      </c>
      <c r="E49">
        <v>-10912.993533999999</v>
      </c>
      <c r="F49">
        <v>50828.953893999998</v>
      </c>
      <c r="G49">
        <v>0.14777999999999999</v>
      </c>
      <c r="H49">
        <v>35.084707000000002</v>
      </c>
      <c r="I49">
        <v>140.36074199999999</v>
      </c>
      <c r="J49">
        <v>10.32161</v>
      </c>
      <c r="K49">
        <v>2172</v>
      </c>
      <c r="L49">
        <v>300</v>
      </c>
      <c r="M49">
        <f>L49/(L49+K49)</f>
        <v>0.12135922330097088</v>
      </c>
      <c r="N49">
        <f t="shared" ref="N49:N52" si="7">-4.1126-2.5598*M49</f>
        <v>-4.4232553398058245</v>
      </c>
      <c r="O49">
        <f>E49-(SUM(K49:L49)*N49)</f>
        <v>21.293665999999575</v>
      </c>
      <c r="P49">
        <f>O49/(2*H49*J49)</f>
        <v>2.9400528867180885E-2</v>
      </c>
      <c r="Q49">
        <f>P49*16.02</f>
        <v>0.47099647245223775</v>
      </c>
      <c r="V49" s="5"/>
    </row>
    <row r="50" spans="2:22" x14ac:dyDescent="0.2">
      <c r="C50">
        <v>100000</v>
      </c>
      <c r="D50">
        <v>557.84898799999996</v>
      </c>
      <c r="E50">
        <v>-10924.778109000001</v>
      </c>
      <c r="F50">
        <v>50793.580582000002</v>
      </c>
      <c r="G50">
        <v>0.39169999999999999</v>
      </c>
      <c r="H50">
        <v>35.076566</v>
      </c>
      <c r="I50">
        <v>140.328172</v>
      </c>
      <c r="J50">
        <v>10.319214000000001</v>
      </c>
      <c r="K50">
        <v>2167</v>
      </c>
      <c r="L50">
        <v>305</v>
      </c>
      <c r="M50">
        <f>L50/(L50+K50)</f>
        <v>0.12338187702265373</v>
      </c>
      <c r="N50">
        <f t="shared" si="7"/>
        <v>-4.4284329288025885</v>
      </c>
      <c r="O50">
        <f>E50-(SUM(K50:L50)*N50)</f>
        <v>22.308090999998967</v>
      </c>
      <c r="P50">
        <f>O50/(2*H50*J50)</f>
        <v>3.0815464855249101E-2</v>
      </c>
      <c r="Q50">
        <f>P50*16.02</f>
        <v>0.49366374698109061</v>
      </c>
      <c r="U50" t="s">
        <v>27</v>
      </c>
    </row>
    <row r="51" spans="2:22" x14ac:dyDescent="0.2">
      <c r="C51">
        <v>100000</v>
      </c>
      <c r="D51">
        <v>557.82530299999996</v>
      </c>
      <c r="E51">
        <v>-10952.789875</v>
      </c>
      <c r="F51">
        <v>50695.328311999998</v>
      </c>
      <c r="G51">
        <v>0.34132699999999999</v>
      </c>
      <c r="H51">
        <v>35.053933999999998</v>
      </c>
      <c r="I51">
        <v>140.23763299999999</v>
      </c>
      <c r="J51">
        <v>10.312557</v>
      </c>
      <c r="K51">
        <v>2157</v>
      </c>
      <c r="L51">
        <v>315</v>
      </c>
      <c r="M51">
        <f>L51/(L51+K51)</f>
        <v>0.12742718446601942</v>
      </c>
      <c r="N51">
        <f t="shared" si="7"/>
        <v>-4.4387881067961157</v>
      </c>
      <c r="O51">
        <f>E51-(SUM(K51:L51)*N51)</f>
        <v>19.89432499999748</v>
      </c>
      <c r="P51">
        <f>O51/(2*H51*J51)</f>
        <v>2.7516683345806512E-2</v>
      </c>
      <c r="Q51">
        <f>P51*16.02</f>
        <v>0.44081726719982028</v>
      </c>
      <c r="S51">
        <v>0</v>
      </c>
      <c r="T51" s="3"/>
      <c r="U51">
        <v>0</v>
      </c>
      <c r="V51" s="5"/>
    </row>
    <row r="52" spans="2:22" x14ac:dyDescent="0.2">
      <c r="C52">
        <v>100000</v>
      </c>
      <c r="D52">
        <v>557.68210499999998</v>
      </c>
      <c r="E52">
        <v>-10890.071456</v>
      </c>
      <c r="F52">
        <v>50886.204987999998</v>
      </c>
      <c r="G52">
        <v>0.32822600000000002</v>
      </c>
      <c r="H52">
        <v>35.097873</v>
      </c>
      <c r="I52">
        <v>140.41341499999999</v>
      </c>
      <c r="J52">
        <v>10.325483</v>
      </c>
      <c r="K52">
        <v>2181</v>
      </c>
      <c r="L52">
        <v>291</v>
      </c>
      <c r="M52">
        <f>L52/(L52+K52)</f>
        <v>0.11771844660194175</v>
      </c>
      <c r="N52">
        <f t="shared" si="7"/>
        <v>-4.41393567961165</v>
      </c>
      <c r="O52">
        <f>E52-(SUM(K52:L52)*N52)</f>
        <v>21.177543999998306</v>
      </c>
      <c r="P52">
        <f>O52/(2*H52*J52)</f>
        <v>2.9218264948591519E-2</v>
      </c>
      <c r="Q52">
        <f>P52*16.02</f>
        <v>0.46807660447643612</v>
      </c>
      <c r="S52" s="2">
        <v>12.68</v>
      </c>
      <c r="T52" s="3" t="s">
        <v>36</v>
      </c>
      <c r="U52" s="4">
        <v>0.50752713181259401</v>
      </c>
      <c r="V52" s="6">
        <v>3.3101341393068834E-2</v>
      </c>
    </row>
    <row r="53" spans="2:22" x14ac:dyDescent="0.2">
      <c r="Q53" s="1">
        <f>AVERAGE(Q48:Q52)</f>
        <v>0.46642325060690892</v>
      </c>
      <c r="R53">
        <f>STDEV(Q48:Q52)</f>
        <v>1.9255880149228733E-2</v>
      </c>
      <c r="S53" s="6">
        <v>16.260000000000002</v>
      </c>
      <c r="T53" s="3" t="s">
        <v>37</v>
      </c>
      <c r="U53" s="4">
        <v>0.56074345110259327</v>
      </c>
      <c r="V53" s="6">
        <v>5.1809381017635471E-2</v>
      </c>
    </row>
    <row r="54" spans="2:22" x14ac:dyDescent="0.2">
      <c r="B54" t="s">
        <v>31</v>
      </c>
      <c r="C54">
        <v>100000</v>
      </c>
      <c r="D54">
        <v>557.83746599999995</v>
      </c>
      <c r="E54">
        <v>-14260.186672</v>
      </c>
      <c r="F54">
        <v>66487.412758000006</v>
      </c>
      <c r="G54">
        <v>-9.9557999999999994E-2</v>
      </c>
      <c r="H54">
        <v>28.3721</v>
      </c>
      <c r="I54">
        <v>170.25452000000001</v>
      </c>
      <c r="J54">
        <v>13.764139999999999</v>
      </c>
      <c r="K54">
        <v>2844</v>
      </c>
      <c r="L54">
        <v>388</v>
      </c>
      <c r="M54">
        <f>L54/(L54+K54)</f>
        <v>0.12004950495049505</v>
      </c>
      <c r="N54">
        <f>-4.1126-2.5598*M54</f>
        <v>-4.4199027227722771</v>
      </c>
      <c r="O54">
        <f>E54-(SUM(K54:L54)*N54)</f>
        <v>24.938927999999578</v>
      </c>
      <c r="P54">
        <f>O54/(2*H54*J54)</f>
        <v>3.1930610526063184E-2</v>
      </c>
      <c r="Q54">
        <f>P54*16.02</f>
        <v>0.51152838062753225</v>
      </c>
      <c r="S54" s="2">
        <v>22.62</v>
      </c>
      <c r="T54" s="3" t="s">
        <v>38</v>
      </c>
      <c r="U54" s="4">
        <v>0.58066129771251918</v>
      </c>
      <c r="V54" s="6">
        <v>2.4609685294021147E-2</v>
      </c>
    </row>
    <row r="55" spans="2:22" x14ac:dyDescent="0.2">
      <c r="C55">
        <v>100000</v>
      </c>
      <c r="D55">
        <v>557.83691799999997</v>
      </c>
      <c r="E55">
        <v>-14209.453302</v>
      </c>
      <c r="F55">
        <v>66653.703370000003</v>
      </c>
      <c r="G55">
        <v>0.16156999999999999</v>
      </c>
      <c r="H55">
        <v>28.395734999999998</v>
      </c>
      <c r="I55">
        <v>170.39634599999999</v>
      </c>
      <c r="J55">
        <v>13.775606</v>
      </c>
      <c r="K55">
        <v>2864</v>
      </c>
      <c r="L55">
        <v>368</v>
      </c>
      <c r="M55">
        <f>L55/(L55+K55)</f>
        <v>0.11386138613861387</v>
      </c>
      <c r="N55">
        <f t="shared" ref="N55:N58" si="8">-4.1126-2.5598*M55</f>
        <v>-4.404062376237623</v>
      </c>
      <c r="O55">
        <f>E55-(SUM(K55:L55)*N55)</f>
        <v>24.476297999997769</v>
      </c>
      <c r="P55">
        <f>O55/(2*H55*J55)</f>
        <v>3.1286134572502504E-2</v>
      </c>
      <c r="Q55">
        <f>P55*16.02</f>
        <v>0.50120387585149007</v>
      </c>
      <c r="S55" s="6">
        <v>27.6760219742164</v>
      </c>
      <c r="T55" s="5" t="s">
        <v>39</v>
      </c>
      <c r="U55" s="4">
        <v>0.65661499860173811</v>
      </c>
      <c r="V55" s="6">
        <v>3.7705410168013681E-2</v>
      </c>
    </row>
    <row r="56" spans="2:22" x14ac:dyDescent="0.2">
      <c r="C56">
        <v>100000</v>
      </c>
      <c r="D56">
        <v>558.03009199999997</v>
      </c>
      <c r="E56">
        <v>-14265.099788</v>
      </c>
      <c r="F56">
        <v>66497.855616999994</v>
      </c>
      <c r="G56">
        <v>-0.169485</v>
      </c>
      <c r="H56">
        <v>28.373586</v>
      </c>
      <c r="I56">
        <v>170.26343700000001</v>
      </c>
      <c r="J56">
        <v>13.764861</v>
      </c>
      <c r="K56">
        <v>2842</v>
      </c>
      <c r="L56">
        <v>390</v>
      </c>
      <c r="M56">
        <f>L56/(L56+K56)</f>
        <v>0.12066831683168316</v>
      </c>
      <c r="N56">
        <f t="shared" si="8"/>
        <v>-4.4214867574257424</v>
      </c>
      <c r="O56">
        <f>E56-(SUM(K56:L56)*N56)</f>
        <v>25.145411999999851</v>
      </c>
      <c r="P56">
        <f>O56/(2*H56*J56)</f>
        <v>3.219161034949776E-2</v>
      </c>
      <c r="Q56">
        <f>P56*16.02</f>
        <v>0.51570959779895409</v>
      </c>
      <c r="S56" s="2">
        <v>36.869999999999997</v>
      </c>
      <c r="T56" s="5" t="s">
        <v>40</v>
      </c>
      <c r="U56" s="4">
        <v>0.54405218929043608</v>
      </c>
      <c r="V56" s="6">
        <v>2.407709125407706E-2</v>
      </c>
    </row>
    <row r="57" spans="2:22" x14ac:dyDescent="0.2">
      <c r="C57">
        <v>100000</v>
      </c>
      <c r="D57">
        <v>558.07474100000002</v>
      </c>
      <c r="E57">
        <v>-14258.284389</v>
      </c>
      <c r="F57">
        <v>66506.136450999998</v>
      </c>
      <c r="G57">
        <v>-1.5124E-2</v>
      </c>
      <c r="H57">
        <v>28.374763999999999</v>
      </c>
      <c r="I57">
        <v>170.27050500000001</v>
      </c>
      <c r="J57">
        <v>13.765432000000001</v>
      </c>
      <c r="K57">
        <v>2845</v>
      </c>
      <c r="L57">
        <v>387</v>
      </c>
      <c r="M57">
        <f>L57/(L57+K57)</f>
        <v>0.11974009900990099</v>
      </c>
      <c r="N57">
        <f t="shared" si="8"/>
        <v>-4.4191107054455445</v>
      </c>
      <c r="O57">
        <f>E57-(SUM(K57:L57)*N57)</f>
        <v>24.281410999999935</v>
      </c>
      <c r="P57">
        <f>O57/(2*H57*J57)</f>
        <v>3.1082920739314512E-2</v>
      </c>
      <c r="Q57">
        <f>P57*16.02</f>
        <v>0.49794839024381848</v>
      </c>
      <c r="S57" s="6">
        <v>46.145146311133402</v>
      </c>
      <c r="T57" s="5" t="s">
        <v>41</v>
      </c>
      <c r="U57" s="4">
        <v>0.67073669875619579</v>
      </c>
      <c r="V57" s="6">
        <v>1.7708737711580748E-2</v>
      </c>
    </row>
    <row r="58" spans="2:22" x14ac:dyDescent="0.2">
      <c r="C58">
        <v>100000</v>
      </c>
      <c r="D58">
        <v>557.80232599999999</v>
      </c>
      <c r="E58">
        <v>-14238.969529</v>
      </c>
      <c r="F58">
        <v>66570.187411999999</v>
      </c>
      <c r="G58">
        <v>9.4614000000000004E-2</v>
      </c>
      <c r="H58">
        <v>28.383870000000002</v>
      </c>
      <c r="I58">
        <v>170.32514599999999</v>
      </c>
      <c r="J58">
        <v>13.76985</v>
      </c>
      <c r="K58">
        <v>2852</v>
      </c>
      <c r="L58">
        <v>380</v>
      </c>
      <c r="M58">
        <f>L58/(L58+K58)</f>
        <v>0.11757425742574257</v>
      </c>
      <c r="N58">
        <f t="shared" si="8"/>
        <v>-4.4135665841584153</v>
      </c>
      <c r="O58">
        <f>E58-(SUM(K58:L58)*N58)</f>
        <v>25.677670999997645</v>
      </c>
      <c r="P58">
        <f>O58/(2*H58*J58)</f>
        <v>3.2849201411336605E-2</v>
      </c>
      <c r="Q58">
        <f>P58*16.02</f>
        <v>0.52624420660961235</v>
      </c>
      <c r="S58" s="2">
        <v>53.13</v>
      </c>
      <c r="T58" s="5" t="s">
        <v>42</v>
      </c>
      <c r="U58" s="4">
        <v>0.55736971209396313</v>
      </c>
      <c r="V58" s="6">
        <v>2.4578922397721234E-2</v>
      </c>
    </row>
    <row r="59" spans="2:22" x14ac:dyDescent="0.2">
      <c r="Q59" s="1">
        <f>AVERAGE(Q54:Q58)</f>
        <v>0.51052689022628139</v>
      </c>
      <c r="R59">
        <f>STDEV(Q54:Q58)</f>
        <v>1.1402135040670513E-2</v>
      </c>
      <c r="S59" s="2">
        <v>61.71</v>
      </c>
      <c r="T59" s="5" t="s">
        <v>43</v>
      </c>
      <c r="U59" s="4">
        <v>0.68652317783616712</v>
      </c>
      <c r="V59" s="6">
        <v>5.5158204867730071E-2</v>
      </c>
    </row>
    <row r="60" spans="2:22" x14ac:dyDescent="0.2">
      <c r="B60" t="s">
        <v>23</v>
      </c>
      <c r="C60">
        <v>100000</v>
      </c>
      <c r="D60">
        <v>557.71033299999999</v>
      </c>
      <c r="E60">
        <v>-12702.565632</v>
      </c>
      <c r="F60">
        <v>59294.178670000001</v>
      </c>
      <c r="G60">
        <v>-0.144812</v>
      </c>
      <c r="H60">
        <v>32.694011000000003</v>
      </c>
      <c r="I60">
        <v>131.17233400000001</v>
      </c>
      <c r="J60">
        <v>13.826154000000001</v>
      </c>
      <c r="K60">
        <v>2535</v>
      </c>
      <c r="L60">
        <v>345</v>
      </c>
      <c r="M60">
        <f>L60/(L60+K60)</f>
        <v>0.11979166666666667</v>
      </c>
      <c r="N60">
        <f>-4.1126-2.5598*M60</f>
        <v>-4.419242708333333</v>
      </c>
      <c r="O60">
        <f>E60-(SUM(K60:L60)*N60)</f>
        <v>24.853368000000046</v>
      </c>
      <c r="P60">
        <f>O60/(2*H60*J60)</f>
        <v>2.7490691261924296E-2</v>
      </c>
      <c r="Q60">
        <f>P60*16.02</f>
        <v>0.44040087401602723</v>
      </c>
      <c r="S60" s="6">
        <v>67.724661178359398</v>
      </c>
      <c r="T60" s="5" t="s">
        <v>44</v>
      </c>
      <c r="U60" s="4">
        <v>0.60303925733886643</v>
      </c>
      <c r="V60" s="6">
        <v>7.1084736882608565E-2</v>
      </c>
    </row>
    <row r="61" spans="2:22" x14ac:dyDescent="0.2">
      <c r="C61">
        <v>100000</v>
      </c>
      <c r="D61">
        <v>557.82530199999997</v>
      </c>
      <c r="E61">
        <v>-12626.314209</v>
      </c>
      <c r="F61">
        <v>59527.268538999997</v>
      </c>
      <c r="G61">
        <v>0.16089400000000001</v>
      </c>
      <c r="H61">
        <v>32.736795999999998</v>
      </c>
      <c r="I61">
        <v>131.34399199999999</v>
      </c>
      <c r="J61">
        <v>13.844248</v>
      </c>
      <c r="K61">
        <v>2565</v>
      </c>
      <c r="L61">
        <v>315</v>
      </c>
      <c r="M61">
        <f>L61/(L61+K61)</f>
        <v>0.109375</v>
      </c>
      <c r="N61">
        <f t="shared" ref="N61:N64" si="9">-4.1126-2.5598*M61</f>
        <v>-4.392578125</v>
      </c>
      <c r="O61">
        <f>E61-(SUM(K61:L61)*N61)</f>
        <v>24.310790999999881</v>
      </c>
      <c r="P61">
        <f>O61/(2*H61*J61)</f>
        <v>2.6820295067097464E-2</v>
      </c>
      <c r="Q61">
        <f>P61*16.02</f>
        <v>0.42966112697490139</v>
      </c>
      <c r="S61" s="6">
        <v>73.933636606903903</v>
      </c>
      <c r="T61" s="5" t="s">
        <v>45</v>
      </c>
      <c r="U61" s="4">
        <v>0.54003225299362367</v>
      </c>
      <c r="V61" s="6">
        <v>9.5407800481388139E-2</v>
      </c>
    </row>
    <row r="62" spans="2:22" x14ac:dyDescent="0.2">
      <c r="C62">
        <v>100000</v>
      </c>
      <c r="D62">
        <v>557.73832500000003</v>
      </c>
      <c r="E62">
        <v>-12735.306167000001</v>
      </c>
      <c r="F62">
        <v>59196.633809999999</v>
      </c>
      <c r="G62">
        <v>5.1126999999999999E-2</v>
      </c>
      <c r="H62">
        <v>32.676071999999998</v>
      </c>
      <c r="I62">
        <v>131.10036400000001</v>
      </c>
      <c r="J62">
        <v>13.818568000000001</v>
      </c>
      <c r="K62">
        <v>2522</v>
      </c>
      <c r="L62">
        <v>358</v>
      </c>
      <c r="M62">
        <f>L62/(L62+K62)</f>
        <v>0.12430555555555556</v>
      </c>
      <c r="N62">
        <f t="shared" si="9"/>
        <v>-4.4307973611111109</v>
      </c>
      <c r="O62">
        <f>E62-(SUM(K62:L62)*N62)</f>
        <v>25.390232999998261</v>
      </c>
      <c r="P62">
        <f>O62/(2*H62*J62)</f>
        <v>2.8115370199351546E-2</v>
      </c>
      <c r="Q62">
        <f>P62*16.02</f>
        <v>0.45040823059361174</v>
      </c>
      <c r="S62" s="2">
        <v>90</v>
      </c>
      <c r="U62" s="4">
        <v>0</v>
      </c>
    </row>
    <row r="63" spans="2:22" x14ac:dyDescent="0.2">
      <c r="C63">
        <v>100000</v>
      </c>
      <c r="D63">
        <v>557.73116100000004</v>
      </c>
      <c r="E63">
        <v>-12604.11563</v>
      </c>
      <c r="F63">
        <v>59631.164536999997</v>
      </c>
      <c r="G63">
        <v>-9.5602000000000006E-2</v>
      </c>
      <c r="H63">
        <v>32.755831000000001</v>
      </c>
      <c r="I63">
        <v>131.420365</v>
      </c>
      <c r="J63">
        <v>13.852297999999999</v>
      </c>
      <c r="K63">
        <v>2574</v>
      </c>
      <c r="L63">
        <v>306</v>
      </c>
      <c r="M63">
        <f>L63/(L63+K63)</f>
        <v>0.10625</v>
      </c>
      <c r="N63">
        <f t="shared" si="9"/>
        <v>-4.3845787499999993</v>
      </c>
      <c r="O63">
        <f>E63-(SUM(K63:L63)*N63)</f>
        <v>23.471169999997073</v>
      </c>
      <c r="P63">
        <f>O63/(2*H63*J63)</f>
        <v>2.5863916873512412E-2</v>
      </c>
      <c r="Q63">
        <f>P63*16.02</f>
        <v>0.41433994831366883</v>
      </c>
      <c r="T63" s="5" t="s">
        <v>46</v>
      </c>
      <c r="U63">
        <f>AVERAGE(U52:U61)</f>
        <v>0.59073001675386971</v>
      </c>
    </row>
    <row r="64" spans="2:22" x14ac:dyDescent="0.2">
      <c r="C64">
        <v>100000</v>
      </c>
      <c r="D64">
        <v>557.697812</v>
      </c>
      <c r="E64">
        <v>-12659.867741</v>
      </c>
      <c r="F64">
        <v>59426.330631999997</v>
      </c>
      <c r="G64">
        <v>-3.2177999999999998E-2</v>
      </c>
      <c r="H64">
        <v>32.718280999999998</v>
      </c>
      <c r="I64">
        <v>131.26971</v>
      </c>
      <c r="J64">
        <v>13.836418</v>
      </c>
      <c r="K64">
        <v>2552</v>
      </c>
      <c r="L64">
        <v>328</v>
      </c>
      <c r="M64">
        <f>L64/(L64+K64)</f>
        <v>0.11388888888888889</v>
      </c>
      <c r="N64">
        <f t="shared" si="9"/>
        <v>-4.404132777777777</v>
      </c>
      <c r="O64">
        <f>E64-(SUM(K64:L64)*N64)</f>
        <v>24.034658999997191</v>
      </c>
      <c r="P64">
        <f>O64/(2*H64*J64)</f>
        <v>2.6545677719671527E-2</v>
      </c>
      <c r="Q64">
        <f>P64*16.02</f>
        <v>0.42526175706913788</v>
      </c>
    </row>
    <row r="65" spans="2:22" x14ac:dyDescent="0.2">
      <c r="Q65" s="1">
        <f>AVERAGE(Q60:Q64)</f>
        <v>0.43201438739346942</v>
      </c>
      <c r="R65">
        <f>STDEV(Q60:Q64)</f>
        <v>1.3894137911562075E-2</v>
      </c>
      <c r="U65" t="s">
        <v>28</v>
      </c>
    </row>
    <row r="66" spans="2:22" x14ac:dyDescent="0.2">
      <c r="B66" t="s">
        <v>32</v>
      </c>
      <c r="C66">
        <v>100000</v>
      </c>
      <c r="D66">
        <v>557.80470500000001</v>
      </c>
      <c r="E66">
        <v>-16127.708782</v>
      </c>
      <c r="F66">
        <v>76074.423764000006</v>
      </c>
      <c r="G66">
        <v>0.160134</v>
      </c>
      <c r="H66">
        <v>26.255233</v>
      </c>
      <c r="I66">
        <v>210.08578700000001</v>
      </c>
      <c r="J66">
        <v>13.791957999999999</v>
      </c>
      <c r="K66">
        <v>3282</v>
      </c>
      <c r="L66">
        <v>398</v>
      </c>
      <c r="M66">
        <f>L66/(L66+K66)</f>
        <v>0.10815217391304348</v>
      </c>
      <c r="N66">
        <f>-4.1126-2.5598*M66</f>
        <v>-4.3894479347826083</v>
      </c>
      <c r="O66">
        <f>E66-(SUM(K66:L66)*N66)</f>
        <v>25.459617999998954</v>
      </c>
      <c r="P66">
        <f>O66/(2*H66*J66)</f>
        <v>3.5154431957316129E-2</v>
      </c>
      <c r="Q66">
        <f>P66*16.02</f>
        <v>0.56317399995620432</v>
      </c>
      <c r="S66">
        <v>0</v>
      </c>
      <c r="T66" s="3"/>
      <c r="U66">
        <v>0</v>
      </c>
    </row>
    <row r="67" spans="2:22" x14ac:dyDescent="0.2">
      <c r="C67">
        <v>100000</v>
      </c>
      <c r="D67">
        <v>557.78316400000006</v>
      </c>
      <c r="E67">
        <v>-16212.815269000001</v>
      </c>
      <c r="F67">
        <v>75782.776593000002</v>
      </c>
      <c r="G67">
        <v>-0.18226100000000001</v>
      </c>
      <c r="H67">
        <v>26.221639</v>
      </c>
      <c r="I67">
        <v>209.81697700000001</v>
      </c>
      <c r="J67">
        <v>13.774311000000001</v>
      </c>
      <c r="K67">
        <v>3250</v>
      </c>
      <c r="L67">
        <v>430</v>
      </c>
      <c r="M67">
        <f>L67/(L67+K67)</f>
        <v>0.11684782608695653</v>
      </c>
      <c r="N67">
        <f t="shared" ref="N67:N70" si="10">-4.1126-2.5598*M67</f>
        <v>-4.4117070652173913</v>
      </c>
      <c r="O67">
        <f>E67-(SUM(K67:L67)*N67)</f>
        <v>22.266730999999709</v>
      </c>
      <c r="P67">
        <f>O67/(2*H67*J67)</f>
        <v>3.0824550232864702E-2</v>
      </c>
      <c r="Q67">
        <f>P67*16.02</f>
        <v>0.49380929473049251</v>
      </c>
      <c r="S67" s="2">
        <v>12.68</v>
      </c>
      <c r="T67" s="3" t="s">
        <v>36</v>
      </c>
      <c r="U67" s="4">
        <v>0.57097902767953934</v>
      </c>
      <c r="V67" s="6">
        <v>6.7016483787417383E-2</v>
      </c>
    </row>
    <row r="68" spans="2:22" x14ac:dyDescent="0.2">
      <c r="C68">
        <v>100000</v>
      </c>
      <c r="D68">
        <v>557.86726399999998</v>
      </c>
      <c r="E68">
        <v>-16127.795468</v>
      </c>
      <c r="F68">
        <v>76067.643035000001</v>
      </c>
      <c r="G68">
        <v>1.4385999999999999E-2</v>
      </c>
      <c r="H68">
        <v>26.254453000000002</v>
      </c>
      <c r="I68">
        <v>210.07954599999999</v>
      </c>
      <c r="J68">
        <v>13.791549</v>
      </c>
      <c r="K68">
        <v>3283</v>
      </c>
      <c r="L68">
        <v>397</v>
      </c>
      <c r="M68">
        <f>L68/(L68+K68)</f>
        <v>0.1078804347826087</v>
      </c>
      <c r="N68">
        <f t="shared" si="10"/>
        <v>-4.3887523369565216</v>
      </c>
      <c r="O68">
        <f>E68-(SUM(K68:L68)*N68)</f>
        <v>22.813131999999314</v>
      </c>
      <c r="P68">
        <f>O68/(2*H68*J68)</f>
        <v>3.1502055808820685E-2</v>
      </c>
      <c r="Q68">
        <f>P68*16.02</f>
        <v>0.50466293405730733</v>
      </c>
      <c r="S68" s="6">
        <v>16.260000000000002</v>
      </c>
      <c r="T68" s="3" t="s">
        <v>37</v>
      </c>
      <c r="U68" s="4">
        <v>0.63936682510400411</v>
      </c>
      <c r="V68" s="6">
        <v>8.3048285914928299E-2</v>
      </c>
    </row>
    <row r="69" spans="2:22" x14ac:dyDescent="0.2">
      <c r="C69">
        <v>100000</v>
      </c>
      <c r="D69">
        <v>557.68600400000003</v>
      </c>
      <c r="E69">
        <v>-16251.571217000001</v>
      </c>
      <c r="F69">
        <v>75665.551873999997</v>
      </c>
      <c r="G69">
        <v>0.135765</v>
      </c>
      <c r="H69">
        <v>26.208110999999999</v>
      </c>
      <c r="I69">
        <v>209.708732</v>
      </c>
      <c r="J69">
        <v>13.767205000000001</v>
      </c>
      <c r="K69">
        <v>3234</v>
      </c>
      <c r="L69">
        <v>446</v>
      </c>
      <c r="M69">
        <f>L69/(L69+K69)</f>
        <v>0.12119565217391304</v>
      </c>
      <c r="N69">
        <f t="shared" si="10"/>
        <v>-4.4228366304347819</v>
      </c>
      <c r="O69">
        <f>E69-(SUM(K69:L69)*N69)</f>
        <v>24.467582999996011</v>
      </c>
      <c r="P69">
        <f>O69/(2*H69*J69)</f>
        <v>3.3906235628977391E-2</v>
      </c>
      <c r="Q69">
        <f>P69*16.02</f>
        <v>0.54317789477621781</v>
      </c>
      <c r="S69" s="2">
        <v>22.62</v>
      </c>
      <c r="T69" s="3" t="s">
        <v>38</v>
      </c>
      <c r="U69" s="4">
        <v>0.68909083532181847</v>
      </c>
      <c r="V69" s="6">
        <v>8.7236201839813524E-2</v>
      </c>
    </row>
    <row r="70" spans="2:22" x14ac:dyDescent="0.2">
      <c r="C70">
        <v>100000</v>
      </c>
      <c r="D70">
        <v>557.89643799999999</v>
      </c>
      <c r="E70">
        <v>-16250.365008000001</v>
      </c>
      <c r="F70">
        <v>75640.490135999993</v>
      </c>
      <c r="G70">
        <v>1.7080999999999999E-2</v>
      </c>
      <c r="H70">
        <v>26.205217999999999</v>
      </c>
      <c r="I70">
        <v>209.68558100000001</v>
      </c>
      <c r="J70">
        <v>13.765685</v>
      </c>
      <c r="K70">
        <v>3234</v>
      </c>
      <c r="L70">
        <v>446</v>
      </c>
      <c r="M70">
        <f>L70/(L70+K70)</f>
        <v>0.12119565217391304</v>
      </c>
      <c r="N70">
        <f t="shared" si="10"/>
        <v>-4.4228366304347819</v>
      </c>
      <c r="O70">
        <f>E70-(SUM(K70:L70)*N70)</f>
        <v>25.673791999995956</v>
      </c>
      <c r="P70">
        <f>O70/(2*H70*J70)</f>
        <v>3.5585610296040265E-2</v>
      </c>
      <c r="Q70">
        <f>P70*16.02</f>
        <v>0.57008147694256506</v>
      </c>
      <c r="S70" s="6">
        <v>27.6760219742164</v>
      </c>
      <c r="T70" s="5" t="s">
        <v>39</v>
      </c>
      <c r="U70" s="4">
        <v>0.76757343220759666</v>
      </c>
      <c r="V70" s="6">
        <v>6.0609027169169882E-2</v>
      </c>
    </row>
    <row r="71" spans="2:22" x14ac:dyDescent="0.2">
      <c r="Q71" s="1">
        <f>AVERAGE(Q66:Q70)</f>
        <v>0.53498112009255749</v>
      </c>
      <c r="R71">
        <f>STDEV(Q66:Q70)</f>
        <v>3.430878986983877E-2</v>
      </c>
      <c r="S71" s="2">
        <v>36.869999999999997</v>
      </c>
      <c r="T71" s="5" t="s">
        <v>40</v>
      </c>
      <c r="U71" s="4">
        <v>0.59620290292520317</v>
      </c>
      <c r="V71" s="6">
        <v>3.4585136763438662E-2</v>
      </c>
    </row>
    <row r="72" spans="2:22" x14ac:dyDescent="0.2">
      <c r="B72" t="s">
        <v>22</v>
      </c>
      <c r="C72">
        <v>100000</v>
      </c>
      <c r="D72">
        <v>520.59887200000003</v>
      </c>
      <c r="E72">
        <v>-16617.315924999999</v>
      </c>
      <c r="F72">
        <v>77776.275447000007</v>
      </c>
      <c r="G72">
        <v>0.34552300000000002</v>
      </c>
      <c r="H72">
        <v>30.700437999999998</v>
      </c>
      <c r="I72">
        <v>92.259818999999993</v>
      </c>
      <c r="J72">
        <v>27.459320000000002</v>
      </c>
      <c r="K72">
        <v>3330</v>
      </c>
      <c r="L72">
        <v>446</v>
      </c>
      <c r="M72">
        <f>L72/(L72+K72)</f>
        <v>0.11811440677966102</v>
      </c>
      <c r="N72">
        <f>-4.1126-2.5598*M72</f>
        <v>-4.414949258474576</v>
      </c>
      <c r="O72">
        <f>E72-(SUM(K72:L72)*N72)</f>
        <v>53.532474999999977</v>
      </c>
      <c r="P72">
        <f>O72/(2*H72*J72)</f>
        <v>3.1750676086684547E-2</v>
      </c>
      <c r="Q72">
        <f>P72*16.02</f>
        <v>0.50864583090868642</v>
      </c>
      <c r="S72" s="6">
        <v>46.145146311133402</v>
      </c>
      <c r="T72" s="5" t="s">
        <v>41</v>
      </c>
      <c r="U72" s="4">
        <v>0.77328586458369808</v>
      </c>
      <c r="V72" s="6">
        <v>0.13201589602376398</v>
      </c>
    </row>
    <row r="73" spans="2:22" x14ac:dyDescent="0.2">
      <c r="C73">
        <v>100000</v>
      </c>
      <c r="D73">
        <v>520.53140099999996</v>
      </c>
      <c r="E73">
        <v>-16567.516833999998</v>
      </c>
      <c r="F73">
        <v>77939.988815000004</v>
      </c>
      <c r="G73">
        <v>0.20253699999999999</v>
      </c>
      <c r="H73">
        <v>30.721965000000001</v>
      </c>
      <c r="I73">
        <v>92.324507999999994</v>
      </c>
      <c r="J73">
        <v>27.478573999999998</v>
      </c>
      <c r="K73">
        <v>3352</v>
      </c>
      <c r="L73">
        <v>424</v>
      </c>
      <c r="M73">
        <f>L73/(L73+K73)</f>
        <v>0.11228813559322035</v>
      </c>
      <c r="N73">
        <f t="shared" ref="N73:N76" si="11">-4.1126-2.5598*M73</f>
        <v>-4.4000351694915247</v>
      </c>
      <c r="O73">
        <f>E73-(SUM(K73:L73)*N73)</f>
        <v>47.015965999999025</v>
      </c>
      <c r="P73">
        <f>O73/(2*H73*J73)</f>
        <v>2.7846600652693645E-2</v>
      </c>
      <c r="Q73">
        <f>P73*16.02</f>
        <v>0.44610254245615216</v>
      </c>
      <c r="S73" s="2">
        <v>53.13</v>
      </c>
      <c r="T73" s="5" t="s">
        <v>42</v>
      </c>
      <c r="U73" s="4">
        <v>0.66920414238917059</v>
      </c>
      <c r="V73" s="6">
        <v>2.5359374795501856E-2</v>
      </c>
    </row>
    <row r="74" spans="2:22" x14ac:dyDescent="0.2">
      <c r="C74">
        <v>100000</v>
      </c>
      <c r="D74">
        <v>520.52927899999997</v>
      </c>
      <c r="E74">
        <v>-16600.541343000001</v>
      </c>
      <c r="F74">
        <v>77846.897467000003</v>
      </c>
      <c r="G74">
        <v>0.28830800000000001</v>
      </c>
      <c r="H74">
        <v>30.709727999999998</v>
      </c>
      <c r="I74">
        <v>92.287734999999998</v>
      </c>
      <c r="J74">
        <v>27.467628999999999</v>
      </c>
      <c r="K74">
        <v>3338</v>
      </c>
      <c r="L74">
        <v>438</v>
      </c>
      <c r="M74">
        <f>L74/(L74+K74)</f>
        <v>0.1159957627118644</v>
      </c>
      <c r="N74">
        <f t="shared" si="11"/>
        <v>-4.4095259533898297</v>
      </c>
      <c r="O74">
        <f>E74-(SUM(K74:L74)*N74)</f>
        <v>49.828656999994564</v>
      </c>
      <c r="P74">
        <f>O74/(2*H74*J74)</f>
        <v>2.9536024780453966E-2</v>
      </c>
      <c r="Q74">
        <f>P74*16.02</f>
        <v>0.4731671169828725</v>
      </c>
      <c r="S74" s="2">
        <v>61.71</v>
      </c>
      <c r="T74" s="5" t="s">
        <v>43</v>
      </c>
      <c r="U74" s="4">
        <v>0.80517431410977802</v>
      </c>
      <c r="V74" s="6">
        <v>8.4120321478331206E-2</v>
      </c>
    </row>
    <row r="75" spans="2:22" x14ac:dyDescent="0.2">
      <c r="C75">
        <v>100000</v>
      </c>
      <c r="D75">
        <v>520.57249100000001</v>
      </c>
      <c r="E75">
        <v>-16531.161940000002</v>
      </c>
      <c r="F75">
        <v>78049.891342999996</v>
      </c>
      <c r="G75">
        <v>0.267121</v>
      </c>
      <c r="H75">
        <v>30.736397</v>
      </c>
      <c r="I75">
        <v>92.367880999999997</v>
      </c>
      <c r="J75">
        <v>27.491482999999999</v>
      </c>
      <c r="K75">
        <v>3365</v>
      </c>
      <c r="L75">
        <v>411</v>
      </c>
      <c r="M75">
        <f>L75/(L75+K75)</f>
        <v>0.10884533898305085</v>
      </c>
      <c r="N75">
        <f t="shared" si="11"/>
        <v>-4.3912222987288132</v>
      </c>
      <c r="O75">
        <f>E75-(SUM(K75:L75)*N75)</f>
        <v>50.093459999996412</v>
      </c>
      <c r="P75">
        <f>O75/(2*H75*J75)</f>
        <v>2.9641481700250747E-2</v>
      </c>
      <c r="Q75">
        <f>P75*16.02</f>
        <v>0.47485653683801693</v>
      </c>
      <c r="S75" s="6">
        <v>67.724661178359398</v>
      </c>
      <c r="T75" s="5" t="s">
        <v>44</v>
      </c>
      <c r="U75" s="4">
        <v>0.69790063095787203</v>
      </c>
      <c r="V75" s="6">
        <v>5.9503411761576773E-2</v>
      </c>
    </row>
    <row r="76" spans="2:22" x14ac:dyDescent="0.2">
      <c r="C76">
        <v>100000</v>
      </c>
      <c r="D76">
        <v>520.62519399999996</v>
      </c>
      <c r="E76">
        <v>-16645.793409000002</v>
      </c>
      <c r="F76">
        <v>77660.654043999995</v>
      </c>
      <c r="G76">
        <v>0.36524600000000002</v>
      </c>
      <c r="H76">
        <v>30.685217999999999</v>
      </c>
      <c r="I76">
        <v>92.214078000000001</v>
      </c>
      <c r="J76">
        <v>27.445706999999999</v>
      </c>
      <c r="K76">
        <v>3321</v>
      </c>
      <c r="L76">
        <v>455</v>
      </c>
      <c r="M76">
        <f>L76/(L76+K76)</f>
        <v>0.1204978813559322</v>
      </c>
      <c r="N76">
        <f t="shared" si="11"/>
        <v>-4.4210504766949148</v>
      </c>
      <c r="O76">
        <f>E76-(SUM(K76:L76)*N76)</f>
        <v>48.093190999996295</v>
      </c>
      <c r="P76">
        <f>O76/(2*H76*J76)</f>
        <v>2.855288277089214E-2</v>
      </c>
      <c r="Q76">
        <f>P76*16.02</f>
        <v>0.45741718198969206</v>
      </c>
      <c r="S76" s="6">
        <v>73.933636606903903</v>
      </c>
      <c r="T76" s="5" t="s">
        <v>45</v>
      </c>
      <c r="U76" s="4">
        <v>0.67449775176125093</v>
      </c>
      <c r="V76" s="6">
        <v>8.3495505551627047E-2</v>
      </c>
    </row>
    <row r="77" spans="2:22" x14ac:dyDescent="0.2">
      <c r="Q77" s="1">
        <f>AVERAGE(Q72:Q76)</f>
        <v>0.47203784183508396</v>
      </c>
      <c r="R77">
        <f>STDEV(Q72:Q76)</f>
        <v>2.3641957491298413E-2</v>
      </c>
      <c r="S77" s="2">
        <v>90</v>
      </c>
      <c r="U77" s="1">
        <v>0</v>
      </c>
    </row>
    <row r="78" spans="2:22" x14ac:dyDescent="0.2">
      <c r="B78" t="s">
        <v>33</v>
      </c>
      <c r="C78">
        <v>100000</v>
      </c>
      <c r="D78">
        <v>557.74039300000004</v>
      </c>
      <c r="E78">
        <v>-28584.377893000001</v>
      </c>
      <c r="F78">
        <v>133636.01511800001</v>
      </c>
      <c r="G78">
        <v>-3.8710000000000001E-2</v>
      </c>
      <c r="H78">
        <v>40.187212000000002</v>
      </c>
      <c r="I78">
        <v>241.189134</v>
      </c>
      <c r="J78">
        <v>13.787254000000001</v>
      </c>
      <c r="K78">
        <v>5730</v>
      </c>
      <c r="L78">
        <v>758</v>
      </c>
      <c r="M78">
        <f>L78/(L78+K78)</f>
        <v>0.11683107274969173</v>
      </c>
      <c r="N78">
        <f>-4.1126-2.5598*M78</f>
        <v>-4.4116641800246601</v>
      </c>
      <c r="O78">
        <f>E78-(SUM(K78:L78)*N78)</f>
        <v>38.499306999994587</v>
      </c>
      <c r="P78">
        <f>O78/(2*H78*J78)</f>
        <v>3.4742195672266107E-2</v>
      </c>
      <c r="Q78">
        <f>P78*16.02</f>
        <v>0.55656997466970304</v>
      </c>
      <c r="T78" s="5" t="s">
        <v>46</v>
      </c>
      <c r="U78">
        <f>AVERAGE(U67:U76)</f>
        <v>0.68832757270399325</v>
      </c>
    </row>
    <row r="79" spans="2:22" x14ac:dyDescent="0.2">
      <c r="C79">
        <v>100000</v>
      </c>
      <c r="D79">
        <v>557.80793400000005</v>
      </c>
      <c r="E79">
        <v>-28670.592361999999</v>
      </c>
      <c r="F79">
        <v>133323.89530999999</v>
      </c>
      <c r="G79">
        <v>2.9100000000000001E-2</v>
      </c>
      <c r="H79">
        <v>40.155901</v>
      </c>
      <c r="I79">
        <v>241.001216</v>
      </c>
      <c r="J79">
        <v>13.776512</v>
      </c>
      <c r="K79">
        <v>5694</v>
      </c>
      <c r="L79">
        <v>794</v>
      </c>
      <c r="M79">
        <f>L79/(L79+K79)</f>
        <v>0.12237977805178792</v>
      </c>
      <c r="N79">
        <f t="shared" ref="N79:N82" si="12">-4.1126-2.5598*M79</f>
        <v>-4.4258677558569666</v>
      </c>
      <c r="O79">
        <f>E79-(SUM(K79:L79)*N79)</f>
        <v>44.437637999999424</v>
      </c>
      <c r="P79">
        <f>O79/(2*H79*J79)</f>
        <v>4.0163571168326806E-2</v>
      </c>
      <c r="Q79">
        <f>P79*16.02</f>
        <v>0.64342041011659545</v>
      </c>
    </row>
    <row r="80" spans="2:22" x14ac:dyDescent="0.2">
      <c r="C80">
        <v>100000</v>
      </c>
      <c r="D80">
        <v>557.77110200000004</v>
      </c>
      <c r="E80">
        <v>-28710.213607000002</v>
      </c>
      <c r="F80">
        <v>133198.51009600001</v>
      </c>
      <c r="G80">
        <v>7.8003000000000003E-2</v>
      </c>
      <c r="H80">
        <v>40.143309000000002</v>
      </c>
      <c r="I80">
        <v>240.92564300000001</v>
      </c>
      <c r="J80">
        <v>13.772192</v>
      </c>
      <c r="K80">
        <v>5682</v>
      </c>
      <c r="L80">
        <v>806</v>
      </c>
      <c r="M80">
        <f>L80/(L80+K80)</f>
        <v>0.12422934648581997</v>
      </c>
      <c r="N80">
        <f t="shared" si="12"/>
        <v>-4.4306022811344015</v>
      </c>
      <c r="O80">
        <f>E80-(SUM(K80:L80)*N80)</f>
        <v>35.533992999993643</v>
      </c>
      <c r="P80">
        <f>O80/(2*H80*J80)</f>
        <v>3.2136441096368401E-2</v>
      </c>
      <c r="Q80">
        <f>P80*16.02</f>
        <v>0.51482578636382181</v>
      </c>
      <c r="U80" t="s">
        <v>29</v>
      </c>
    </row>
    <row r="81" spans="2:22" x14ac:dyDescent="0.2">
      <c r="C81">
        <v>100000</v>
      </c>
      <c r="D81">
        <v>557.88552900000002</v>
      </c>
      <c r="E81">
        <v>-28690.395498999998</v>
      </c>
      <c r="F81">
        <v>133245.831416</v>
      </c>
      <c r="G81">
        <v>7.4260000000000003E-3</v>
      </c>
      <c r="H81">
        <v>40.148062000000003</v>
      </c>
      <c r="I81">
        <v>240.954171</v>
      </c>
      <c r="J81">
        <v>13.773823</v>
      </c>
      <c r="K81">
        <v>5687</v>
      </c>
      <c r="L81">
        <v>801</v>
      </c>
      <c r="M81">
        <f>L81/(L81+K81)</f>
        <v>0.12345869297163994</v>
      </c>
      <c r="N81">
        <f t="shared" si="12"/>
        <v>-4.4286295622688039</v>
      </c>
      <c r="O81">
        <f>E81-(SUM(K81:L81)*N81)</f>
        <v>42.553101000001334</v>
      </c>
      <c r="P81">
        <f>O81/(2*H81*J81)</f>
        <v>3.8475310611785656E-2</v>
      </c>
      <c r="Q81">
        <f>P81*16.02</f>
        <v>0.61637447600080619</v>
      </c>
      <c r="S81">
        <v>0</v>
      </c>
      <c r="T81" s="3"/>
      <c r="U81">
        <v>0</v>
      </c>
    </row>
    <row r="82" spans="2:22" x14ac:dyDescent="0.2">
      <c r="C82">
        <v>100000</v>
      </c>
      <c r="D82">
        <v>557.76801</v>
      </c>
      <c r="E82">
        <v>-28549.704733999999</v>
      </c>
      <c r="F82">
        <v>133767.89329400001</v>
      </c>
      <c r="G82">
        <v>-6.8000000000000005E-4</v>
      </c>
      <c r="H82">
        <v>40.200428000000002</v>
      </c>
      <c r="I82">
        <v>241.26845</v>
      </c>
      <c r="J82">
        <v>13.791788</v>
      </c>
      <c r="K82">
        <v>5743</v>
      </c>
      <c r="L82">
        <v>745</v>
      </c>
      <c r="M82">
        <f>L82/(L82+K82)</f>
        <v>0.11482737361282368</v>
      </c>
      <c r="N82">
        <f t="shared" si="12"/>
        <v>-4.4065351109741053</v>
      </c>
      <c r="O82">
        <f>E82-(SUM(K82:L82)*N82)</f>
        <v>39.895065999997314</v>
      </c>
      <c r="P82">
        <f>O82/(2*H82*J82)</f>
        <v>3.5978076635926691E-2</v>
      </c>
      <c r="Q82">
        <f>P82*16.02</f>
        <v>0.57636878770754563</v>
      </c>
      <c r="S82" s="2">
        <v>12.68</v>
      </c>
      <c r="T82" s="3" t="s">
        <v>36</v>
      </c>
      <c r="U82" s="4">
        <v>1.0828021673624695</v>
      </c>
      <c r="V82" s="6">
        <v>0.14552560197230077</v>
      </c>
    </row>
    <row r="83" spans="2:22" x14ac:dyDescent="0.2">
      <c r="Q83" s="1">
        <f>AVERAGE(Q78:Q82)</f>
        <v>0.58151188697169442</v>
      </c>
      <c r="R83">
        <f>STDEV(Q78:Q82)</f>
        <v>5.0357849004400289E-2</v>
      </c>
      <c r="S83" s="6">
        <v>16.260000000000002</v>
      </c>
      <c r="T83" s="3" t="s">
        <v>37</v>
      </c>
      <c r="U83" s="4">
        <v>1.3118367667481547</v>
      </c>
      <c r="V83" s="6">
        <v>0.10284645179275025</v>
      </c>
    </row>
    <row r="84" spans="2:22" x14ac:dyDescent="0.2">
      <c r="B84" t="s">
        <v>34</v>
      </c>
      <c r="C84">
        <v>100000</v>
      </c>
      <c r="D84">
        <v>557.66758000000004</v>
      </c>
      <c r="E84">
        <v>-14504.078764</v>
      </c>
      <c r="F84">
        <v>67899.340530999994</v>
      </c>
      <c r="G84">
        <v>-0.13070200000000001</v>
      </c>
      <c r="H84">
        <v>24.823066000000001</v>
      </c>
      <c r="I84">
        <v>198.62838500000001</v>
      </c>
      <c r="J84">
        <v>13.771100000000001</v>
      </c>
      <c r="K84">
        <v>2916</v>
      </c>
      <c r="L84">
        <v>380</v>
      </c>
      <c r="M84">
        <f>L84/(L84+K84)</f>
        <v>0.11529126213592233</v>
      </c>
      <c r="N84">
        <f>-4.1126-2.5598*M84</f>
        <v>-4.4077225728155334</v>
      </c>
      <c r="O84">
        <f>E84-(SUM(K84:L84)*N84)</f>
        <v>23.774835999998686</v>
      </c>
      <c r="P84">
        <f>O84/(2*H84*J84)</f>
        <v>3.4774707060239905E-2</v>
      </c>
      <c r="Q84">
        <f>P84*16.02</f>
        <v>0.55709080710504322</v>
      </c>
      <c r="S84" s="2">
        <v>22.62</v>
      </c>
      <c r="T84" s="3" t="s">
        <v>38</v>
      </c>
      <c r="U84" s="4">
        <v>1.1630235038816672</v>
      </c>
      <c r="V84" s="6">
        <v>0.10731215149637585</v>
      </c>
    </row>
    <row r="85" spans="2:22" x14ac:dyDescent="0.2">
      <c r="C85">
        <v>100000</v>
      </c>
      <c r="D85">
        <v>557.77514799999994</v>
      </c>
      <c r="E85">
        <v>-14542.655808</v>
      </c>
      <c r="F85">
        <v>67782.179499000005</v>
      </c>
      <c r="G85">
        <v>8.1268000000000007E-2</v>
      </c>
      <c r="H85">
        <v>24.808779999999999</v>
      </c>
      <c r="I85">
        <v>198.514071</v>
      </c>
      <c r="J85">
        <v>13.763175</v>
      </c>
      <c r="K85">
        <v>2902</v>
      </c>
      <c r="L85">
        <v>394</v>
      </c>
      <c r="M85">
        <f>L85/(L85+K85)</f>
        <v>0.11953883495145631</v>
      </c>
      <c r="N85">
        <f t="shared" ref="N85:N88" si="13">-4.1126-2.5598*M85</f>
        <v>-4.4185955097087373</v>
      </c>
      <c r="O85">
        <f>E85-(SUM(K85:L85)*N85)</f>
        <v>21.034991999998965</v>
      </c>
      <c r="P85">
        <f>O85/(2*H85*J85)</f>
        <v>3.080266663234655E-2</v>
      </c>
      <c r="Q85">
        <f>P85*16.02</f>
        <v>0.49345871945019171</v>
      </c>
      <c r="S85" s="6">
        <v>27.6760219742164</v>
      </c>
      <c r="T85" s="5" t="s">
        <v>39</v>
      </c>
      <c r="U85" s="4">
        <v>1.4313400991924428</v>
      </c>
      <c r="V85" s="6">
        <v>0.16201194246375203</v>
      </c>
    </row>
    <row r="86" spans="2:22" x14ac:dyDescent="0.2">
      <c r="C86">
        <v>100000</v>
      </c>
      <c r="D86">
        <v>557.83628299999998</v>
      </c>
      <c r="E86">
        <v>-14495.843817999999</v>
      </c>
      <c r="F86">
        <v>67946.465576000002</v>
      </c>
      <c r="G86">
        <v>0.14509900000000001</v>
      </c>
      <c r="H86">
        <v>24.828807000000001</v>
      </c>
      <c r="I86">
        <v>198.67432500000001</v>
      </c>
      <c r="J86">
        <v>13.774285000000001</v>
      </c>
      <c r="K86">
        <v>2921</v>
      </c>
      <c r="L86">
        <v>375</v>
      </c>
      <c r="M86">
        <f>L86/(L86+K86)</f>
        <v>0.1137742718446602</v>
      </c>
      <c r="N86">
        <f t="shared" si="13"/>
        <v>-4.4038393810679608</v>
      </c>
      <c r="O86">
        <f>E86-(SUM(K86:L86)*N86)</f>
        <v>19.210782000000108</v>
      </c>
      <c r="P86">
        <f>O86/(2*H86*J86)</f>
        <v>2.8086015477606655E-2</v>
      </c>
      <c r="Q86">
        <f>P86*16.02</f>
        <v>0.44993796795125857</v>
      </c>
      <c r="S86" s="2">
        <v>36.869999999999997</v>
      </c>
      <c r="T86" s="5" t="s">
        <v>40</v>
      </c>
      <c r="U86" s="4">
        <v>1.1723719621174393</v>
      </c>
      <c r="V86" s="6">
        <v>9.2832162818535707E-2</v>
      </c>
    </row>
    <row r="87" spans="2:22" x14ac:dyDescent="0.2">
      <c r="C87">
        <v>100000</v>
      </c>
      <c r="D87">
        <v>557.85002299999996</v>
      </c>
      <c r="E87">
        <v>-14603.78458</v>
      </c>
      <c r="F87">
        <v>67615.683975000007</v>
      </c>
      <c r="G87">
        <v>1.882E-2</v>
      </c>
      <c r="H87">
        <v>24.788450000000001</v>
      </c>
      <c r="I87">
        <v>198.35139899999999</v>
      </c>
      <c r="J87">
        <v>13.751897</v>
      </c>
      <c r="K87">
        <v>2878</v>
      </c>
      <c r="L87">
        <v>418</v>
      </c>
      <c r="M87">
        <f>L87/(L87+K87)</f>
        <v>0.12682038834951456</v>
      </c>
      <c r="N87">
        <f t="shared" si="13"/>
        <v>-4.4372348300970872</v>
      </c>
      <c r="O87">
        <f>E87-(SUM(K87:L87)*N87)</f>
        <v>21.341420000000653</v>
      </c>
      <c r="P87">
        <f>O87/(2*H87*J87)</f>
        <v>3.1302666533292861E-2</v>
      </c>
      <c r="Q87">
        <f>P87*16.02</f>
        <v>0.50146871786335168</v>
      </c>
      <c r="S87" s="6">
        <v>46.145146311133402</v>
      </c>
      <c r="T87" s="5" t="s">
        <v>41</v>
      </c>
      <c r="U87" s="4">
        <v>1.3904437175838995</v>
      </c>
      <c r="V87" s="6">
        <v>0.15707334343010276</v>
      </c>
    </row>
    <row r="88" spans="2:22" x14ac:dyDescent="0.2">
      <c r="C88">
        <v>100000</v>
      </c>
      <c r="D88">
        <v>557.87596299999996</v>
      </c>
      <c r="E88">
        <v>-14533.364229999999</v>
      </c>
      <c r="F88">
        <v>67812.778835000005</v>
      </c>
      <c r="G88">
        <v>0.194184</v>
      </c>
      <c r="H88">
        <v>24.812512999999999</v>
      </c>
      <c r="I88">
        <v>198.54393999999999</v>
      </c>
      <c r="J88">
        <v>13.765245999999999</v>
      </c>
      <c r="K88">
        <v>2906</v>
      </c>
      <c r="L88">
        <v>390</v>
      </c>
      <c r="M88">
        <f>L88/(L88+K88)</f>
        <v>0.1183252427184466</v>
      </c>
      <c r="N88">
        <f t="shared" si="13"/>
        <v>-4.4154889563106794</v>
      </c>
      <c r="O88">
        <f>E88-(SUM(K88:L88)*N88)</f>
        <v>20.087369999999282</v>
      </c>
      <c r="P88">
        <f>O88/(2*H88*J88)</f>
        <v>2.9406162627344527E-2</v>
      </c>
      <c r="Q88">
        <f>P88*16.02</f>
        <v>0.47108672529005929</v>
      </c>
      <c r="S88" s="2">
        <v>53.13</v>
      </c>
      <c r="T88" s="5" t="s">
        <v>42</v>
      </c>
      <c r="U88" s="4">
        <v>1.1841136175251397</v>
      </c>
      <c r="V88" s="6">
        <v>7.5107716445470415E-2</v>
      </c>
    </row>
    <row r="89" spans="2:22" x14ac:dyDescent="0.2">
      <c r="Q89" s="1">
        <f>AVERAGE(Q84:Q88)</f>
        <v>0.49460858753198089</v>
      </c>
      <c r="R89">
        <f>STDEV(Q84:Q88)</f>
        <v>4.031486575879558E-2</v>
      </c>
      <c r="S89" s="2">
        <v>61.71</v>
      </c>
      <c r="T89" s="5" t="s">
        <v>43</v>
      </c>
      <c r="U89" s="4">
        <v>1.3548137874194304</v>
      </c>
      <c r="V89" s="6">
        <v>0.17343376969069813</v>
      </c>
    </row>
    <row r="90" spans="2:22" x14ac:dyDescent="0.2">
      <c r="B90" t="s">
        <v>35</v>
      </c>
      <c r="C90">
        <v>100000</v>
      </c>
      <c r="D90">
        <v>557.86148400000002</v>
      </c>
      <c r="E90">
        <v>-20974.057696</v>
      </c>
      <c r="F90">
        <v>97733.596997000001</v>
      </c>
      <c r="G90">
        <v>-0.196377</v>
      </c>
      <c r="H90">
        <v>34.404150000000001</v>
      </c>
      <c r="I90">
        <v>206.424902</v>
      </c>
      <c r="J90">
        <v>13.761659999999999</v>
      </c>
      <c r="K90">
        <v>4182</v>
      </c>
      <c r="L90">
        <v>570</v>
      </c>
      <c r="M90">
        <f>L90/(L90+K90)</f>
        <v>0.11994949494949494</v>
      </c>
      <c r="N90">
        <f>-4.1126-2.5598*M90</f>
        <v>-4.4196467171717169</v>
      </c>
      <c r="O90">
        <f>E90-(SUM(K90:L90)*N90)</f>
        <v>28.103503999998793</v>
      </c>
      <c r="P90">
        <f>O90/(2*H90*J90)</f>
        <v>2.9678969670626082E-2</v>
      </c>
      <c r="Q90">
        <f>P90*16.02</f>
        <v>0.47545709412342985</v>
      </c>
      <c r="S90" s="6">
        <v>67.724661178359398</v>
      </c>
      <c r="T90" s="5" t="s">
        <v>44</v>
      </c>
      <c r="U90" s="4">
        <v>1.3061220404688421</v>
      </c>
      <c r="V90" s="6">
        <v>0.13121231162157362</v>
      </c>
    </row>
    <row r="91" spans="2:22" x14ac:dyDescent="0.2">
      <c r="C91">
        <v>100000</v>
      </c>
      <c r="D91">
        <v>557.72481700000003</v>
      </c>
      <c r="E91">
        <v>-20950.725741999999</v>
      </c>
      <c r="F91">
        <v>97833.921711999996</v>
      </c>
      <c r="G91">
        <v>-3.3251000000000003E-2</v>
      </c>
      <c r="H91">
        <v>34.415917999999998</v>
      </c>
      <c r="I91">
        <v>206.49551099999999</v>
      </c>
      <c r="J91">
        <v>13.766367000000001</v>
      </c>
      <c r="K91">
        <v>4190</v>
      </c>
      <c r="L91">
        <v>562</v>
      </c>
      <c r="M91">
        <f>L91/(L91+K91)</f>
        <v>0.11826599326599327</v>
      </c>
      <c r="N91">
        <f t="shared" ref="N91:N94" si="14">-4.1126-2.5598*M91</f>
        <v>-4.4153372895622889</v>
      </c>
      <c r="O91">
        <f>E91-(SUM(K91:L91)*N91)</f>
        <v>30.957057999996323</v>
      </c>
      <c r="P91">
        <f>O91/(2*H91*J91)</f>
        <v>3.2670139101260029E-2</v>
      </c>
      <c r="Q91">
        <f>P91*16.02</f>
        <v>0.52337562840218566</v>
      </c>
      <c r="S91" s="6">
        <v>73.933636606903903</v>
      </c>
      <c r="T91" s="5" t="s">
        <v>45</v>
      </c>
      <c r="U91" s="4">
        <v>1.1261305741444114</v>
      </c>
      <c r="V91" s="6">
        <v>0.17842929745959937</v>
      </c>
    </row>
    <row r="92" spans="2:22" x14ac:dyDescent="0.2">
      <c r="C92">
        <v>100000</v>
      </c>
      <c r="D92">
        <v>557.60413900000003</v>
      </c>
      <c r="E92">
        <v>-21094.662161</v>
      </c>
      <c r="F92">
        <v>97293.958337000004</v>
      </c>
      <c r="G92">
        <v>3.3251999999999997E-2</v>
      </c>
      <c r="H92">
        <v>34.352485000000001</v>
      </c>
      <c r="I92">
        <v>206.11491100000001</v>
      </c>
      <c r="J92">
        <v>13.740994000000001</v>
      </c>
      <c r="K92">
        <v>4135</v>
      </c>
      <c r="L92">
        <v>617</v>
      </c>
      <c r="M92">
        <f>L92/(L92+K92)</f>
        <v>0.12984006734006734</v>
      </c>
      <c r="N92">
        <f t="shared" si="14"/>
        <v>-4.4449646043771036</v>
      </c>
      <c r="O92">
        <f>E92-(SUM(K92:L92)*N92)</f>
        <v>27.809638999995514</v>
      </c>
      <c r="P92">
        <f>O92/(2*H92*J92)</f>
        <v>2.9457036099926986E-2</v>
      </c>
      <c r="Q92">
        <f>P92*16.02</f>
        <v>0.47190171832083028</v>
      </c>
      <c r="S92" s="2">
        <v>90</v>
      </c>
      <c r="U92" s="1">
        <v>0</v>
      </c>
    </row>
    <row r="93" spans="2:22" x14ac:dyDescent="0.2">
      <c r="C93">
        <v>100000</v>
      </c>
      <c r="D93">
        <v>557.69408699999997</v>
      </c>
      <c r="E93">
        <v>-20945.768961999998</v>
      </c>
      <c r="F93">
        <v>97810.071276000002</v>
      </c>
      <c r="G93">
        <v>-0.21537100000000001</v>
      </c>
      <c r="H93">
        <v>34.413122000000001</v>
      </c>
      <c r="I93">
        <v>206.47873100000001</v>
      </c>
      <c r="J93">
        <v>13.765249000000001</v>
      </c>
      <c r="K93">
        <v>4193</v>
      </c>
      <c r="L93">
        <v>559</v>
      </c>
      <c r="M93">
        <f>L93/(L93+K93)</f>
        <v>0.11763468013468013</v>
      </c>
      <c r="N93">
        <f t="shared" si="14"/>
        <v>-4.4137212542087543</v>
      </c>
      <c r="O93">
        <f>E93-(SUM(K93:L93)*N93)</f>
        <v>28.234438000003138</v>
      </c>
      <c r="P93">
        <f>O93/(2*H93*J93)</f>
        <v>2.980169777053588E-2</v>
      </c>
      <c r="Q93">
        <f>P93*16.02</f>
        <v>0.47742319828398477</v>
      </c>
      <c r="T93" s="5" t="s">
        <v>46</v>
      </c>
      <c r="U93">
        <f>AVERAGE(U82:U91)</f>
        <v>1.2522998236443896</v>
      </c>
    </row>
    <row r="94" spans="2:22" x14ac:dyDescent="0.2">
      <c r="C94">
        <v>100000</v>
      </c>
      <c r="D94">
        <v>557.85819000000004</v>
      </c>
      <c r="E94">
        <v>-20857.935836000001</v>
      </c>
      <c r="F94">
        <v>98087.006632000004</v>
      </c>
      <c r="G94">
        <v>0.113095</v>
      </c>
      <c r="H94">
        <v>34.445568999999999</v>
      </c>
      <c r="I94">
        <v>206.67341500000001</v>
      </c>
      <c r="J94">
        <v>13.778228</v>
      </c>
      <c r="K94">
        <v>4228</v>
      </c>
      <c r="L94">
        <v>524</v>
      </c>
      <c r="M94">
        <f>L94/(L94+K94)</f>
        <v>0.11026936026936027</v>
      </c>
      <c r="N94">
        <f t="shared" si="14"/>
        <v>-4.3948675084175077</v>
      </c>
      <c r="O94">
        <f>E94-(SUM(K94:L94)*N94)</f>
        <v>26.474563999996462</v>
      </c>
      <c r="P94">
        <f>O94/(2*H94*J94)</f>
        <v>2.789151409483813E-2</v>
      </c>
      <c r="Q94">
        <f>P94*16.02</f>
        <v>0.44682205579930684</v>
      </c>
    </row>
    <row r="95" spans="2:22" x14ac:dyDescent="0.2">
      <c r="Q95" s="1">
        <f>AVERAGE(Q90:Q94)</f>
        <v>0.4789959389859475</v>
      </c>
      <c r="R95">
        <f>STDEV(Q90:Q94)</f>
        <v>2.770397306845768E-2</v>
      </c>
    </row>
    <row r="96" spans="2:22" x14ac:dyDescent="0.2">
      <c r="B96" t="s">
        <v>26</v>
      </c>
      <c r="M96" t="e">
        <f>L96/(L96+K96)</f>
        <v>#DIV/0!</v>
      </c>
      <c r="N96" t="e">
        <f>-4.1126-2.5598*M96</f>
        <v>#DIV/0!</v>
      </c>
      <c r="O96" t="e">
        <f>E96-(SUM(K96:L96)*N96)</f>
        <v>#DIV/0!</v>
      </c>
      <c r="P96" t="e">
        <f>O96/(2*H96*J96)</f>
        <v>#DIV/0!</v>
      </c>
      <c r="Q96" t="e">
        <f>P96*16.02</f>
        <v>#DIV/0!</v>
      </c>
    </row>
    <row r="97" spans="2:18" x14ac:dyDescent="0.2">
      <c r="M97" t="e">
        <f>L97/(L97+K97)</f>
        <v>#DIV/0!</v>
      </c>
      <c r="N97" t="e">
        <f t="shared" ref="N97:N100" si="15">-4.1126-2.5598*M97</f>
        <v>#DIV/0!</v>
      </c>
      <c r="O97" t="e">
        <f>E97-(SUM(K97:L97)*N97)</f>
        <v>#DIV/0!</v>
      </c>
      <c r="P97" t="e">
        <f>O97/(2*H97*J97)</f>
        <v>#DIV/0!</v>
      </c>
      <c r="Q97" t="e">
        <f>P97*16.02</f>
        <v>#DIV/0!</v>
      </c>
    </row>
    <row r="98" spans="2:18" x14ac:dyDescent="0.2">
      <c r="M98" t="e">
        <f>L98/(L98+K98)</f>
        <v>#DIV/0!</v>
      </c>
      <c r="N98" t="e">
        <f t="shared" si="15"/>
        <v>#DIV/0!</v>
      </c>
      <c r="O98" t="e">
        <f>E98-(SUM(K98:L98)*N98)</f>
        <v>#DIV/0!</v>
      </c>
      <c r="P98" t="e">
        <f>O98/(2*H98*J98)</f>
        <v>#DIV/0!</v>
      </c>
      <c r="Q98" t="e">
        <f>P98*16.02</f>
        <v>#DIV/0!</v>
      </c>
    </row>
    <row r="99" spans="2:18" x14ac:dyDescent="0.2">
      <c r="M99" t="e">
        <f>L99/(L99+K99)</f>
        <v>#DIV/0!</v>
      </c>
      <c r="N99" t="e">
        <f t="shared" si="15"/>
        <v>#DIV/0!</v>
      </c>
      <c r="O99" t="e">
        <f>E99-(SUM(K99:L99)*N99)</f>
        <v>#DIV/0!</v>
      </c>
      <c r="P99" t="e">
        <f>O99/(2*H99*J99)</f>
        <v>#DIV/0!</v>
      </c>
      <c r="Q99" t="e">
        <f>P99*16.02</f>
        <v>#DIV/0!</v>
      </c>
    </row>
    <row r="100" spans="2:18" x14ac:dyDescent="0.2">
      <c r="M100" t="e">
        <f>L100/(L100+K100)</f>
        <v>#DIV/0!</v>
      </c>
      <c r="N100" t="e">
        <f t="shared" si="15"/>
        <v>#DIV/0!</v>
      </c>
      <c r="O100" t="e">
        <f>E100-(SUM(K100:L100)*N100)</f>
        <v>#DIV/0!</v>
      </c>
      <c r="P100" t="e">
        <f>O100/(2*H100*J100)</f>
        <v>#DIV/0!</v>
      </c>
      <c r="Q100" t="e">
        <f>P100*16.02</f>
        <v>#DIV/0!</v>
      </c>
    </row>
    <row r="101" spans="2:18" x14ac:dyDescent="0.2">
      <c r="Q101" s="1" t="e">
        <f>AVERAGE(Q96:Q100)</f>
        <v>#DIV/0!</v>
      </c>
      <c r="R101" t="e">
        <f>STDEV(Q96:Q100)</f>
        <v>#DIV/0!</v>
      </c>
    </row>
    <row r="102" spans="2:18" x14ac:dyDescent="0.2">
      <c r="B102" s="1" t="s">
        <v>64</v>
      </c>
    </row>
    <row r="103" spans="2:18" x14ac:dyDescent="0.2">
      <c r="C103" t="s">
        <v>52</v>
      </c>
      <c r="D103" t="s">
        <v>13</v>
      </c>
      <c r="E103" t="s">
        <v>4</v>
      </c>
      <c r="F103" t="s">
        <v>5</v>
      </c>
      <c r="G103" t="s">
        <v>14</v>
      </c>
      <c r="H103" t="s">
        <v>15</v>
      </c>
      <c r="I103" t="s">
        <v>16</v>
      </c>
      <c r="J103" t="s">
        <v>17</v>
      </c>
      <c r="K103" t="s">
        <v>18</v>
      </c>
      <c r="L103" t="s">
        <v>19</v>
      </c>
      <c r="M103" t="s">
        <v>9</v>
      </c>
      <c r="N103" t="s">
        <v>20</v>
      </c>
      <c r="O103" t="s">
        <v>8</v>
      </c>
      <c r="P103" t="s">
        <v>21</v>
      </c>
      <c r="Q103" t="s">
        <v>21</v>
      </c>
    </row>
    <row r="104" spans="2:18" x14ac:dyDescent="0.2">
      <c r="B104" t="s">
        <v>25</v>
      </c>
      <c r="C104">
        <v>100000</v>
      </c>
      <c r="D104">
        <v>520.45150100000001</v>
      </c>
      <c r="E104">
        <v>-18232.192722</v>
      </c>
      <c r="F104">
        <v>77402.363217999999</v>
      </c>
      <c r="G104">
        <v>0.27342300000000003</v>
      </c>
      <c r="H104">
        <v>30.791398000000001</v>
      </c>
      <c r="I104">
        <v>184.79170999999999</v>
      </c>
      <c r="J104">
        <v>13.60323577</v>
      </c>
      <c r="K104">
        <v>3045</v>
      </c>
      <c r="L104">
        <v>859</v>
      </c>
      <c r="M104">
        <f>L104/(L104+K104)</f>
        <v>0.22003073770491804</v>
      </c>
      <c r="N104">
        <f>-4.1156-2.5483*M104</f>
        <v>-4.6763043288934423</v>
      </c>
      <c r="O104">
        <f>E104-(SUM(K104:L104)*N104)</f>
        <v>24.099377999998978</v>
      </c>
      <c r="P104">
        <f>O104/(2*H104*J104)</f>
        <v>2.8767638020370644E-2</v>
      </c>
      <c r="Q104">
        <f>P104*16.02</f>
        <v>0.46085756108633769</v>
      </c>
    </row>
    <row r="105" spans="2:18" x14ac:dyDescent="0.2">
      <c r="C105">
        <v>100000</v>
      </c>
      <c r="D105">
        <v>520.56089999999995</v>
      </c>
      <c r="E105">
        <v>-18181.797122</v>
      </c>
      <c r="F105">
        <v>77529.060528999995</v>
      </c>
      <c r="G105">
        <v>0.20061200000000001</v>
      </c>
      <c r="H105">
        <v>30.808188999999999</v>
      </c>
      <c r="I105">
        <v>184.892481</v>
      </c>
      <c r="J105">
        <v>13.610652999999999</v>
      </c>
      <c r="K105">
        <v>3063</v>
      </c>
      <c r="L105">
        <v>841</v>
      </c>
      <c r="M105">
        <f>L105/(L105+K105)</f>
        <v>0.21542008196721313</v>
      </c>
      <c r="N105">
        <f t="shared" ref="N105:N108" si="16">-4.1156-2.5483*M105</f>
        <v>-4.6645549948770491</v>
      </c>
      <c r="O105">
        <f>E105-(SUM(K105:L105)*N105)</f>
        <v>28.625577999999223</v>
      </c>
      <c r="P105">
        <f>O105/(2*H105*J105)</f>
        <v>3.4133367538086629E-2</v>
      </c>
      <c r="Q105">
        <f>P105*16.02</f>
        <v>0.54681654796014778</v>
      </c>
    </row>
    <row r="106" spans="2:18" x14ac:dyDescent="0.2">
      <c r="C106">
        <v>100000</v>
      </c>
      <c r="D106">
        <v>520.52251699999999</v>
      </c>
      <c r="E106">
        <v>-18208.160598999999</v>
      </c>
      <c r="F106">
        <v>77455.577258999998</v>
      </c>
      <c r="G106">
        <v>0.28199800000000003</v>
      </c>
      <c r="H106">
        <v>30.798452000000001</v>
      </c>
      <c r="I106">
        <v>184.834047</v>
      </c>
      <c r="J106">
        <v>13.606351</v>
      </c>
      <c r="K106">
        <v>3053</v>
      </c>
      <c r="L106">
        <v>851</v>
      </c>
      <c r="M106">
        <f>L106/(L106+K106)</f>
        <v>0.21798155737704919</v>
      </c>
      <c r="N106">
        <f t="shared" si="16"/>
        <v>-4.6710824026639344</v>
      </c>
      <c r="O106">
        <f>E106-(SUM(K106:L106)*N106)</f>
        <v>27.745101000000432</v>
      </c>
      <c r="P106">
        <f>O106/(2*H106*J106)</f>
        <v>3.3104402662197316E-2</v>
      </c>
      <c r="Q106">
        <f>P106*16.02</f>
        <v>0.53033253064840102</v>
      </c>
    </row>
    <row r="107" spans="2:18" x14ac:dyDescent="0.2">
      <c r="C107">
        <v>100000</v>
      </c>
      <c r="D107">
        <v>520.52684299999999</v>
      </c>
      <c r="E107">
        <v>-18145.837387</v>
      </c>
      <c r="F107">
        <v>77626.282968</v>
      </c>
      <c r="G107">
        <v>0.27479900000000002</v>
      </c>
      <c r="H107">
        <v>30.821062000000001</v>
      </c>
      <c r="I107">
        <v>184.96973399999999</v>
      </c>
      <c r="J107">
        <v>13.616339999999999</v>
      </c>
      <c r="K107">
        <v>3078</v>
      </c>
      <c r="L107">
        <v>826</v>
      </c>
      <c r="M107">
        <f>L107/(L107+K107)</f>
        <v>0.21157786885245902</v>
      </c>
      <c r="N107">
        <f t="shared" si="16"/>
        <v>-4.6547638831967211</v>
      </c>
      <c r="O107">
        <f>E107-(SUM(K107:L107)*N107)</f>
        <v>26.360812999999325</v>
      </c>
      <c r="P107">
        <f>O107/(2*H107*J107)</f>
        <v>3.1406592408134183E-2</v>
      </c>
      <c r="Q107">
        <f>P107*16.02</f>
        <v>0.50313361037830961</v>
      </c>
    </row>
    <row r="108" spans="2:18" x14ac:dyDescent="0.2">
      <c r="C108">
        <v>100000</v>
      </c>
      <c r="D108">
        <v>520.50034100000005</v>
      </c>
      <c r="E108">
        <v>-18271.125558</v>
      </c>
      <c r="F108">
        <v>77296.743889999998</v>
      </c>
      <c r="G108">
        <v>0.24938199999999999</v>
      </c>
      <c r="H108">
        <v>30.777386</v>
      </c>
      <c r="I108">
        <v>184.70761899999999</v>
      </c>
      <c r="J108">
        <v>13.597044</v>
      </c>
      <c r="K108">
        <v>3029</v>
      </c>
      <c r="L108">
        <v>875</v>
      </c>
      <c r="M108">
        <f>L108/(L108+K108)</f>
        <v>0.22412909836065573</v>
      </c>
      <c r="N108">
        <f t="shared" si="16"/>
        <v>-4.686748181352459</v>
      </c>
      <c r="O108">
        <f>E108-(SUM(K108:L108)*N108)</f>
        <v>25.939342000001488</v>
      </c>
      <c r="P108">
        <f>O108/(2*H108*J108)</f>
        <v>3.0992222783381661E-2</v>
      </c>
      <c r="Q108">
        <f>P108*16.02</f>
        <v>0.49649540898977418</v>
      </c>
    </row>
    <row r="109" spans="2:18" x14ac:dyDescent="0.2">
      <c r="Q109" s="1">
        <f>AVERAGE(Q104:Q108)</f>
        <v>0.50752713181259401</v>
      </c>
      <c r="R109">
        <f>STDEV(Q104:Q108)</f>
        <v>3.3101341393068834E-2</v>
      </c>
    </row>
    <row r="110" spans="2:18" x14ac:dyDescent="0.2">
      <c r="B110" t="s">
        <v>30</v>
      </c>
      <c r="C110">
        <v>100000</v>
      </c>
      <c r="D110">
        <v>557.80749100000003</v>
      </c>
      <c r="E110">
        <v>-14656.882208999999</v>
      </c>
      <c r="F110">
        <v>63183.915304000002</v>
      </c>
      <c r="G110">
        <v>9.2299999999999993E-2</v>
      </c>
      <c r="H110">
        <v>24.076533999999999</v>
      </c>
      <c r="I110">
        <v>192.65565100000001</v>
      </c>
      <c r="J110">
        <v>13.621679</v>
      </c>
      <c r="K110">
        <v>2524</v>
      </c>
      <c r="L110">
        <v>644</v>
      </c>
      <c r="M110">
        <f>L110/(L110+K110)</f>
        <v>0.20328282828282829</v>
      </c>
      <c r="N110">
        <f>-4.1156-2.5483*M110</f>
        <v>-4.633625631313131</v>
      </c>
      <c r="O110">
        <f>E110-(SUM(K110:L110)*N110)</f>
        <v>22.443790999999692</v>
      </c>
      <c r="P110">
        <f>O110/(2*H110*J110)</f>
        <v>3.4216974908268187E-2</v>
      </c>
      <c r="Q110">
        <f>P110*16.02</f>
        <v>0.54815593803045637</v>
      </c>
    </row>
    <row r="111" spans="2:18" x14ac:dyDescent="0.2">
      <c r="C111">
        <v>100000</v>
      </c>
      <c r="D111">
        <v>557.62338699999998</v>
      </c>
      <c r="E111">
        <v>-14777.528227999999</v>
      </c>
      <c r="F111">
        <v>62862.540397999997</v>
      </c>
      <c r="G111">
        <v>-0.120062</v>
      </c>
      <c r="H111">
        <v>24.035644000000001</v>
      </c>
      <c r="I111">
        <v>192.328462</v>
      </c>
      <c r="J111">
        <v>13.598545</v>
      </c>
      <c r="K111">
        <v>2476</v>
      </c>
      <c r="L111">
        <v>692</v>
      </c>
      <c r="M111">
        <f>L111/(L111+K111)</f>
        <v>0.21843434343434343</v>
      </c>
      <c r="N111">
        <f t="shared" ref="N111:N114" si="17">-4.1156-2.5483*M111</f>
        <v>-4.6722362373737374</v>
      </c>
      <c r="O111">
        <f>E111-(SUM(K111:L111)*N111)</f>
        <v>24.116172000000006</v>
      </c>
      <c r="P111">
        <f>O111/(2*H111*J111)</f>
        <v>3.6891827673257022E-2</v>
      </c>
      <c r="Q111">
        <f>P111*16.02</f>
        <v>0.5910070793255775</v>
      </c>
    </row>
    <row r="112" spans="2:18" x14ac:dyDescent="0.2">
      <c r="C112">
        <v>100000</v>
      </c>
      <c r="D112">
        <v>557.81951900000001</v>
      </c>
      <c r="E112">
        <v>-14825.59989</v>
      </c>
      <c r="F112">
        <v>62741.976161999999</v>
      </c>
      <c r="G112">
        <v>0.24785699999999999</v>
      </c>
      <c r="H112">
        <v>24.020268999999999</v>
      </c>
      <c r="I112">
        <v>192.20542900000001</v>
      </c>
      <c r="J112">
        <v>13.589846</v>
      </c>
      <c r="K112">
        <v>2459</v>
      </c>
      <c r="L112">
        <v>709</v>
      </c>
      <c r="M112">
        <f>L112/(L112+K112)</f>
        <v>0.22380050505050506</v>
      </c>
      <c r="N112">
        <f t="shared" si="17"/>
        <v>-4.6859108270202015</v>
      </c>
      <c r="O112">
        <f>E112-(SUM(K112:L112)*N112)</f>
        <v>19.365609999998924</v>
      </c>
      <c r="P112">
        <f>O112/(2*H112*J112)</f>
        <v>2.9662570520684405E-2</v>
      </c>
      <c r="Q112">
        <f>P112*16.02</f>
        <v>0.47519437974136414</v>
      </c>
    </row>
    <row r="113" spans="2:18" x14ac:dyDescent="0.2">
      <c r="C113">
        <v>100000</v>
      </c>
      <c r="D113">
        <v>557.799666</v>
      </c>
      <c r="E113">
        <v>-14751.69455</v>
      </c>
      <c r="F113">
        <v>62928.800778999997</v>
      </c>
      <c r="G113">
        <v>3.1878999999999998E-2</v>
      </c>
      <c r="H113">
        <v>24.044086</v>
      </c>
      <c r="I113">
        <v>192.39601200000001</v>
      </c>
      <c r="J113">
        <v>13.603320999999999</v>
      </c>
      <c r="K113">
        <v>2486</v>
      </c>
      <c r="L113">
        <v>682</v>
      </c>
      <c r="M113">
        <f>L113/(L113+K113)</f>
        <v>0.21527777777777779</v>
      </c>
      <c r="N113">
        <f t="shared" si="17"/>
        <v>-4.6641923611111107</v>
      </c>
      <c r="O113">
        <f>E113-(SUM(K113:L113)*N113)</f>
        <v>24.466849999998885</v>
      </c>
      <c r="P113">
        <f>O113/(2*H113*J113)</f>
        <v>3.740200162896265E-2</v>
      </c>
      <c r="Q113">
        <f>P113*16.02</f>
        <v>0.59918006609598162</v>
      </c>
    </row>
    <row r="114" spans="2:18" x14ac:dyDescent="0.2">
      <c r="C114">
        <v>100000</v>
      </c>
      <c r="D114">
        <v>557.88502600000004</v>
      </c>
      <c r="E114">
        <v>-14787.763956999999</v>
      </c>
      <c r="F114">
        <v>62828.203515000001</v>
      </c>
      <c r="G114">
        <v>0.28624300000000003</v>
      </c>
      <c r="H114">
        <v>24.031267</v>
      </c>
      <c r="I114">
        <v>192.29343800000001</v>
      </c>
      <c r="J114">
        <v>13.596068000000001</v>
      </c>
      <c r="K114">
        <v>2472</v>
      </c>
      <c r="L114">
        <v>696</v>
      </c>
      <c r="M114">
        <f>L114/(L114+K114)</f>
        <v>0.2196969696969697</v>
      </c>
      <c r="N114">
        <f t="shared" si="17"/>
        <v>-4.6754537878787872</v>
      </c>
      <c r="O114">
        <f>E114-(SUM(K114:L114)*N114)</f>
        <v>24.073642999997901</v>
      </c>
      <c r="P114">
        <f>O114/(2*H114*J114)</f>
        <v>3.6840186786491029E-2</v>
      </c>
      <c r="Q114">
        <f>P114*16.02</f>
        <v>0.59017979231958628</v>
      </c>
    </row>
    <row r="115" spans="2:18" x14ac:dyDescent="0.2">
      <c r="Q115" s="1">
        <f>AVERAGE(Q110:Q114)</f>
        <v>0.56074345110259327</v>
      </c>
      <c r="R115">
        <f>STDEV(Q110:Q114)</f>
        <v>5.1809381017635471E-2</v>
      </c>
    </row>
    <row r="116" spans="2:18" x14ac:dyDescent="0.2">
      <c r="B116" t="s">
        <v>24</v>
      </c>
      <c r="C116">
        <v>100000</v>
      </c>
      <c r="D116">
        <v>558.00590099999999</v>
      </c>
      <c r="E116">
        <v>-11461.713571</v>
      </c>
      <c r="F116">
        <v>49250.144089000001</v>
      </c>
      <c r="G116">
        <v>0.24202199999999999</v>
      </c>
      <c r="H116">
        <v>34.717621999999999</v>
      </c>
      <c r="I116">
        <v>138.89217099999999</v>
      </c>
      <c r="J116">
        <v>10.213616</v>
      </c>
      <c r="K116">
        <v>1956</v>
      </c>
      <c r="L116">
        <v>516</v>
      </c>
      <c r="M116">
        <f>L116/(L116+K116)</f>
        <v>0.20873786407766989</v>
      </c>
      <c r="N116">
        <f>-4.1156-2.5483*M116</f>
        <v>-4.6475266990291262</v>
      </c>
      <c r="O116">
        <f>E116-(SUM(K116:L116)*N116)</f>
        <v>26.972428999999465</v>
      </c>
      <c r="P116">
        <f>O116/(2*H116*J116)</f>
        <v>3.8032998551213129E-2</v>
      </c>
      <c r="Q116">
        <f>P116*16.02</f>
        <v>0.60928863679043432</v>
      </c>
    </row>
    <row r="117" spans="2:18" x14ac:dyDescent="0.2">
      <c r="C117">
        <v>100000</v>
      </c>
      <c r="D117">
        <v>557.71363499999995</v>
      </c>
      <c r="E117">
        <v>-11466.312624</v>
      </c>
      <c r="F117">
        <v>49218.011584</v>
      </c>
      <c r="G117">
        <v>0.14566899999999999</v>
      </c>
      <c r="H117">
        <v>34.710070000000002</v>
      </c>
      <c r="I117">
        <v>138.86196100000001</v>
      </c>
      <c r="J117">
        <v>10.211395</v>
      </c>
      <c r="K117">
        <v>1955</v>
      </c>
      <c r="L117">
        <v>517</v>
      </c>
      <c r="M117">
        <f>L117/(L117+K117)</f>
        <v>0.20914239482200647</v>
      </c>
      <c r="N117">
        <f t="shared" ref="N117:N120" si="18">-4.1156-2.5483*M117</f>
        <v>-4.6485575647249187</v>
      </c>
      <c r="O117">
        <f>E117-(SUM(K117:L117)*N117)</f>
        <v>24.921675999998115</v>
      </c>
      <c r="P117">
        <f>O117/(2*H117*J117)</f>
        <v>3.5156585155922945E-2</v>
      </c>
      <c r="Q117">
        <f>P117*16.02</f>
        <v>0.56320849419788555</v>
      </c>
    </row>
    <row r="118" spans="2:18" x14ac:dyDescent="0.2">
      <c r="C118">
        <v>100000</v>
      </c>
      <c r="D118">
        <v>558.00668399999995</v>
      </c>
      <c r="E118">
        <v>-11402.518147000001</v>
      </c>
      <c r="F118">
        <v>49412.348248000002</v>
      </c>
      <c r="G118">
        <v>0.101912</v>
      </c>
      <c r="H118">
        <v>34.755693999999998</v>
      </c>
      <c r="I118">
        <v>139.04448400000001</v>
      </c>
      <c r="J118">
        <v>10.224817</v>
      </c>
      <c r="K118">
        <v>1980</v>
      </c>
      <c r="L118">
        <v>492</v>
      </c>
      <c r="M118">
        <f>L118/(L118+K118)</f>
        <v>0.19902912621359223</v>
      </c>
      <c r="N118">
        <f t="shared" si="18"/>
        <v>-4.6227859223300971</v>
      </c>
      <c r="O118">
        <f>E118-(SUM(K118:L118)*N118)</f>
        <v>25.008652999998958</v>
      </c>
      <c r="P118">
        <f>O118/(2*H118*J118)</f>
        <v>3.5186720899089946E-2</v>
      </c>
      <c r="Q118">
        <f>P118*16.02</f>
        <v>0.56369126880342091</v>
      </c>
    </row>
    <row r="119" spans="2:18" x14ac:dyDescent="0.2">
      <c r="C119">
        <v>100000</v>
      </c>
      <c r="D119">
        <v>557.63562100000001</v>
      </c>
      <c r="E119">
        <v>-11569.006862</v>
      </c>
      <c r="F119">
        <v>48940.853561999997</v>
      </c>
      <c r="G119">
        <v>3.2549000000000002E-2</v>
      </c>
      <c r="H119">
        <v>34.644793999999997</v>
      </c>
      <c r="I119">
        <v>138.60081600000001</v>
      </c>
      <c r="J119">
        <v>10.192190999999999</v>
      </c>
      <c r="K119">
        <v>1914</v>
      </c>
      <c r="L119">
        <v>558</v>
      </c>
      <c r="M119">
        <f>L119/(L119+K119)</f>
        <v>0.22572815533980584</v>
      </c>
      <c r="N119">
        <f t="shared" si="18"/>
        <v>-4.6908230582524268</v>
      </c>
      <c r="O119">
        <f>E119-(SUM(K119:L119)*N119)</f>
        <v>26.707737999999154</v>
      </c>
      <c r="P119">
        <f>O119/(2*H119*J119)</f>
        <v>3.7818262720119851E-2</v>
      </c>
      <c r="Q119">
        <f>P119*16.02</f>
        <v>0.60584856877631998</v>
      </c>
    </row>
    <row r="120" spans="2:18" x14ac:dyDescent="0.2">
      <c r="C120">
        <v>100000</v>
      </c>
      <c r="D120">
        <v>557.71086100000002</v>
      </c>
      <c r="E120">
        <v>-11565.867291</v>
      </c>
      <c r="F120">
        <v>48965.059650000003</v>
      </c>
      <c r="G120">
        <v>0.24723999999999999</v>
      </c>
      <c r="H120">
        <v>34.650505000000003</v>
      </c>
      <c r="I120">
        <v>138.623662</v>
      </c>
      <c r="J120">
        <v>10.193871</v>
      </c>
      <c r="K120">
        <v>1916</v>
      </c>
      <c r="L120">
        <v>556</v>
      </c>
      <c r="M120">
        <f>L120/(L120+K120)</f>
        <v>0.22491909385113268</v>
      </c>
      <c r="N120">
        <f t="shared" si="18"/>
        <v>-4.688761326860841</v>
      </c>
      <c r="O120">
        <f>E120-(SUM(K120:L120)*N120)</f>
        <v>24.750708999998096</v>
      </c>
      <c r="P120">
        <f>O120/(2*H120*J120)</f>
        <v>3.503555056145663E-2</v>
      </c>
      <c r="Q120">
        <f>P120*16.02</f>
        <v>0.56126951999453523</v>
      </c>
    </row>
    <row r="121" spans="2:18" x14ac:dyDescent="0.2">
      <c r="Q121" s="1">
        <f>AVERAGE(Q116:Q120)</f>
        <v>0.58066129771251918</v>
      </c>
      <c r="R121">
        <f>STDEV(Q116:Q120)</f>
        <v>2.4609685294021147E-2</v>
      </c>
    </row>
    <row r="122" spans="2:18" x14ac:dyDescent="0.2">
      <c r="B122" t="s">
        <v>31</v>
      </c>
      <c r="C122">
        <v>100000</v>
      </c>
      <c r="D122">
        <v>557.71143700000005</v>
      </c>
      <c r="E122">
        <v>-15140.328491</v>
      </c>
      <c r="F122">
        <v>63983.283216000003</v>
      </c>
      <c r="G122">
        <v>1.231E-2</v>
      </c>
      <c r="H122">
        <v>28.011339</v>
      </c>
      <c r="I122">
        <v>168.089674</v>
      </c>
      <c r="J122">
        <v>13.589124</v>
      </c>
      <c r="K122">
        <v>2498</v>
      </c>
      <c r="L122">
        <v>734</v>
      </c>
      <c r="M122">
        <f>L122/(L122+K122)</f>
        <v>0.22710396039603961</v>
      </c>
      <c r="N122">
        <f>-4.1156-2.5483*M122</f>
        <v>-4.6943290222772269</v>
      </c>
      <c r="O122">
        <f>E122-(SUM(K122:L122)*N122)</f>
        <v>31.742908999996871</v>
      </c>
      <c r="P122">
        <f>O122/(2*H122*J122)</f>
        <v>4.1695712293696278E-2</v>
      </c>
      <c r="Q122">
        <f>P122*16.02</f>
        <v>0.66796531094501432</v>
      </c>
    </row>
    <row r="123" spans="2:18" x14ac:dyDescent="0.2">
      <c r="C123">
        <v>100000</v>
      </c>
      <c r="D123">
        <v>557.97214099999997</v>
      </c>
      <c r="E123">
        <v>-15041.263449</v>
      </c>
      <c r="F123">
        <v>64235.038830999998</v>
      </c>
      <c r="G123">
        <v>4.045E-2</v>
      </c>
      <c r="H123">
        <v>28.048030000000001</v>
      </c>
      <c r="I123">
        <v>168.30984599999999</v>
      </c>
      <c r="J123">
        <v>13.606923999999999</v>
      </c>
      <c r="K123">
        <v>2536</v>
      </c>
      <c r="L123">
        <v>696</v>
      </c>
      <c r="M123">
        <f>L123/(L123+K123)</f>
        <v>0.21534653465346534</v>
      </c>
      <c r="N123">
        <f t="shared" ref="N123:N126" si="19">-4.1156-2.5483*M123</f>
        <v>-4.6643675742574251</v>
      </c>
      <c r="O123">
        <f>E123-(SUM(K123:L123)*N123)</f>
        <v>33.972550999997111</v>
      </c>
      <c r="P123">
        <f>O123/(2*H123*J123)</f>
        <v>4.4507770630674855E-2</v>
      </c>
      <c r="Q123">
        <f>P123*16.02</f>
        <v>0.71301448550341118</v>
      </c>
    </row>
    <row r="124" spans="2:18" x14ac:dyDescent="0.2">
      <c r="C124">
        <v>100000</v>
      </c>
      <c r="D124">
        <v>557.61899100000005</v>
      </c>
      <c r="E124">
        <v>-15062.044144</v>
      </c>
      <c r="F124">
        <v>64177.675357</v>
      </c>
      <c r="G124">
        <v>5.4743E-2</v>
      </c>
      <c r="H124">
        <v>28.039677999999999</v>
      </c>
      <c r="I124">
        <v>168.25972899999999</v>
      </c>
      <c r="J124">
        <v>13.602872</v>
      </c>
      <c r="K124">
        <v>2529</v>
      </c>
      <c r="L124">
        <v>703</v>
      </c>
      <c r="M124">
        <f>L124/(L124+K124)</f>
        <v>0.21751237623762376</v>
      </c>
      <c r="N124">
        <f t="shared" si="19"/>
        <v>-4.6698867883663366</v>
      </c>
      <c r="O124">
        <f>E124-(SUM(K124:L124)*N124)</f>
        <v>31.029956000000311</v>
      </c>
      <c r="P124">
        <f>O124/(2*H124*J124)</f>
        <v>4.0676870294556633E-2</v>
      </c>
      <c r="Q124">
        <f>P124*16.02</f>
        <v>0.6516434621187972</v>
      </c>
    </row>
    <row r="125" spans="2:18" x14ac:dyDescent="0.2">
      <c r="C125">
        <v>100000</v>
      </c>
      <c r="D125">
        <v>557.69039099999998</v>
      </c>
      <c r="E125">
        <v>-15081.803642000001</v>
      </c>
      <c r="F125">
        <v>64159.385586999997</v>
      </c>
      <c r="G125">
        <v>0.277086</v>
      </c>
      <c r="H125">
        <v>28.037013999999999</v>
      </c>
      <c r="I125">
        <v>168.24374</v>
      </c>
      <c r="J125">
        <v>13.601578999999999</v>
      </c>
      <c r="K125">
        <v>2522</v>
      </c>
      <c r="L125">
        <v>710</v>
      </c>
      <c r="M125">
        <f>L125/(L125+K125)</f>
        <v>0.21967821782178218</v>
      </c>
      <c r="N125">
        <f t="shared" si="19"/>
        <v>-4.6754060024752473</v>
      </c>
      <c r="O125">
        <f>E125-(SUM(K125:L125)*N125)</f>
        <v>29.108557999998084</v>
      </c>
      <c r="P125">
        <f>O125/(2*H125*J125)</f>
        <v>3.8165381604138467E-2</v>
      </c>
      <c r="Q125">
        <f>P125*16.02</f>
        <v>0.61140941329829823</v>
      </c>
    </row>
    <row r="126" spans="2:18" x14ac:dyDescent="0.2">
      <c r="C126">
        <v>100000</v>
      </c>
      <c r="D126">
        <v>557.94790999999998</v>
      </c>
      <c r="E126">
        <v>-14993.788065000001</v>
      </c>
      <c r="F126">
        <v>64342.315760999998</v>
      </c>
      <c r="G126">
        <v>0.18567</v>
      </c>
      <c r="H126">
        <v>28.063635000000001</v>
      </c>
      <c r="I126">
        <v>168.40349000000001</v>
      </c>
      <c r="J126">
        <v>13.614494000000001</v>
      </c>
      <c r="K126">
        <v>2556</v>
      </c>
      <c r="L126">
        <v>676</v>
      </c>
      <c r="M126">
        <f>L126/(L126+K126)</f>
        <v>0.20915841584158415</v>
      </c>
      <c r="N126">
        <f t="shared" si="19"/>
        <v>-4.6485983910891084</v>
      </c>
      <c r="O126">
        <f>E126-(SUM(K126:L126)*N126)</f>
        <v>30.481934999997975</v>
      </c>
      <c r="P126">
        <f>O126/(2*H126*J126)</f>
        <v>3.9890282218674751E-2</v>
      </c>
      <c r="Q126">
        <f>P126*16.02</f>
        <v>0.6390423211431695</v>
      </c>
    </row>
    <row r="127" spans="2:18" x14ac:dyDescent="0.2">
      <c r="Q127" s="1">
        <f>AVERAGE(Q122:Q126)</f>
        <v>0.65661499860173811</v>
      </c>
      <c r="R127">
        <f>STDEV(Q122:Q126)</f>
        <v>3.7705410168013681E-2</v>
      </c>
    </row>
    <row r="128" spans="2:18" x14ac:dyDescent="0.2">
      <c r="B128" t="s">
        <v>23</v>
      </c>
      <c r="C128">
        <v>100000</v>
      </c>
      <c r="D128">
        <v>557.94939499999998</v>
      </c>
      <c r="E128">
        <v>-13373.289855000001</v>
      </c>
      <c r="F128">
        <v>57356.088040000002</v>
      </c>
      <c r="G128">
        <v>0.31464500000000001</v>
      </c>
      <c r="H128">
        <v>32.333846000000001</v>
      </c>
      <c r="I128">
        <v>129.72730799999999</v>
      </c>
      <c r="J128">
        <v>13.673842</v>
      </c>
      <c r="K128">
        <v>2271</v>
      </c>
      <c r="L128">
        <v>609</v>
      </c>
      <c r="M128">
        <f>L128/(L128+K128)</f>
        <v>0.21145833333333333</v>
      </c>
      <c r="N128">
        <f>-4.1156-2.5483*M128</f>
        <v>-4.6544592708333328</v>
      </c>
      <c r="O128">
        <f>E128-(SUM(K128:L128)*N128)</f>
        <v>31.552844999998342</v>
      </c>
      <c r="P128">
        <f>O128/(2*H128*J128)</f>
        <v>3.5682938009641472E-2</v>
      </c>
      <c r="Q128">
        <f>P128*16.02</f>
        <v>0.57164066691445636</v>
      </c>
    </row>
    <row r="129" spans="2:18" x14ac:dyDescent="0.2">
      <c r="C129">
        <v>100000</v>
      </c>
      <c r="D129">
        <v>557.67606799999999</v>
      </c>
      <c r="E129">
        <v>-13498.666492</v>
      </c>
      <c r="F129">
        <v>57014.955196000003</v>
      </c>
      <c r="G129">
        <v>0.23780000000000001</v>
      </c>
      <c r="H129">
        <v>32.269615000000002</v>
      </c>
      <c r="I129">
        <v>129.46960799999999</v>
      </c>
      <c r="J129">
        <v>13.646679000000001</v>
      </c>
      <c r="K129">
        <v>2223</v>
      </c>
      <c r="L129">
        <v>657</v>
      </c>
      <c r="M129">
        <f>L129/(L129+K129)</f>
        <v>0.22812499999999999</v>
      </c>
      <c r="N129">
        <f t="shared" ref="N129:N132" si="20">-4.1156-2.5483*M129</f>
        <v>-4.6969309374999995</v>
      </c>
      <c r="O129">
        <f>E129-(SUM(K129:L129)*N129)</f>
        <v>28.494607999997243</v>
      </c>
      <c r="P129">
        <f>O129/(2*H129*J129)</f>
        <v>3.2352804320953957E-2</v>
      </c>
      <c r="Q129">
        <f>P129*16.02</f>
        <v>0.51829192522168233</v>
      </c>
    </row>
    <row r="130" spans="2:18" x14ac:dyDescent="0.2">
      <c r="C130">
        <v>100000</v>
      </c>
      <c r="D130">
        <v>557.91933100000006</v>
      </c>
      <c r="E130">
        <v>-13424.523681000001</v>
      </c>
      <c r="F130">
        <v>57201.256046000002</v>
      </c>
      <c r="G130">
        <v>0.157358</v>
      </c>
      <c r="H130">
        <v>32.304724999999998</v>
      </c>
      <c r="I130">
        <v>129.61047099999999</v>
      </c>
      <c r="J130">
        <v>13.661527</v>
      </c>
      <c r="K130">
        <v>2251</v>
      </c>
      <c r="L130">
        <v>629</v>
      </c>
      <c r="M130">
        <f>L130/(L130+K130)</f>
        <v>0.21840277777777778</v>
      </c>
      <c r="N130">
        <f t="shared" si="20"/>
        <v>-4.6721557986111106</v>
      </c>
      <c r="O130">
        <f>E130-(SUM(K130:L130)*N130)</f>
        <v>31.285018999997192</v>
      </c>
      <c r="P130">
        <f>O130/(2*H130*J130)</f>
        <v>3.5443869939013113E-2</v>
      </c>
      <c r="Q130">
        <f>P130*16.02</f>
        <v>0.56781079642299004</v>
      </c>
    </row>
    <row r="131" spans="2:18" x14ac:dyDescent="0.2">
      <c r="C131">
        <v>100000</v>
      </c>
      <c r="D131">
        <v>557.56748400000004</v>
      </c>
      <c r="E131">
        <v>-13398.426516</v>
      </c>
      <c r="F131">
        <v>57262.003382000003</v>
      </c>
      <c r="G131">
        <v>0.14558299999999999</v>
      </c>
      <c r="H131">
        <v>32.316156999999997</v>
      </c>
      <c r="I131">
        <v>129.65633800000001</v>
      </c>
      <c r="J131">
        <v>13.666361</v>
      </c>
      <c r="K131">
        <v>2262</v>
      </c>
      <c r="L131">
        <v>618</v>
      </c>
      <c r="M131">
        <f>L131/(L131+K131)</f>
        <v>0.21458333333333332</v>
      </c>
      <c r="N131">
        <f t="shared" si="20"/>
        <v>-4.6624227083333327</v>
      </c>
      <c r="O131">
        <f>E131-(SUM(K131:L131)*N131)</f>
        <v>29.350883999999496</v>
      </c>
      <c r="P131">
        <f>O131/(2*H131*J131)</f>
        <v>3.3229101051404017E-2</v>
      </c>
      <c r="Q131">
        <f>P131*16.02</f>
        <v>0.53233019884349231</v>
      </c>
    </row>
    <row r="132" spans="2:18" x14ac:dyDescent="0.2">
      <c r="C132">
        <v>100000</v>
      </c>
      <c r="D132">
        <v>557.72494500000005</v>
      </c>
      <c r="E132">
        <v>-13311.821636000001</v>
      </c>
      <c r="F132">
        <v>57499.663837</v>
      </c>
      <c r="G132">
        <v>0.201492</v>
      </c>
      <c r="H132">
        <v>32.360802999999997</v>
      </c>
      <c r="I132">
        <v>129.835464</v>
      </c>
      <c r="J132">
        <v>13.685242000000001</v>
      </c>
      <c r="K132">
        <v>2296</v>
      </c>
      <c r="L132">
        <v>584</v>
      </c>
      <c r="M132">
        <f>L132/(L132+K132)</f>
        <v>0.20277777777777778</v>
      </c>
      <c r="N132">
        <f t="shared" si="20"/>
        <v>-4.6323386111111109</v>
      </c>
      <c r="O132">
        <f>E132-(SUM(K132:L132)*N132)</f>
        <v>29.313563999998223</v>
      </c>
      <c r="P132">
        <f>O132/(2*H132*J132)</f>
        <v>3.3095340764641643E-2</v>
      </c>
      <c r="Q132">
        <f>P132*16.02</f>
        <v>0.53018735904955905</v>
      </c>
    </row>
    <row r="133" spans="2:18" x14ac:dyDescent="0.2">
      <c r="Q133" s="1">
        <f>AVERAGE(Q128:Q132)</f>
        <v>0.54405218929043608</v>
      </c>
      <c r="R133">
        <f>STDEV(Q128:Q132)</f>
        <v>2.407709125407706E-2</v>
      </c>
    </row>
    <row r="134" spans="2:18" x14ac:dyDescent="0.2">
      <c r="B134" t="s">
        <v>32</v>
      </c>
      <c r="C134">
        <v>100000</v>
      </c>
      <c r="D134">
        <v>557.70870200000002</v>
      </c>
      <c r="E134">
        <v>-17193.289857</v>
      </c>
      <c r="F134">
        <v>72963.961221000005</v>
      </c>
      <c r="G134">
        <v>0.14274400000000001</v>
      </c>
      <c r="H134">
        <v>25.892409000000001</v>
      </c>
      <c r="I134">
        <v>207.18258900000001</v>
      </c>
      <c r="J134">
        <v>13.601366000000001</v>
      </c>
      <c r="K134">
        <v>2865</v>
      </c>
      <c r="L134">
        <v>815</v>
      </c>
      <c r="M134">
        <f>L134/(L134+K134)</f>
        <v>0.22146739130434784</v>
      </c>
      <c r="N134">
        <f>-4.1156-2.5483*M134</f>
        <v>-4.6799653532608696</v>
      </c>
      <c r="O134">
        <f>E134-(SUM(K134:L134)*N134)</f>
        <v>28.982642999999371</v>
      </c>
      <c r="P134">
        <f>O134/(2*H134*J134)</f>
        <v>4.1148405017537609E-2</v>
      </c>
      <c r="Q134">
        <f>P134*16.02</f>
        <v>0.65919744838095251</v>
      </c>
    </row>
    <row r="135" spans="2:18" x14ac:dyDescent="0.2">
      <c r="C135">
        <v>100000</v>
      </c>
      <c r="D135">
        <v>557.78278499999999</v>
      </c>
      <c r="E135">
        <v>-17172.987228999998</v>
      </c>
      <c r="F135">
        <v>73001.267221999995</v>
      </c>
      <c r="G135">
        <v>0.176509</v>
      </c>
      <c r="H135">
        <v>25.896822</v>
      </c>
      <c r="I135">
        <v>207.21789799999999</v>
      </c>
      <c r="J135">
        <v>13.603683999999999</v>
      </c>
      <c r="K135">
        <v>2873</v>
      </c>
      <c r="L135">
        <v>807</v>
      </c>
      <c r="M135">
        <f>L135/(L135+K135)</f>
        <v>0.21929347826086956</v>
      </c>
      <c r="N135">
        <f t="shared" ref="N135:N138" si="21">-4.1156-2.5483*M135</f>
        <v>-4.6744255706521738</v>
      </c>
      <c r="O135">
        <f>E135-(SUM(K135:L135)*N135)</f>
        <v>28.898871000001236</v>
      </c>
      <c r="P135">
        <f>O135/(2*H135*J135)</f>
        <v>4.1015487125404149E-2</v>
      </c>
      <c r="Q135">
        <f>P135*16.02</f>
        <v>0.6570681037489744</v>
      </c>
    </row>
    <row r="136" spans="2:18" x14ac:dyDescent="0.2">
      <c r="C136">
        <v>100000</v>
      </c>
      <c r="D136">
        <v>557.71449399999995</v>
      </c>
      <c r="E136">
        <v>-17089.948017999999</v>
      </c>
      <c r="F136">
        <v>73246.408569000007</v>
      </c>
      <c r="G136">
        <v>0.11790299999999999</v>
      </c>
      <c r="H136">
        <v>25.925777</v>
      </c>
      <c r="I136">
        <v>207.44958600000001</v>
      </c>
      <c r="J136">
        <v>13.618893999999999</v>
      </c>
      <c r="K136">
        <v>2905</v>
      </c>
      <c r="L136">
        <v>775</v>
      </c>
      <c r="M136">
        <f t="shared" ref="M136:M138" si="22">L136/(L136+K136)</f>
        <v>0.21059782608695651</v>
      </c>
      <c r="N136">
        <f t="shared" si="21"/>
        <v>-4.6522664402173906</v>
      </c>
      <c r="O136">
        <f>E136-(SUM(K136:L136)*N136)</f>
        <v>30.392481999999291</v>
      </c>
      <c r="P136">
        <f>O136/(2*H136*J136)</f>
        <v>4.3039037624114748E-2</v>
      </c>
      <c r="Q136">
        <f>P136*16.02</f>
        <v>0.68948538273831828</v>
      </c>
    </row>
    <row r="137" spans="2:18" x14ac:dyDescent="0.2">
      <c r="C137">
        <v>100000</v>
      </c>
      <c r="D137">
        <v>557.77945899999997</v>
      </c>
      <c r="E137">
        <v>-17140.900134</v>
      </c>
      <c r="F137">
        <v>73098.603707999995</v>
      </c>
      <c r="G137">
        <v>5.3449000000000003E-2</v>
      </c>
      <c r="H137">
        <v>25.908325999999999</v>
      </c>
      <c r="I137">
        <v>207.309955</v>
      </c>
      <c r="J137">
        <v>13.609726999999999</v>
      </c>
      <c r="K137">
        <v>2885</v>
      </c>
      <c r="L137">
        <v>795</v>
      </c>
      <c r="M137">
        <f t="shared" si="22"/>
        <v>0.21603260869565216</v>
      </c>
      <c r="N137">
        <f t="shared" si="21"/>
        <v>-4.6661158967391305</v>
      </c>
      <c r="O137">
        <f>E137-(SUM(K137:L137)*N137)</f>
        <v>30.406365999999252</v>
      </c>
      <c r="P137">
        <f>O137/(2*H137*J137)</f>
        <v>4.3116724052100971E-2</v>
      </c>
      <c r="Q137">
        <f>P137*16.02</f>
        <v>0.69072991931465755</v>
      </c>
    </row>
    <row r="138" spans="2:18" x14ac:dyDescent="0.2">
      <c r="C138">
        <v>100000</v>
      </c>
      <c r="D138">
        <v>557.60010499999999</v>
      </c>
      <c r="E138">
        <v>-17218.880099000002</v>
      </c>
      <c r="F138">
        <v>72889.969123000003</v>
      </c>
      <c r="G138">
        <v>9.5779999999999997E-3</v>
      </c>
      <c r="H138">
        <v>25.883654</v>
      </c>
      <c r="I138">
        <v>207.11253500000001</v>
      </c>
      <c r="J138">
        <v>13.596767</v>
      </c>
      <c r="K138">
        <v>2855</v>
      </c>
      <c r="L138">
        <v>825</v>
      </c>
      <c r="M138">
        <f t="shared" si="22"/>
        <v>0.22418478260869565</v>
      </c>
      <c r="N138">
        <f t="shared" si="21"/>
        <v>-4.6868900815217387</v>
      </c>
      <c r="O138">
        <f>E138-(SUM(K138:L138)*N138)</f>
        <v>28.87540099999751</v>
      </c>
      <c r="P138">
        <f>O138/(2*H138*J138)</f>
        <v>4.10238851184817E-2</v>
      </c>
      <c r="Q138">
        <f>P138*16.02</f>
        <v>0.65720263959807679</v>
      </c>
    </row>
    <row r="139" spans="2:18" x14ac:dyDescent="0.2">
      <c r="Q139" s="1">
        <f>AVERAGE(Q134:Q138)</f>
        <v>0.67073669875619579</v>
      </c>
      <c r="R139">
        <f>STDEV(Q134:Q138)</f>
        <v>1.7708737711580748E-2</v>
      </c>
    </row>
    <row r="140" spans="2:18" x14ac:dyDescent="0.2">
      <c r="B140" t="s">
        <v>22</v>
      </c>
      <c r="C140">
        <v>100000</v>
      </c>
      <c r="D140">
        <v>520.53139199999998</v>
      </c>
      <c r="E140">
        <v>-17670.676863000001</v>
      </c>
      <c r="F140">
        <v>74828.595625999995</v>
      </c>
      <c r="G140">
        <v>0.18901100000000001</v>
      </c>
      <c r="H140">
        <v>30.307590000000001</v>
      </c>
      <c r="I140">
        <v>91.079245</v>
      </c>
      <c r="J140">
        <v>27.107945999999998</v>
      </c>
      <c r="K140">
        <v>2917</v>
      </c>
      <c r="L140">
        <v>859</v>
      </c>
      <c r="M140">
        <f>L140/(L140+K140)</f>
        <v>0.22748940677966101</v>
      </c>
      <c r="N140">
        <f>-4.1156-2.5483*M140</f>
        <v>-4.6953112552966099</v>
      </c>
      <c r="O140">
        <f>E140-(SUM(K140:L140)*N140)</f>
        <v>58.818436999998085</v>
      </c>
      <c r="P140">
        <f>O140/(2*H140*J140)</f>
        <v>3.5796079891169508E-2</v>
      </c>
      <c r="Q140">
        <f>P140*16.02</f>
        <v>0.57345319985653553</v>
      </c>
    </row>
    <row r="141" spans="2:18" x14ac:dyDescent="0.2">
      <c r="C141">
        <v>100000</v>
      </c>
      <c r="D141">
        <v>520.62130100000002</v>
      </c>
      <c r="E141">
        <v>-17572.122007000002</v>
      </c>
      <c r="F141">
        <v>75043.433120999995</v>
      </c>
      <c r="G141">
        <v>0.36977199999999999</v>
      </c>
      <c r="H141">
        <v>30.336566999999999</v>
      </c>
      <c r="I141">
        <v>91.166325999999998</v>
      </c>
      <c r="J141">
        <v>27.133863999999999</v>
      </c>
      <c r="K141">
        <v>2956</v>
      </c>
      <c r="L141">
        <v>820</v>
      </c>
      <c r="M141">
        <f>L141/(L141+K141)</f>
        <v>0.21716101694915255</v>
      </c>
      <c r="N141">
        <f t="shared" ref="N141:N144" si="23">-4.1156-2.5483*M141</f>
        <v>-4.6689914194915252</v>
      </c>
      <c r="O141">
        <f>E141-(SUM(K141:L141)*N141)</f>
        <v>57.989592999998422</v>
      </c>
      <c r="P141">
        <f>O141/(2*H141*J141)</f>
        <v>3.5224268933793289E-2</v>
      </c>
      <c r="Q141">
        <f>P141*16.02</f>
        <v>0.56429278831936847</v>
      </c>
    </row>
    <row r="142" spans="2:18" x14ac:dyDescent="0.2">
      <c r="C142">
        <v>100000</v>
      </c>
      <c r="D142">
        <v>520.46912299999997</v>
      </c>
      <c r="E142">
        <v>-17735.443546999999</v>
      </c>
      <c r="F142">
        <v>74707.726265999998</v>
      </c>
      <c r="G142">
        <v>0.42597600000000002</v>
      </c>
      <c r="H142">
        <v>30.291263000000001</v>
      </c>
      <c r="I142">
        <v>91.030179000000004</v>
      </c>
      <c r="J142">
        <v>27.093342</v>
      </c>
      <c r="K142">
        <v>2894</v>
      </c>
      <c r="L142">
        <v>882</v>
      </c>
      <c r="M142">
        <f t="shared" ref="M142:M144" si="24">L142/(L142+K142)</f>
        <v>0.23358050847457626</v>
      </c>
      <c r="N142">
        <f t="shared" si="23"/>
        <v>-4.7108332097457621</v>
      </c>
      <c r="O142">
        <f>E142-(SUM(K142:L142)*N142)</f>
        <v>52.662652999999409</v>
      </c>
      <c r="P142">
        <f>O142/(2*H142*J142)</f>
        <v>3.2084315431165439E-2</v>
      </c>
      <c r="Q142">
        <f>P142*16.02</f>
        <v>0.51399073320727029</v>
      </c>
    </row>
    <row r="143" spans="2:18" x14ac:dyDescent="0.2">
      <c r="C143">
        <v>100000</v>
      </c>
      <c r="D143">
        <v>520.64628700000003</v>
      </c>
      <c r="E143">
        <v>-17615.484215</v>
      </c>
      <c r="F143">
        <v>74953.443555999998</v>
      </c>
      <c r="G143">
        <v>0.21548100000000001</v>
      </c>
      <c r="H143">
        <v>30.324435999999999</v>
      </c>
      <c r="I143">
        <v>91.129870999999994</v>
      </c>
      <c r="J143">
        <v>27.123014000000001</v>
      </c>
      <c r="K143">
        <v>2939</v>
      </c>
      <c r="L143">
        <v>837</v>
      </c>
      <c r="M143">
        <f t="shared" si="24"/>
        <v>0.22166313559322035</v>
      </c>
      <c r="N143">
        <f t="shared" si="23"/>
        <v>-4.680464168432203</v>
      </c>
      <c r="O143">
        <f>E143-(SUM(K143:L143)*N143)</f>
        <v>57.948484999997163</v>
      </c>
      <c r="P143">
        <f>O143/(2*H143*J143)</f>
        <v>3.5227466474734848E-2</v>
      </c>
      <c r="Q143">
        <f>P143*16.02</f>
        <v>0.56434401292525227</v>
      </c>
    </row>
    <row r="144" spans="2:18" x14ac:dyDescent="0.2">
      <c r="C144">
        <v>100000</v>
      </c>
      <c r="D144">
        <v>520.52220699999998</v>
      </c>
      <c r="E144">
        <v>-17604.615431999999</v>
      </c>
      <c r="F144">
        <v>74984.072904000001</v>
      </c>
      <c r="G144">
        <v>0.240813</v>
      </c>
      <c r="H144">
        <v>30.328567</v>
      </c>
      <c r="I144">
        <v>91.142283000000006</v>
      </c>
      <c r="J144">
        <v>27.126708000000001</v>
      </c>
      <c r="K144">
        <v>2943</v>
      </c>
      <c r="L144">
        <v>833</v>
      </c>
      <c r="M144">
        <f t="shared" si="24"/>
        <v>0.22060381355932204</v>
      </c>
      <c r="N144">
        <f t="shared" si="23"/>
        <v>-4.6777646980932204</v>
      </c>
      <c r="O144">
        <f>E144-(SUM(K144:L144)*N144)</f>
        <v>58.624068000000989</v>
      </c>
      <c r="P144">
        <f>O144/(2*H144*J144)</f>
        <v>3.5628453568126661E-2</v>
      </c>
      <c r="Q144">
        <f>P144*16.02</f>
        <v>0.5707678261613891</v>
      </c>
    </row>
    <row r="145" spans="2:18" x14ac:dyDescent="0.2">
      <c r="Q145" s="1">
        <f>AVERAGE(Q140:Q144)</f>
        <v>0.55736971209396313</v>
      </c>
      <c r="R145">
        <f>STDEV(Q140:Q144)</f>
        <v>2.4578922397721234E-2</v>
      </c>
    </row>
    <row r="146" spans="2:18" x14ac:dyDescent="0.2">
      <c r="B146" t="s">
        <v>33</v>
      </c>
      <c r="C146">
        <v>100000</v>
      </c>
      <c r="D146">
        <v>557.76940000000002</v>
      </c>
      <c r="E146">
        <v>-30159.195180999999</v>
      </c>
      <c r="F146">
        <v>129047.311716</v>
      </c>
      <c r="G146">
        <v>-3.3308999999999998E-2</v>
      </c>
      <c r="H146">
        <v>39.721871999999998</v>
      </c>
      <c r="I146">
        <v>238.39633000000001</v>
      </c>
      <c r="J146">
        <v>13.627606999999999</v>
      </c>
      <c r="K146">
        <v>5111</v>
      </c>
      <c r="L146">
        <v>1377</v>
      </c>
      <c r="M146">
        <f>L146/(L146+K146)</f>
        <v>0.21223797780517878</v>
      </c>
      <c r="N146">
        <f>-4.1156-2.5483*M146</f>
        <v>-4.6564460388409366</v>
      </c>
      <c r="O146">
        <f>E146-(SUM(K146:L146)*N146)</f>
        <v>51.826718999996956</v>
      </c>
      <c r="P146">
        <f>O146/(2*H146*J146)</f>
        <v>4.7871210764306421E-2</v>
      </c>
      <c r="Q146">
        <f>P146*16.02</f>
        <v>0.76689679644418884</v>
      </c>
    </row>
    <row r="147" spans="2:18" x14ac:dyDescent="0.2">
      <c r="C147">
        <v>100000</v>
      </c>
      <c r="D147">
        <v>557.76044999999999</v>
      </c>
      <c r="E147">
        <v>-30175.455959999999</v>
      </c>
      <c r="F147">
        <v>128986.42154</v>
      </c>
      <c r="G147">
        <v>0.33724199999999999</v>
      </c>
      <c r="H147">
        <v>39.715623000000001</v>
      </c>
      <c r="I147">
        <v>238.35882799999999</v>
      </c>
      <c r="J147">
        <v>13.625463999999999</v>
      </c>
      <c r="K147">
        <v>5107</v>
      </c>
      <c r="L147">
        <v>1381</v>
      </c>
      <c r="M147">
        <f>L147/(L147+K147)</f>
        <v>0.21285450061652281</v>
      </c>
      <c r="N147">
        <f t="shared" ref="N147:N150" si="25">-4.1156-2.5483*M147</f>
        <v>-4.658017123921085</v>
      </c>
      <c r="O147">
        <f>E147-(SUM(K147:L147)*N147)</f>
        <v>45.759140000001935</v>
      </c>
      <c r="P147">
        <f>O147/(2*H147*J147)</f>
        <v>4.2280019400742226E-2</v>
      </c>
      <c r="Q147">
        <f>P147*16.02</f>
        <v>0.67732591079989046</v>
      </c>
    </row>
    <row r="148" spans="2:18" x14ac:dyDescent="0.2">
      <c r="C148">
        <v>100000</v>
      </c>
      <c r="D148">
        <v>557.75358900000003</v>
      </c>
      <c r="E148">
        <v>-30180.612348999999</v>
      </c>
      <c r="F148">
        <v>128950.004864</v>
      </c>
      <c r="G148">
        <v>-3.6270999999999998E-2</v>
      </c>
      <c r="H148">
        <v>39.711885000000002</v>
      </c>
      <c r="I148">
        <v>238.33639400000001</v>
      </c>
      <c r="J148">
        <v>13.624181</v>
      </c>
      <c r="K148">
        <v>5105</v>
      </c>
      <c r="L148">
        <v>1383</v>
      </c>
      <c r="M148">
        <f t="shared" ref="M148:M150" si="26">L148/(L148+K148)</f>
        <v>0.21316276202219483</v>
      </c>
      <c r="N148">
        <f t="shared" si="25"/>
        <v>-4.6588026664611588</v>
      </c>
      <c r="O148">
        <f>E148-(SUM(K148:L148)*N148)</f>
        <v>45.699350999999297</v>
      </c>
      <c r="P148">
        <f>O148/(2*H148*J148)</f>
        <v>4.2232727476474753E-2</v>
      </c>
      <c r="Q148">
        <f>P148*16.02</f>
        <v>0.67656829417312547</v>
      </c>
    </row>
    <row r="149" spans="2:18" x14ac:dyDescent="0.2">
      <c r="C149">
        <v>100000</v>
      </c>
      <c r="D149">
        <v>557.87573699999996</v>
      </c>
      <c r="E149">
        <v>-30161.273518000002</v>
      </c>
      <c r="F149">
        <v>128989.232974</v>
      </c>
      <c r="G149">
        <v>-2.4142E-2</v>
      </c>
      <c r="H149">
        <v>39.715910999999998</v>
      </c>
      <c r="I149">
        <v>238.36055899999999</v>
      </c>
      <c r="J149">
        <v>13.625563</v>
      </c>
      <c r="K149">
        <v>5112</v>
      </c>
      <c r="L149">
        <v>1376</v>
      </c>
      <c r="M149">
        <f t="shared" si="26"/>
        <v>0.21208384710234279</v>
      </c>
      <c r="N149">
        <f t="shared" si="25"/>
        <v>-4.6560532675708997</v>
      </c>
      <c r="O149">
        <f>E149-(SUM(K149:L149)*N149)</f>
        <v>47.200081999995746</v>
      </c>
      <c r="P149">
        <f>O149/(2*H149*J149)</f>
        <v>4.3610771790035918E-2</v>
      </c>
      <c r="Q149">
        <f>P149*16.02</f>
        <v>0.69864456407637543</v>
      </c>
    </row>
    <row r="150" spans="2:18" x14ac:dyDescent="0.2">
      <c r="C150">
        <v>100000</v>
      </c>
      <c r="D150">
        <v>557.80053999999996</v>
      </c>
      <c r="E150">
        <v>-30177.241891000001</v>
      </c>
      <c r="F150">
        <v>128983.396548</v>
      </c>
      <c r="G150">
        <v>0.186053</v>
      </c>
      <c r="H150">
        <v>39.715311999999997</v>
      </c>
      <c r="I150">
        <v>238.35696300000001</v>
      </c>
      <c r="J150">
        <v>13.625356999999999</v>
      </c>
      <c r="K150">
        <v>5108</v>
      </c>
      <c r="L150">
        <v>1380</v>
      </c>
      <c r="M150">
        <f t="shared" si="26"/>
        <v>0.21270036991368679</v>
      </c>
      <c r="N150">
        <f t="shared" si="25"/>
        <v>-4.6576243526510481</v>
      </c>
      <c r="O150">
        <f>E150-(SUM(K150:L150)*N150)</f>
        <v>41.424908999997569</v>
      </c>
      <c r="P150">
        <f>O150/(2*H150*J150)</f>
        <v>3.8275925323798685E-2</v>
      </c>
      <c r="Q150">
        <f>P150*16.02</f>
        <v>0.61318032368725495</v>
      </c>
    </row>
    <row r="151" spans="2:18" x14ac:dyDescent="0.2">
      <c r="Q151" s="1">
        <f>AVERAGE(Q146:Q150)</f>
        <v>0.68652317783616712</v>
      </c>
      <c r="R151">
        <f>STDEV(Q146:Q150)</f>
        <v>5.5158204867730071E-2</v>
      </c>
    </row>
    <row r="152" spans="2:18" x14ac:dyDescent="0.2">
      <c r="B152" t="s">
        <v>34</v>
      </c>
      <c r="C152">
        <v>100000</v>
      </c>
      <c r="D152">
        <v>557.83466199999998</v>
      </c>
      <c r="E152">
        <v>-15378.52173</v>
      </c>
      <c r="F152">
        <v>65352.493928999997</v>
      </c>
      <c r="G152">
        <v>8.9002999999999999E-2</v>
      </c>
      <c r="H152">
        <v>24.508738999999998</v>
      </c>
      <c r="I152">
        <v>196.113212</v>
      </c>
      <c r="J152">
        <v>13.596721000000001</v>
      </c>
      <c r="K152">
        <v>2574</v>
      </c>
      <c r="L152">
        <v>722</v>
      </c>
      <c r="M152">
        <f>L152/(L152+K152)</f>
        <v>0.21905339805825244</v>
      </c>
      <c r="N152">
        <f>-4.1156-2.5483*M152</f>
        <v>-4.673813774271844</v>
      </c>
      <c r="O152">
        <f>E152-(SUM(K152:L152)*N152)</f>
        <v>26.368469999997615</v>
      </c>
      <c r="P152">
        <f>O152/(2*H152*J152)</f>
        <v>3.9563962579978823E-2</v>
      </c>
      <c r="Q152">
        <f>P152*16.02</f>
        <v>0.63381468053126078</v>
      </c>
    </row>
    <row r="153" spans="2:18" x14ac:dyDescent="0.2">
      <c r="C153">
        <v>100000</v>
      </c>
      <c r="D153">
        <v>558.00637700000004</v>
      </c>
      <c r="E153">
        <v>-15301.105707999999</v>
      </c>
      <c r="F153">
        <v>65582.936321000001</v>
      </c>
      <c r="G153">
        <v>0.201295</v>
      </c>
      <c r="H153">
        <v>24.537512</v>
      </c>
      <c r="I153">
        <v>196.34345099999999</v>
      </c>
      <c r="J153">
        <v>13.612683000000001</v>
      </c>
      <c r="K153">
        <v>2605</v>
      </c>
      <c r="L153">
        <v>691</v>
      </c>
      <c r="M153">
        <f>L153/(L153+K153)</f>
        <v>0.20964805825242719</v>
      </c>
      <c r="N153">
        <f t="shared" ref="N153:N156" si="27">-4.1156-2.5483*M153</f>
        <v>-4.6498461468446601</v>
      </c>
      <c r="O153">
        <f>E153-(SUM(K153:L153)*N153)</f>
        <v>24.787191999999777</v>
      </c>
      <c r="P153">
        <f>O153/(2*H153*J153)</f>
        <v>3.7104200574200726E-2</v>
      </c>
      <c r="Q153">
        <f>P153*16.02</f>
        <v>0.59440929319869562</v>
      </c>
    </row>
    <row r="154" spans="2:18" x14ac:dyDescent="0.2">
      <c r="C154">
        <v>100000</v>
      </c>
      <c r="D154">
        <v>558.11753699999997</v>
      </c>
      <c r="E154">
        <v>-15404.396156999999</v>
      </c>
      <c r="F154">
        <v>65319.326575999999</v>
      </c>
      <c r="G154">
        <v>0.17422399999999999</v>
      </c>
      <c r="H154">
        <v>24.504591999999999</v>
      </c>
      <c r="I154">
        <v>196.080029</v>
      </c>
      <c r="J154">
        <v>13.59442</v>
      </c>
      <c r="K154">
        <v>2563</v>
      </c>
      <c r="L154">
        <v>733</v>
      </c>
      <c r="M154">
        <f t="shared" ref="M154:M156" si="28">L154/(L154+K154)</f>
        <v>0.22239077669902912</v>
      </c>
      <c r="N154">
        <f t="shared" si="27"/>
        <v>-4.6823184162621354</v>
      </c>
      <c r="O154">
        <f>E154-(SUM(K154:L154)*N154)</f>
        <v>28.525342999999339</v>
      </c>
      <c r="P154">
        <f>O154/(2*H154*J154)</f>
        <v>4.2814681764543498E-2</v>
      </c>
      <c r="Q154">
        <f>P154*16.02</f>
        <v>0.6858912018679868</v>
      </c>
    </row>
    <row r="155" spans="2:18" x14ac:dyDescent="0.2">
      <c r="C155">
        <v>100000</v>
      </c>
      <c r="D155">
        <v>557.94460600000002</v>
      </c>
      <c r="E155">
        <v>-15338.516803</v>
      </c>
      <c r="F155">
        <v>65487.930575999999</v>
      </c>
      <c r="G155">
        <v>-9.3921000000000004E-2</v>
      </c>
      <c r="H155">
        <v>24.525658</v>
      </c>
      <c r="I155">
        <v>196.24859599999999</v>
      </c>
      <c r="J155">
        <v>13.606107</v>
      </c>
      <c r="K155">
        <v>2592</v>
      </c>
      <c r="L155">
        <v>704</v>
      </c>
      <c r="M155">
        <f t="shared" si="28"/>
        <v>0.21359223300970873</v>
      </c>
      <c r="N155">
        <f t="shared" si="27"/>
        <v>-4.6598970873786403</v>
      </c>
      <c r="O155">
        <f>E155-(SUM(K155:L155)*N155)</f>
        <v>20.50399699999798</v>
      </c>
      <c r="P155">
        <f>O155/(2*H155*J155)</f>
        <v>3.0722318279031293E-2</v>
      </c>
      <c r="Q155">
        <f>P155*16.02</f>
        <v>0.4921715388300813</v>
      </c>
    </row>
    <row r="156" spans="2:18" x14ac:dyDescent="0.2">
      <c r="C156">
        <v>100000</v>
      </c>
      <c r="D156">
        <v>557.76066500000002</v>
      </c>
      <c r="E156">
        <v>-15280.102658</v>
      </c>
      <c r="F156">
        <v>65629.356610999996</v>
      </c>
      <c r="G156">
        <v>0.14125799999999999</v>
      </c>
      <c r="H156">
        <v>24.543299999999999</v>
      </c>
      <c r="I156">
        <v>196.38976199999999</v>
      </c>
      <c r="J156">
        <v>13.615894000000001</v>
      </c>
      <c r="K156">
        <v>2613</v>
      </c>
      <c r="L156">
        <v>683</v>
      </c>
      <c r="M156">
        <f t="shared" si="28"/>
        <v>0.20722087378640777</v>
      </c>
      <c r="N156">
        <f t="shared" si="27"/>
        <v>-4.6436609526699026</v>
      </c>
      <c r="O156">
        <f>E156-(SUM(K156:L156)*N156)</f>
        <v>25.403841999999713</v>
      </c>
      <c r="P156">
        <f>O156/(2*H156*J156)</f>
        <v>3.8009336595899369E-2</v>
      </c>
      <c r="Q156">
        <f>P156*16.02</f>
        <v>0.60890957226630793</v>
      </c>
    </row>
    <row r="157" spans="2:18" x14ac:dyDescent="0.2">
      <c r="Q157" s="1">
        <f>AVERAGE(Q152:Q156)</f>
        <v>0.60303925733886643</v>
      </c>
      <c r="R157">
        <f>STDEV(Q152:Q156)</f>
        <v>7.1084736882608565E-2</v>
      </c>
    </row>
    <row r="158" spans="2:18" x14ac:dyDescent="0.2">
      <c r="B158" t="s">
        <v>35</v>
      </c>
      <c r="C158">
        <v>100000</v>
      </c>
      <c r="D158">
        <v>557.73967400000004</v>
      </c>
      <c r="E158">
        <v>-22110.215509000001</v>
      </c>
      <c r="F158">
        <v>94419.149426000004</v>
      </c>
      <c r="G158">
        <v>5.8611999999999997E-2</v>
      </c>
      <c r="H158">
        <v>34.010751999999997</v>
      </c>
      <c r="I158">
        <v>204.064515</v>
      </c>
      <c r="J158">
        <v>13.604301</v>
      </c>
      <c r="K158">
        <v>3735</v>
      </c>
      <c r="L158">
        <v>1017</v>
      </c>
      <c r="M158">
        <f>L158/(L158+K158)</f>
        <v>0.21401515151515152</v>
      </c>
      <c r="N158">
        <f>-4.1156-2.5483*M158</f>
        <v>-4.66097481060606</v>
      </c>
      <c r="O158">
        <f>E158-(SUM(K158:L158)*N158)</f>
        <v>38.736790999995719</v>
      </c>
      <c r="P158">
        <f>O158/(2*H158*J158)</f>
        <v>4.1860188328913667E-2</v>
      </c>
      <c r="Q158">
        <f>P158*16.02</f>
        <v>0.67060021702919692</v>
      </c>
    </row>
    <row r="159" spans="2:18" x14ac:dyDescent="0.2">
      <c r="C159">
        <v>100000</v>
      </c>
      <c r="D159">
        <v>557.67345999999998</v>
      </c>
      <c r="E159">
        <v>-22141.372421</v>
      </c>
      <c r="F159">
        <v>94326.300076</v>
      </c>
      <c r="G159">
        <v>0.232765</v>
      </c>
      <c r="H159">
        <v>33.999600000000001</v>
      </c>
      <c r="I159">
        <v>203.997602</v>
      </c>
      <c r="J159">
        <v>13.59984</v>
      </c>
      <c r="K159">
        <v>3725</v>
      </c>
      <c r="L159">
        <v>1027</v>
      </c>
      <c r="M159">
        <f>L159/(L159+K159)</f>
        <v>0.21611952861952863</v>
      </c>
      <c r="N159">
        <f t="shared" ref="N159:N162" si="29">-4.1156-2.5483*M159</f>
        <v>-4.6663373947811442</v>
      </c>
      <c r="O159">
        <f>E159-(SUM(K159:L159)*N159)</f>
        <v>33.062878999997338</v>
      </c>
      <c r="P159">
        <f>O159/(2*H159*J159)</f>
        <v>3.5752224225584127E-2</v>
      </c>
      <c r="Q159">
        <f>P159*16.02</f>
        <v>0.57275063209385768</v>
      </c>
    </row>
    <row r="160" spans="2:18" x14ac:dyDescent="0.2">
      <c r="C160">
        <v>100000</v>
      </c>
      <c r="D160">
        <v>557.77417500000001</v>
      </c>
      <c r="E160">
        <v>-22154.941653999998</v>
      </c>
      <c r="F160">
        <v>94280.365464000002</v>
      </c>
      <c r="G160">
        <v>0.25045899999999999</v>
      </c>
      <c r="H160">
        <v>33.994081000000001</v>
      </c>
      <c r="I160">
        <v>203.964484</v>
      </c>
      <c r="J160">
        <v>13.597632000000001</v>
      </c>
      <c r="K160">
        <v>3720</v>
      </c>
      <c r="L160">
        <v>1032</v>
      </c>
      <c r="M160">
        <f t="shared" ref="M160:M162" si="30">L160/(L160+K160)</f>
        <v>0.21717171717171718</v>
      </c>
      <c r="N160">
        <f t="shared" si="29"/>
        <v>-4.6690186868686867</v>
      </c>
      <c r="O160">
        <f>E160-(SUM(K160:L160)*N160)</f>
        <v>32.235145999999077</v>
      </c>
      <c r="P160">
        <f>O160/(2*H160*J160)</f>
        <v>3.4868483347161111E-2</v>
      </c>
      <c r="Q160">
        <f>P160*16.02</f>
        <v>0.558593103221521</v>
      </c>
    </row>
    <row r="161" spans="2:18" x14ac:dyDescent="0.2">
      <c r="C161">
        <v>100000</v>
      </c>
      <c r="D161">
        <v>557.95432300000004</v>
      </c>
      <c r="E161">
        <v>-22190.836633999999</v>
      </c>
      <c r="F161">
        <v>94213.754948000002</v>
      </c>
      <c r="G161">
        <v>2.7030999999999999E-2</v>
      </c>
      <c r="H161">
        <v>33.986072999999998</v>
      </c>
      <c r="I161">
        <v>203.916437</v>
      </c>
      <c r="J161">
        <v>13.594429</v>
      </c>
      <c r="K161">
        <v>3709</v>
      </c>
      <c r="L161">
        <v>1043</v>
      </c>
      <c r="M161">
        <f t="shared" si="30"/>
        <v>0.21948653198653198</v>
      </c>
      <c r="N161">
        <f t="shared" si="29"/>
        <v>-4.674917529461279</v>
      </c>
      <c r="O161">
        <f>E161-(SUM(K161:L161)*N161)</f>
        <v>24.371465999996872</v>
      </c>
      <c r="P161">
        <f>O161/(2*H161*J161)</f>
        <v>2.6374831961807003E-2</v>
      </c>
      <c r="Q161">
        <f>P161*16.02</f>
        <v>0.42252480802814818</v>
      </c>
    </row>
    <row r="162" spans="2:18" x14ac:dyDescent="0.2">
      <c r="C162">
        <v>100000</v>
      </c>
      <c r="D162">
        <v>557.78407800000002</v>
      </c>
      <c r="E162">
        <v>-22238.765496</v>
      </c>
      <c r="F162">
        <v>94061.322488000005</v>
      </c>
      <c r="G162">
        <v>0.306286</v>
      </c>
      <c r="H162">
        <v>33.967734</v>
      </c>
      <c r="I162">
        <v>203.80640199999999</v>
      </c>
      <c r="J162">
        <v>13.587092999999999</v>
      </c>
      <c r="K162">
        <v>3689</v>
      </c>
      <c r="L162">
        <v>1063</v>
      </c>
      <c r="M162">
        <f t="shared" si="30"/>
        <v>0.2236952861952862</v>
      </c>
      <c r="N162">
        <f t="shared" si="29"/>
        <v>-4.6856426978114474</v>
      </c>
      <c r="O162">
        <f>E162-(SUM(K162:L162)*N162)</f>
        <v>27.408603999996558</v>
      </c>
      <c r="P162">
        <f>O162/(2*H162*J162)</f>
        <v>2.9693664456641379E-2</v>
      </c>
      <c r="Q162">
        <f>P162*16.02</f>
        <v>0.47569250459539486</v>
      </c>
    </row>
    <row r="163" spans="2:18" x14ac:dyDescent="0.2">
      <c r="Q163" s="1">
        <f>AVERAGE(Q158:Q162)</f>
        <v>0.54003225299362367</v>
      </c>
      <c r="R163">
        <f>STDEV(Q158:Q162)</f>
        <v>9.5407800481388139E-2</v>
      </c>
    </row>
    <row r="165" spans="2:18" x14ac:dyDescent="0.2">
      <c r="B165" s="1" t="s">
        <v>65</v>
      </c>
    </row>
    <row r="166" spans="2:18" x14ac:dyDescent="0.2">
      <c r="C166" t="s">
        <v>52</v>
      </c>
      <c r="D166" t="s">
        <v>13</v>
      </c>
      <c r="E166" t="s">
        <v>4</v>
      </c>
      <c r="F166" t="s">
        <v>5</v>
      </c>
      <c r="G166" t="s">
        <v>14</v>
      </c>
      <c r="H166" t="s">
        <v>15</v>
      </c>
      <c r="I166" t="s">
        <v>16</v>
      </c>
      <c r="J166" t="s">
        <v>17</v>
      </c>
      <c r="K166" t="s">
        <v>18</v>
      </c>
      <c r="L166" t="s">
        <v>19</v>
      </c>
      <c r="M166" t="s">
        <v>9</v>
      </c>
      <c r="N166" t="s">
        <v>20</v>
      </c>
      <c r="O166" t="s">
        <v>8</v>
      </c>
      <c r="P166" t="s">
        <v>21</v>
      </c>
      <c r="Q166" t="s">
        <v>21</v>
      </c>
    </row>
    <row r="167" spans="2:18" x14ac:dyDescent="0.2">
      <c r="B167" t="s">
        <v>25</v>
      </c>
      <c r="C167">
        <v>100000</v>
      </c>
      <c r="D167">
        <v>520.50560199999995</v>
      </c>
      <c r="E167">
        <v>-19101.308217999998</v>
      </c>
      <c r="F167">
        <v>75325.758411000003</v>
      </c>
      <c r="G167">
        <v>0.22930700000000001</v>
      </c>
      <c r="H167">
        <v>30.513534</v>
      </c>
      <c r="I167">
        <v>183.124135</v>
      </c>
      <c r="J167">
        <v>13.480478</v>
      </c>
      <c r="K167">
        <v>2702</v>
      </c>
      <c r="L167">
        <v>1202</v>
      </c>
      <c r="M167">
        <f>L167/(L167+K167)</f>
        <v>0.30788934426229508</v>
      </c>
      <c r="N167">
        <f>-4.1204-2.5358*M167</f>
        <v>-4.9011457991803278</v>
      </c>
      <c r="O167">
        <f>E167-(SUM(K167:L167)*N167)</f>
        <v>32.7649820000006</v>
      </c>
      <c r="P167">
        <f>O167/(2*H167*J167)</f>
        <v>3.9827416577005843E-2</v>
      </c>
      <c r="Q167">
        <f>P167*16.02</f>
        <v>0.63803521356363357</v>
      </c>
    </row>
    <row r="168" spans="2:18" x14ac:dyDescent="0.2">
      <c r="C168">
        <v>100000</v>
      </c>
      <c r="D168">
        <v>520.64368400000001</v>
      </c>
      <c r="E168">
        <v>-19081.896713999999</v>
      </c>
      <c r="F168">
        <v>75370.660376</v>
      </c>
      <c r="G168">
        <v>0.39185700000000001</v>
      </c>
      <c r="H168">
        <v>30.519596</v>
      </c>
      <c r="I168">
        <v>183.160515</v>
      </c>
      <c r="J168">
        <v>13.483155999999999</v>
      </c>
      <c r="K168">
        <v>2713</v>
      </c>
      <c r="L168">
        <v>1191</v>
      </c>
      <c r="M168">
        <f>L168/(L168+K168)</f>
        <v>0.30507172131147542</v>
      </c>
      <c r="N168">
        <f t="shared" ref="N168:N171" si="31">-4.1204-2.5358*M168</f>
        <v>-4.8940008709016398</v>
      </c>
      <c r="O168">
        <f>E168-(SUM(K168:L168)*N168)</f>
        <v>24.282686000002286</v>
      </c>
      <c r="P168">
        <f>O168/(2*H168*J168)</f>
        <v>2.9505052288748352E-2</v>
      </c>
      <c r="Q168">
        <f>P168*16.02</f>
        <v>0.47267093766574858</v>
      </c>
    </row>
    <row r="169" spans="2:18" x14ac:dyDescent="0.2">
      <c r="C169">
        <v>100000</v>
      </c>
      <c r="D169">
        <v>520.38565700000004</v>
      </c>
      <c r="E169">
        <v>-18961.852589999999</v>
      </c>
      <c r="F169">
        <v>75641.182006999996</v>
      </c>
      <c r="G169">
        <v>0.31424200000000002</v>
      </c>
      <c r="H169">
        <v>30.556066000000001</v>
      </c>
      <c r="I169">
        <v>183.37938500000001</v>
      </c>
      <c r="J169">
        <v>13.499268000000001</v>
      </c>
      <c r="K169">
        <v>2759</v>
      </c>
      <c r="L169">
        <v>1145</v>
      </c>
      <c r="M169">
        <f>L169/(L169+K169)</f>
        <v>0.2932889344262295</v>
      </c>
      <c r="N169">
        <f t="shared" si="31"/>
        <v>-4.8641220799180331</v>
      </c>
      <c r="O169">
        <f>E169-(SUM(K169:L169)*N169)</f>
        <v>27.680010000003676</v>
      </c>
      <c r="P169">
        <f>O169/(2*H169*J169)</f>
        <v>3.3552786095204915E-2</v>
      </c>
      <c r="Q169">
        <f>P169*16.02</f>
        <v>0.5375156332451827</v>
      </c>
    </row>
    <row r="170" spans="2:18" x14ac:dyDescent="0.2">
      <c r="C170">
        <v>100000</v>
      </c>
      <c r="D170">
        <v>520.57063800000003</v>
      </c>
      <c r="E170">
        <v>-19121.729524999999</v>
      </c>
      <c r="F170">
        <v>75300.139043999996</v>
      </c>
      <c r="G170">
        <v>0.44251200000000002</v>
      </c>
      <c r="H170">
        <v>30.510073999999999</v>
      </c>
      <c r="I170">
        <v>183.10337100000001</v>
      </c>
      <c r="J170">
        <v>13.478949</v>
      </c>
      <c r="K170">
        <v>2695</v>
      </c>
      <c r="L170">
        <v>1209</v>
      </c>
      <c r="M170">
        <f>L170/(L170+K170)</f>
        <v>0.30968237704918034</v>
      </c>
      <c r="N170">
        <f t="shared" si="31"/>
        <v>-4.9056925717213113</v>
      </c>
      <c r="O170">
        <f>E170-(SUM(K170:L170)*N170)</f>
        <v>30.09427499999947</v>
      </c>
      <c r="P170">
        <f>O170/(2*H170*J170)</f>
        <v>3.6589341915548544E-2</v>
      </c>
      <c r="Q170">
        <f>P170*16.02</f>
        <v>0.58616125748708769</v>
      </c>
    </row>
    <row r="171" spans="2:18" x14ac:dyDescent="0.2">
      <c r="C171">
        <v>100000</v>
      </c>
      <c r="D171">
        <v>520.513824</v>
      </c>
      <c r="E171">
        <v>-19018.473427000001</v>
      </c>
      <c r="F171">
        <v>75514.667180000004</v>
      </c>
      <c r="G171">
        <v>0.24707599999999999</v>
      </c>
      <c r="H171">
        <v>30.539021000000002</v>
      </c>
      <c r="I171">
        <v>183.27709200000001</v>
      </c>
      <c r="J171">
        <v>13.491738</v>
      </c>
      <c r="K171">
        <v>2735</v>
      </c>
      <c r="L171">
        <v>1169</v>
      </c>
      <c r="M171">
        <f>L171/(L171+K171)</f>
        <v>0.29943647540983609</v>
      </c>
      <c r="N171">
        <f t="shared" si="31"/>
        <v>-4.8797110143442621</v>
      </c>
      <c r="O171">
        <f>E171-(SUM(K171:L171)*N171)</f>
        <v>31.918372999996791</v>
      </c>
      <c r="P171">
        <f>O171/(2*H171*J171)</f>
        <v>3.8733589040951567E-2</v>
      </c>
      <c r="Q171">
        <f>P171*16.02</f>
        <v>0.6205120964360441</v>
      </c>
    </row>
    <row r="172" spans="2:18" x14ac:dyDescent="0.2">
      <c r="Q172" s="1">
        <f>AVERAGE(Q167:Q171)</f>
        <v>0.57097902767953934</v>
      </c>
      <c r="R172">
        <f>STDEV(Q167:Q171)</f>
        <v>6.7016483787417383E-2</v>
      </c>
    </row>
    <row r="173" spans="2:18" x14ac:dyDescent="0.2">
      <c r="B173" t="s">
        <v>30</v>
      </c>
      <c r="C173">
        <v>100000</v>
      </c>
      <c r="D173">
        <v>557.78270999999995</v>
      </c>
      <c r="E173">
        <v>-15349.811818</v>
      </c>
      <c r="F173">
        <v>61445.593262000002</v>
      </c>
      <c r="G173">
        <v>0.25239200000000001</v>
      </c>
      <c r="H173">
        <v>23.853679</v>
      </c>
      <c r="I173">
        <v>190.87241499999999</v>
      </c>
      <c r="J173">
        <v>13.495595</v>
      </c>
      <c r="K173">
        <v>2251</v>
      </c>
      <c r="L173">
        <v>917</v>
      </c>
      <c r="M173">
        <f t="shared" ref="M173:M175" si="32">L173/(L173+K173)</f>
        <v>0.28945707070707072</v>
      </c>
      <c r="N173">
        <f>-4.1204-2.5358*M173</f>
        <v>-4.8544052398989903</v>
      </c>
      <c r="O173">
        <f>E173-(SUM(K173:L173)*N173)</f>
        <v>28.943982000000688</v>
      </c>
      <c r="P173">
        <f>O173/(2*H173*J173)</f>
        <v>4.4955297542056349E-2</v>
      </c>
      <c r="Q173">
        <f>P173*16.02</f>
        <v>0.72018386662374267</v>
      </c>
    </row>
    <row r="174" spans="2:18" x14ac:dyDescent="0.2">
      <c r="C174">
        <v>100000</v>
      </c>
      <c r="D174">
        <v>557.70355600000005</v>
      </c>
      <c r="E174">
        <v>-15483.133186999999</v>
      </c>
      <c r="F174">
        <v>61175.822487999998</v>
      </c>
      <c r="G174">
        <v>0.50566</v>
      </c>
      <c r="H174">
        <v>23.818719000000002</v>
      </c>
      <c r="I174">
        <v>190.592669</v>
      </c>
      <c r="J174">
        <v>13.475816</v>
      </c>
      <c r="K174">
        <v>2200</v>
      </c>
      <c r="L174">
        <v>968</v>
      </c>
      <c r="M174">
        <f t="shared" si="32"/>
        <v>0.30555555555555558</v>
      </c>
      <c r="N174">
        <f t="shared" ref="N174:N177" si="33">-4.1204-2.5358*M174</f>
        <v>-4.8952277777777784</v>
      </c>
      <c r="O174">
        <f>E174-(SUM(K174:L174)*N174)</f>
        <v>24.948413000001892</v>
      </c>
      <c r="P174">
        <f>O174/(2*H174*J174)</f>
        <v>3.8863280378730825E-2</v>
      </c>
      <c r="Q174">
        <f>P174*16.02</f>
        <v>0.62258975166726782</v>
      </c>
    </row>
    <row r="175" spans="2:18" x14ac:dyDescent="0.2">
      <c r="C175">
        <v>100000</v>
      </c>
      <c r="D175">
        <v>557.70016699999996</v>
      </c>
      <c r="E175">
        <v>-15472.538780999999</v>
      </c>
      <c r="F175">
        <v>61179.865732999999</v>
      </c>
      <c r="G175">
        <v>0.25972000000000001</v>
      </c>
      <c r="H175">
        <v>23.819244000000001</v>
      </c>
      <c r="I175">
        <v>190.596868</v>
      </c>
      <c r="J175">
        <v>13.476113</v>
      </c>
      <c r="K175">
        <v>2206</v>
      </c>
      <c r="L175">
        <v>962</v>
      </c>
      <c r="M175">
        <f t="shared" si="32"/>
        <v>0.30366161616161619</v>
      </c>
      <c r="N175">
        <f t="shared" si="33"/>
        <v>-4.8904251262626266</v>
      </c>
      <c r="O175">
        <f>E175-(SUM(K175:L175)*N175)</f>
        <v>20.328019000002314</v>
      </c>
      <c r="P175">
        <f>O175/(2*H175*J175)</f>
        <v>3.1664486175194934E-2</v>
      </c>
      <c r="Q175">
        <f>P175*16.02</f>
        <v>0.50726506852662279</v>
      </c>
    </row>
    <row r="176" spans="2:18" x14ac:dyDescent="0.2">
      <c r="C176">
        <v>100000</v>
      </c>
      <c r="D176">
        <v>557.78077599999995</v>
      </c>
      <c r="E176">
        <v>-15472.583852</v>
      </c>
      <c r="F176">
        <v>61196.512062000002</v>
      </c>
      <c r="G176">
        <v>-4.8607999999999998E-2</v>
      </c>
      <c r="H176">
        <v>23.821404000000001</v>
      </c>
      <c r="I176">
        <v>190.61415500000001</v>
      </c>
      <c r="J176">
        <v>13.477335</v>
      </c>
      <c r="K176">
        <v>2203</v>
      </c>
      <c r="L176">
        <v>965</v>
      </c>
      <c r="M176">
        <f>L176/(L176+K176)</f>
        <v>0.30460858585858586</v>
      </c>
      <c r="N176">
        <f t="shared" si="33"/>
        <v>-4.8928264520202021</v>
      </c>
      <c r="O176">
        <f>E176-(SUM(K176:L176)*N176)</f>
        <v>27.890348000000813</v>
      </c>
      <c r="P176">
        <f>O176/(2*H176*J176)</f>
        <v>4.3436273531334391E-2</v>
      </c>
      <c r="Q176">
        <f>P176*16.02</f>
        <v>0.69584910197197691</v>
      </c>
    </row>
    <row r="177" spans="2:18" x14ac:dyDescent="0.2">
      <c r="C177">
        <v>100000</v>
      </c>
      <c r="D177">
        <v>557.81764399999997</v>
      </c>
      <c r="E177">
        <v>-15413.490338</v>
      </c>
      <c r="F177">
        <v>61316.397526000001</v>
      </c>
      <c r="G177">
        <v>-0.131628</v>
      </c>
      <c r="H177">
        <v>23.836949000000001</v>
      </c>
      <c r="I177">
        <v>190.73854499999999</v>
      </c>
      <c r="J177">
        <v>13.486129999999999</v>
      </c>
      <c r="K177">
        <v>2227</v>
      </c>
      <c r="L177">
        <v>941</v>
      </c>
      <c r="M177">
        <f>L177/(L177+K177)</f>
        <v>0.29703282828282829</v>
      </c>
      <c r="N177">
        <f t="shared" si="33"/>
        <v>-4.8736158459595957</v>
      </c>
      <c r="O177">
        <f>E177-(SUM(K177:L177)*N177)</f>
        <v>26.124662000000171</v>
      </c>
      <c r="P177">
        <f>O177/(2*H177*J177)</f>
        <v>4.063335435270974E-2</v>
      </c>
      <c r="Q177">
        <f>P177*16.02</f>
        <v>0.65094633673041002</v>
      </c>
    </row>
    <row r="178" spans="2:18" x14ac:dyDescent="0.2">
      <c r="Q178" s="1">
        <f>AVERAGE(Q173:Q177)</f>
        <v>0.63936682510400411</v>
      </c>
      <c r="R178">
        <f>STDEV(Q173:Q177)</f>
        <v>8.3048285914928299E-2</v>
      </c>
    </row>
    <row r="179" spans="2:18" x14ac:dyDescent="0.2">
      <c r="B179" t="s">
        <v>24</v>
      </c>
      <c r="C179">
        <v>100000</v>
      </c>
      <c r="D179">
        <v>557.69987400000002</v>
      </c>
      <c r="E179">
        <v>-12106.948106</v>
      </c>
      <c r="F179">
        <v>47687.339553999998</v>
      </c>
      <c r="G179">
        <v>6.2979999999999998E-3</v>
      </c>
      <c r="H179">
        <v>34.346449</v>
      </c>
      <c r="I179">
        <v>137.40724900000001</v>
      </c>
      <c r="J179">
        <v>10.104421</v>
      </c>
      <c r="K179">
        <v>1704</v>
      </c>
      <c r="L179">
        <v>768</v>
      </c>
      <c r="M179">
        <f t="shared" ref="M179:M181" si="34">L179/(L179+K179)</f>
        <v>0.31067961165048541</v>
      </c>
      <c r="N179">
        <f>-4.1204-2.5358*M179</f>
        <v>-4.9082213592233011</v>
      </c>
      <c r="O179">
        <f>E179-(SUM(K179:L179)*N179)</f>
        <v>26.175094000000172</v>
      </c>
      <c r="P179">
        <f>O179/(2*H179*J179)</f>
        <v>3.7710733389141785E-2</v>
      </c>
      <c r="Q179">
        <f>P179*16.02</f>
        <v>0.60412594889405136</v>
      </c>
    </row>
    <row r="180" spans="2:18" x14ac:dyDescent="0.2">
      <c r="C180">
        <v>100000</v>
      </c>
      <c r="D180">
        <v>557.54581499999995</v>
      </c>
      <c r="E180">
        <v>-12028.280629999999</v>
      </c>
      <c r="F180">
        <v>47863.974481999998</v>
      </c>
      <c r="G180">
        <v>0.24033599999999999</v>
      </c>
      <c r="H180">
        <v>34.388803000000003</v>
      </c>
      <c r="I180">
        <v>137.57669200000001</v>
      </c>
      <c r="J180">
        <v>10.116880999999999</v>
      </c>
      <c r="K180">
        <v>1732</v>
      </c>
      <c r="L180">
        <v>740</v>
      </c>
      <c r="M180">
        <f t="shared" si="34"/>
        <v>0.29935275080906149</v>
      </c>
      <c r="N180">
        <f t="shared" ref="N180:N183" si="35">-4.1204-2.5358*M180</f>
        <v>-4.8794987055016179</v>
      </c>
      <c r="O180">
        <f>E180-(SUM(K180:L180)*N180)</f>
        <v>33.840169999999489</v>
      </c>
      <c r="P180">
        <f>O180/(2*H180*J180)</f>
        <v>4.8633871121013077E-2</v>
      </c>
      <c r="Q180">
        <f>P180*16.02</f>
        <v>0.77911461535862947</v>
      </c>
    </row>
    <row r="181" spans="2:18" x14ac:dyDescent="0.2">
      <c r="C181">
        <v>100000</v>
      </c>
      <c r="D181">
        <v>557.80463899999995</v>
      </c>
      <c r="E181">
        <v>-12038.048052</v>
      </c>
      <c r="F181">
        <v>47863.996160000002</v>
      </c>
      <c r="G181">
        <v>0.28997800000000001</v>
      </c>
      <c r="H181">
        <v>34.388807999999997</v>
      </c>
      <c r="I181">
        <v>137.57671300000001</v>
      </c>
      <c r="J181">
        <v>10.116882</v>
      </c>
      <c r="K181">
        <v>1728</v>
      </c>
      <c r="L181">
        <v>744</v>
      </c>
      <c r="M181">
        <f t="shared" si="34"/>
        <v>0.30097087378640774</v>
      </c>
      <c r="N181">
        <f t="shared" si="35"/>
        <v>-4.8836019417475729</v>
      </c>
      <c r="O181">
        <f>E181-(SUM(K181:L181)*N181)</f>
        <v>34.215948000000935</v>
      </c>
      <c r="P181">
        <f>O181/(2*H181*J181)</f>
        <v>4.9173913691493168E-2</v>
      </c>
      <c r="Q181">
        <f>P181*16.02</f>
        <v>0.78776609733772052</v>
      </c>
    </row>
    <row r="182" spans="2:18" x14ac:dyDescent="0.2">
      <c r="C182">
        <v>100000</v>
      </c>
      <c r="D182">
        <v>557.82800999999995</v>
      </c>
      <c r="E182">
        <v>-12087.749463</v>
      </c>
      <c r="F182">
        <v>47750.221638000003</v>
      </c>
      <c r="G182">
        <v>-8.8860999999999996E-2</v>
      </c>
      <c r="H182">
        <v>34.361539</v>
      </c>
      <c r="I182">
        <v>137.46762000000001</v>
      </c>
      <c r="J182">
        <v>10.10886</v>
      </c>
      <c r="K182">
        <v>1711</v>
      </c>
      <c r="L182">
        <v>761</v>
      </c>
      <c r="M182">
        <f>L182/(L182+K182)</f>
        <v>0.30784789644012944</v>
      </c>
      <c r="N182">
        <f t="shared" si="35"/>
        <v>-4.9010406957928803</v>
      </c>
      <c r="O182">
        <f>E182-(SUM(K182:L182)*N182)</f>
        <v>27.623137000000497</v>
      </c>
      <c r="P182">
        <f>O182/(2*H182*J182)</f>
        <v>3.9761999250097588E-2</v>
      </c>
      <c r="Q182">
        <f>P182*16.02</f>
        <v>0.63698722798656338</v>
      </c>
    </row>
    <row r="183" spans="2:18" x14ac:dyDescent="0.2">
      <c r="C183">
        <v>100000</v>
      </c>
      <c r="D183">
        <v>558.04017299999998</v>
      </c>
      <c r="E183">
        <v>-12009.061960999999</v>
      </c>
      <c r="F183">
        <v>47898.470645000001</v>
      </c>
      <c r="G183">
        <v>5.7889000000000003E-2</v>
      </c>
      <c r="H183">
        <v>34.397063000000003</v>
      </c>
      <c r="I183">
        <v>137.609737</v>
      </c>
      <c r="J183">
        <v>10.119311</v>
      </c>
      <c r="K183">
        <v>1742</v>
      </c>
      <c r="L183">
        <v>730</v>
      </c>
      <c r="M183">
        <f>L183/(L183+K183)</f>
        <v>0.29530744336569581</v>
      </c>
      <c r="N183">
        <f t="shared" si="35"/>
        <v>-4.8692406148867313</v>
      </c>
      <c r="O183">
        <f>E183-(SUM(K183:L183)*N183)</f>
        <v>27.700839000000997</v>
      </c>
      <c r="P183">
        <f>O183/(2*H183*J183)</f>
        <v>3.9791528528846931E-2</v>
      </c>
      <c r="Q183">
        <f>P183*16.02</f>
        <v>0.63746028703212787</v>
      </c>
    </row>
    <row r="184" spans="2:18" x14ac:dyDescent="0.2">
      <c r="Q184" s="1">
        <f>AVERAGE(Q179:Q183)</f>
        <v>0.68909083532181847</v>
      </c>
      <c r="R184">
        <f>STDEV(Q179:Q183)</f>
        <v>8.7236201839813524E-2</v>
      </c>
    </row>
    <row r="185" spans="2:18" x14ac:dyDescent="0.2">
      <c r="B185" t="s">
        <v>31</v>
      </c>
      <c r="C185">
        <v>100000</v>
      </c>
      <c r="D185">
        <v>557.94036600000004</v>
      </c>
      <c r="E185">
        <v>-15714.622182999999</v>
      </c>
      <c r="F185">
        <v>62604.799477</v>
      </c>
      <c r="G185">
        <v>0.25808700000000001</v>
      </c>
      <c r="H185">
        <v>27.808713999999998</v>
      </c>
      <c r="I185">
        <v>166.87376800000001</v>
      </c>
      <c r="J185">
        <v>13.490824999999999</v>
      </c>
      <c r="K185">
        <v>2274</v>
      </c>
      <c r="L185">
        <v>958</v>
      </c>
      <c r="M185">
        <f t="shared" ref="M185:M187" si="36">L185/(L185+K185)</f>
        <v>0.2964108910891089</v>
      </c>
      <c r="N185">
        <f>-4.1204-2.5358*M185</f>
        <v>-4.8720387376237628</v>
      </c>
      <c r="O185">
        <f>E185-(SUM(K185:L185)*N185)</f>
        <v>31.807017000002816</v>
      </c>
      <c r="P185">
        <f>O185/(2*H185*J185)</f>
        <v>4.2390987244908689E-2</v>
      </c>
      <c r="Q185">
        <f>P185*16.02</f>
        <v>0.67910361566343713</v>
      </c>
    </row>
    <row r="186" spans="2:18" x14ac:dyDescent="0.2">
      <c r="C186">
        <v>100000</v>
      </c>
      <c r="D186">
        <v>557.63629200000003</v>
      </c>
      <c r="E186">
        <v>-15822.992903</v>
      </c>
      <c r="F186">
        <v>62361.342869</v>
      </c>
      <c r="G186">
        <v>0.175152</v>
      </c>
      <c r="H186">
        <v>27.77262</v>
      </c>
      <c r="I186">
        <v>166.657174</v>
      </c>
      <c r="J186">
        <v>13.473314</v>
      </c>
      <c r="K186">
        <v>2230</v>
      </c>
      <c r="L186">
        <v>1002</v>
      </c>
      <c r="M186">
        <f t="shared" si="36"/>
        <v>0.31002475247524752</v>
      </c>
      <c r="N186">
        <f t="shared" ref="N186:N189" si="37">-4.1204-2.5358*M186</f>
        <v>-4.9065607673267326</v>
      </c>
      <c r="O186">
        <f>E186-(SUM(K186:L186)*N186)</f>
        <v>35.011496999999508</v>
      </c>
      <c r="P186">
        <f>O186/(2*H186*J186)</f>
        <v>4.6783143668843744E-2</v>
      </c>
      <c r="Q186">
        <f>P186*16.02</f>
        <v>0.74946596157487677</v>
      </c>
    </row>
    <row r="187" spans="2:18" x14ac:dyDescent="0.2">
      <c r="C187">
        <v>100000</v>
      </c>
      <c r="D187">
        <v>557.75042900000005</v>
      </c>
      <c r="E187">
        <v>-15673.853961999999</v>
      </c>
      <c r="F187">
        <v>62697.009053000002</v>
      </c>
      <c r="G187">
        <v>0.102275</v>
      </c>
      <c r="H187">
        <v>27.82236</v>
      </c>
      <c r="I187">
        <v>166.95565500000001</v>
      </c>
      <c r="J187">
        <v>13.497445000000001</v>
      </c>
      <c r="K187">
        <v>2288</v>
      </c>
      <c r="L187">
        <v>944</v>
      </c>
      <c r="M187">
        <f t="shared" si="36"/>
        <v>0.29207920792079206</v>
      </c>
      <c r="N187">
        <f t="shared" si="37"/>
        <v>-4.8610544554455446</v>
      </c>
      <c r="O187">
        <f>E187-(SUM(K187:L187)*N187)</f>
        <v>37.074038000000655</v>
      </c>
      <c r="P187">
        <f>O187/(2*H187*J187)</f>
        <v>4.936218358074574E-2</v>
      </c>
      <c r="Q187">
        <f>P187*16.02</f>
        <v>0.79078218096354669</v>
      </c>
    </row>
    <row r="188" spans="2:18" x14ac:dyDescent="0.2">
      <c r="C188">
        <v>100000</v>
      </c>
      <c r="D188">
        <v>557.74737600000003</v>
      </c>
      <c r="E188">
        <v>-15768.557562</v>
      </c>
      <c r="F188">
        <v>62491.558558999997</v>
      </c>
      <c r="G188">
        <v>0.33944600000000003</v>
      </c>
      <c r="H188">
        <v>27.791937000000001</v>
      </c>
      <c r="I188">
        <v>166.77309099999999</v>
      </c>
      <c r="J188">
        <v>13.482685999999999</v>
      </c>
      <c r="K188">
        <v>2251</v>
      </c>
      <c r="L188">
        <v>981</v>
      </c>
      <c r="M188">
        <f>L188/(L188+K188)</f>
        <v>0.3035272277227723</v>
      </c>
      <c r="N188">
        <f t="shared" si="37"/>
        <v>-4.8900843440594057</v>
      </c>
      <c r="O188">
        <f>E188-(SUM(K188:L188)*N188)</f>
        <v>36.19503799999984</v>
      </c>
      <c r="P188">
        <f>O188/(2*H188*J188)</f>
        <v>4.8297405824748556E-2</v>
      </c>
      <c r="Q188">
        <f>P188*16.02</f>
        <v>0.77372444131247187</v>
      </c>
    </row>
    <row r="189" spans="2:18" x14ac:dyDescent="0.2">
      <c r="C189">
        <v>100000</v>
      </c>
      <c r="D189">
        <v>557.88594899999998</v>
      </c>
      <c r="E189">
        <v>-15737.311121999999</v>
      </c>
      <c r="F189">
        <v>62558.292528999998</v>
      </c>
      <c r="G189">
        <v>0.15779499999999999</v>
      </c>
      <c r="H189">
        <v>27.801826999999999</v>
      </c>
      <c r="I189">
        <v>166.832436</v>
      </c>
      <c r="J189">
        <v>13.487482999999999</v>
      </c>
      <c r="K189">
        <v>2262</v>
      </c>
      <c r="L189">
        <v>970</v>
      </c>
      <c r="M189">
        <f>L189/(L189+K189)</f>
        <v>0.30012376237623761</v>
      </c>
      <c r="N189">
        <f t="shared" si="37"/>
        <v>-4.8814538366336633</v>
      </c>
      <c r="O189">
        <f>E189-(SUM(K189:L189)*N189)</f>
        <v>39.547678000000815</v>
      </c>
      <c r="P189">
        <f>O189/(2*H189*J189)</f>
        <v>5.2733518197481281E-2</v>
      </c>
      <c r="Q189">
        <f>P189*16.02</f>
        <v>0.84479096152365007</v>
      </c>
    </row>
    <row r="190" spans="2:18" x14ac:dyDescent="0.2">
      <c r="Q190" s="1">
        <f>AVERAGE(Q185:Q189)</f>
        <v>0.76757343220759666</v>
      </c>
      <c r="R190">
        <f>STDEV(Q185:Q189)</f>
        <v>6.0609027169169882E-2</v>
      </c>
    </row>
    <row r="191" spans="2:18" x14ac:dyDescent="0.2">
      <c r="B191" t="s">
        <v>23</v>
      </c>
      <c r="C191">
        <v>100000</v>
      </c>
      <c r="D191">
        <v>557.64187500000003</v>
      </c>
      <c r="E191">
        <v>-13969.650799999999</v>
      </c>
      <c r="F191">
        <v>55863.860399999998</v>
      </c>
      <c r="G191">
        <v>0.14172199999999999</v>
      </c>
      <c r="H191">
        <v>32.05097</v>
      </c>
      <c r="I191">
        <v>128.592377</v>
      </c>
      <c r="J191">
        <v>13.554214999999999</v>
      </c>
      <c r="K191">
        <v>2038</v>
      </c>
      <c r="L191">
        <v>842</v>
      </c>
      <c r="M191">
        <f t="shared" ref="M191:M193" si="38">L191/(L191+K191)</f>
        <v>0.29236111111111113</v>
      </c>
      <c r="N191">
        <f>-4.1204-2.5358*M191</f>
        <v>-4.8617693055555558</v>
      </c>
      <c r="O191">
        <f>E191-(SUM(K191:L191)*N191)</f>
        <v>32.244800000000396</v>
      </c>
      <c r="P191">
        <f>O191/(2*H191*J191)</f>
        <v>3.7111981582076375E-2</v>
      </c>
      <c r="Q191">
        <f>P191*16.02</f>
        <v>0.59453394494486356</v>
      </c>
    </row>
    <row r="192" spans="2:18" x14ac:dyDescent="0.2">
      <c r="C192">
        <v>100000</v>
      </c>
      <c r="D192">
        <v>557.92903999999999</v>
      </c>
      <c r="E192">
        <v>-14045.760415999999</v>
      </c>
      <c r="F192">
        <v>55711.101221999998</v>
      </c>
      <c r="G192">
        <v>0.23242499999999999</v>
      </c>
      <c r="H192">
        <v>32.021729000000001</v>
      </c>
      <c r="I192">
        <v>128.47505899999999</v>
      </c>
      <c r="J192">
        <v>13.541848999999999</v>
      </c>
      <c r="K192">
        <v>2009</v>
      </c>
      <c r="L192">
        <v>871</v>
      </c>
      <c r="M192">
        <f t="shared" si="38"/>
        <v>0.30243055555555554</v>
      </c>
      <c r="N192">
        <f t="shared" ref="N192:N195" si="39">-4.1204-2.5358*M192</f>
        <v>-4.8873034027777775</v>
      </c>
      <c r="O192">
        <f>E192-(SUM(K192:L192)*N192)</f>
        <v>29.673383999999714</v>
      </c>
      <c r="P192">
        <f>O192/(2*H192*J192)</f>
        <v>3.4214826061594615E-2</v>
      </c>
      <c r="Q192">
        <f>P192*16.02</f>
        <v>0.54812151350674576</v>
      </c>
    </row>
    <row r="193" spans="2:18" x14ac:dyDescent="0.2">
      <c r="C193">
        <v>100000</v>
      </c>
      <c r="D193">
        <v>557.88473099999999</v>
      </c>
      <c r="E193">
        <v>-14060.855221</v>
      </c>
      <c r="F193">
        <v>55664.460241000001</v>
      </c>
      <c r="G193">
        <v>0.24129700000000001</v>
      </c>
      <c r="H193">
        <v>32.012791</v>
      </c>
      <c r="I193">
        <v>128.43919600000001</v>
      </c>
      <c r="J193">
        <v>13.538069</v>
      </c>
      <c r="K193">
        <v>2001</v>
      </c>
      <c r="L193">
        <v>879</v>
      </c>
      <c r="M193">
        <f t="shared" si="38"/>
        <v>0.30520833333333336</v>
      </c>
      <c r="N193">
        <f t="shared" si="39"/>
        <v>-4.8943472916666666</v>
      </c>
      <c r="O193">
        <f>E193-(SUM(K193:L193)*N193)</f>
        <v>34.864978999999948</v>
      </c>
      <c r="P193">
        <f>O193/(2*H193*J193)</f>
        <v>4.0223434448194179E-2</v>
      </c>
      <c r="Q193">
        <f>P193*16.02</f>
        <v>0.64437941986007075</v>
      </c>
    </row>
    <row r="194" spans="2:18" x14ac:dyDescent="0.2">
      <c r="C194">
        <v>100000</v>
      </c>
      <c r="D194">
        <v>557.70493199999999</v>
      </c>
      <c r="E194">
        <v>-13938.587814</v>
      </c>
      <c r="F194">
        <v>55950.893944000003</v>
      </c>
      <c r="G194">
        <v>-3.7867999999999999E-2</v>
      </c>
      <c r="H194">
        <v>32.067605999999998</v>
      </c>
      <c r="I194">
        <v>128.65912299999999</v>
      </c>
      <c r="J194">
        <v>13.561249999999999</v>
      </c>
      <c r="K194">
        <v>2050</v>
      </c>
      <c r="L194">
        <v>830</v>
      </c>
      <c r="M194">
        <f>L194/(L194+K194)</f>
        <v>0.28819444444444442</v>
      </c>
      <c r="N194">
        <f t="shared" si="39"/>
        <v>-4.8512034722222221</v>
      </c>
      <c r="O194">
        <f>E194-(SUM(K194:L194)*N194)</f>
        <v>32.878185999999914</v>
      </c>
      <c r="P194">
        <f>O194/(2*H194*J194)</f>
        <v>3.7801722633561484E-2</v>
      </c>
      <c r="Q194">
        <f>P194*16.02</f>
        <v>0.60558359658965499</v>
      </c>
    </row>
    <row r="195" spans="2:18" x14ac:dyDescent="0.2">
      <c r="C195">
        <v>100000</v>
      </c>
      <c r="D195">
        <v>557.641569</v>
      </c>
      <c r="E195">
        <v>-14061.352253999999</v>
      </c>
      <c r="F195">
        <v>55654.549978000003</v>
      </c>
      <c r="G195">
        <v>6.3113000000000002E-2</v>
      </c>
      <c r="H195">
        <v>32.010891000000001</v>
      </c>
      <c r="I195">
        <v>128.43157299999999</v>
      </c>
      <c r="J195">
        <v>13.537265</v>
      </c>
      <c r="K195">
        <v>2002</v>
      </c>
      <c r="L195">
        <v>878</v>
      </c>
      <c r="M195">
        <f>L195/(L195+K195)</f>
        <v>0.30486111111111114</v>
      </c>
      <c r="N195">
        <f t="shared" si="39"/>
        <v>-4.8934668055555557</v>
      </c>
      <c r="O195">
        <f>E195-(SUM(K195:L195)*N195)</f>
        <v>31.832146000000648</v>
      </c>
      <c r="P195">
        <f>O195/(2*H195*J195)</f>
        <v>3.6728841431003793E-2</v>
      </c>
      <c r="Q195">
        <f>P195*16.02</f>
        <v>0.5883960397246808</v>
      </c>
    </row>
    <row r="196" spans="2:18" x14ac:dyDescent="0.2">
      <c r="Q196" s="1">
        <f>AVERAGE(Q191:Q195)</f>
        <v>0.59620290292520317</v>
      </c>
      <c r="R196">
        <f>STDEV(Q191:Q195)</f>
        <v>3.4585136763438662E-2</v>
      </c>
    </row>
    <row r="197" spans="2:18" x14ac:dyDescent="0.2">
      <c r="B197" t="s">
        <v>32</v>
      </c>
      <c r="C197">
        <v>100000</v>
      </c>
      <c r="D197">
        <v>557.83422299999995</v>
      </c>
      <c r="E197">
        <v>-17880.858813999999</v>
      </c>
      <c r="F197">
        <v>71320.398696000004</v>
      </c>
      <c r="G197">
        <v>-5.7990000000000003E-3</v>
      </c>
      <c r="H197">
        <v>25.696517</v>
      </c>
      <c r="I197">
        <v>205.61512400000001</v>
      </c>
      <c r="J197">
        <v>13.498462999999999</v>
      </c>
      <c r="K197">
        <v>2594</v>
      </c>
      <c r="L197">
        <v>1086</v>
      </c>
      <c r="M197">
        <f t="shared" ref="M197:M199" si="40">L197/(L197+K197)</f>
        <v>0.2951086956521739</v>
      </c>
      <c r="N197">
        <f>-4.1204-2.5358*M197</f>
        <v>-4.8687366304347828</v>
      </c>
      <c r="O197">
        <f>E197-(SUM(K197:L197)*N197)</f>
        <v>36.091986000003089</v>
      </c>
      <c r="P197">
        <f>O197/(2*H197*J197)</f>
        <v>5.2026211564050011E-2</v>
      </c>
      <c r="Q197">
        <f>P197*16.02</f>
        <v>0.83345990925608116</v>
      </c>
    </row>
    <row r="198" spans="2:18" x14ac:dyDescent="0.2">
      <c r="C198">
        <v>100000</v>
      </c>
      <c r="D198">
        <v>557.79395</v>
      </c>
      <c r="E198">
        <v>-17925.527664000001</v>
      </c>
      <c r="F198">
        <v>71212.300442000007</v>
      </c>
      <c r="G198">
        <v>1.2751999999999999E-2</v>
      </c>
      <c r="H198">
        <v>25.683527000000002</v>
      </c>
      <c r="I198">
        <v>205.51118500000001</v>
      </c>
      <c r="J198">
        <v>13.49164</v>
      </c>
      <c r="K198">
        <v>2578</v>
      </c>
      <c r="L198">
        <v>1102</v>
      </c>
      <c r="M198">
        <f t="shared" si="40"/>
        <v>0.29945652173913045</v>
      </c>
      <c r="N198">
        <f t="shared" ref="N198:N201" si="41">-4.1204-2.5358*M198</f>
        <v>-4.8797618478260869</v>
      </c>
      <c r="O198">
        <f>E198-(SUM(K198:L198)*N198)</f>
        <v>31.995935999999347</v>
      </c>
      <c r="P198">
        <f>O198/(2*H198*J198)</f>
        <v>4.6168462963735821E-2</v>
      </c>
      <c r="Q198">
        <f>P198*16.02</f>
        <v>0.73961877667904785</v>
      </c>
    </row>
    <row r="199" spans="2:18" x14ac:dyDescent="0.2">
      <c r="C199">
        <v>100000</v>
      </c>
      <c r="D199">
        <v>557.95757400000002</v>
      </c>
      <c r="E199">
        <v>-17972.387178000001</v>
      </c>
      <c r="F199">
        <v>71084.148144999999</v>
      </c>
      <c r="G199">
        <v>-4.4077999999999999E-2</v>
      </c>
      <c r="H199">
        <v>25.668112000000001</v>
      </c>
      <c r="I199">
        <v>205.38783799999999</v>
      </c>
      <c r="J199">
        <v>13.483542</v>
      </c>
      <c r="K199">
        <v>2560</v>
      </c>
      <c r="L199">
        <v>1120</v>
      </c>
      <c r="M199">
        <f t="shared" si="40"/>
        <v>0.30434782608695654</v>
      </c>
      <c r="N199">
        <f t="shared" si="41"/>
        <v>-4.8921652173913044</v>
      </c>
      <c r="O199">
        <f>E199-(SUM(K199:L199)*N199)</f>
        <v>30.780822000000626</v>
      </c>
      <c r="P199">
        <f>O199/(2*H199*J199)</f>
        <v>4.4468481540209555E-2</v>
      </c>
      <c r="Q199">
        <f>P199*16.02</f>
        <v>0.71238507427415709</v>
      </c>
    </row>
    <row r="200" spans="2:18" x14ac:dyDescent="0.2">
      <c r="C200">
        <v>100000</v>
      </c>
      <c r="D200">
        <v>557.87472700000001</v>
      </c>
      <c r="E200">
        <v>-18006.989619</v>
      </c>
      <c r="F200">
        <v>70994.064096999995</v>
      </c>
      <c r="G200">
        <v>4.3387000000000002E-2</v>
      </c>
      <c r="H200">
        <v>25.657264000000001</v>
      </c>
      <c r="I200">
        <v>205.30103800000001</v>
      </c>
      <c r="J200">
        <v>13.477843999999999</v>
      </c>
      <c r="K200">
        <v>2548</v>
      </c>
      <c r="L200">
        <v>1132</v>
      </c>
      <c r="M200">
        <f>L200/(L200+K200)</f>
        <v>0.30760869565217391</v>
      </c>
      <c r="N200">
        <f t="shared" si="41"/>
        <v>-4.9004341304347827</v>
      </c>
      <c r="O200">
        <f>E200-(SUM(K200:L200)*N200)</f>
        <v>26.607981000001018</v>
      </c>
      <c r="P200">
        <f>O200/(2*H200*J200)</f>
        <v>3.8472566403632572E-2</v>
      </c>
      <c r="Q200">
        <f>P200*16.02</f>
        <v>0.61633051378619375</v>
      </c>
    </row>
    <row r="201" spans="2:18" x14ac:dyDescent="0.2">
      <c r="C201">
        <v>100000</v>
      </c>
      <c r="D201">
        <v>557.83034599999996</v>
      </c>
      <c r="E201">
        <v>-17806.647277</v>
      </c>
      <c r="F201">
        <v>71485.795398999995</v>
      </c>
      <c r="G201">
        <v>0.32120100000000001</v>
      </c>
      <c r="H201">
        <v>25.716365</v>
      </c>
      <c r="I201">
        <v>205.773944</v>
      </c>
      <c r="J201">
        <v>13.508889</v>
      </c>
      <c r="K201">
        <v>2621</v>
      </c>
      <c r="L201">
        <v>1059</v>
      </c>
      <c r="M201">
        <f>L201/(L201+K201)</f>
        <v>0.2877717391304348</v>
      </c>
      <c r="N201">
        <f t="shared" si="41"/>
        <v>-4.850131576086957</v>
      </c>
      <c r="O201">
        <f>E201-(SUM(K201:L201)*N201)</f>
        <v>41.836923000002571</v>
      </c>
      <c r="P201">
        <f>O201/(2*H201*J201)</f>
        <v>6.0214422529526281E-2</v>
      </c>
      <c r="Q201">
        <f>P201*16.02</f>
        <v>0.964635048923011</v>
      </c>
    </row>
    <row r="202" spans="2:18" x14ac:dyDescent="0.2">
      <c r="Q202" s="1">
        <f>AVERAGE(Q197:Q201)</f>
        <v>0.77328586458369808</v>
      </c>
      <c r="R202">
        <f>STDEV(Q197:Q201)</f>
        <v>0.13201589602376398</v>
      </c>
    </row>
    <row r="203" spans="2:18" x14ac:dyDescent="0.2">
      <c r="B203" t="s">
        <v>22</v>
      </c>
      <c r="C203">
        <v>100000</v>
      </c>
      <c r="D203">
        <v>520.54902300000003</v>
      </c>
      <c r="E203">
        <v>-18398.643220000002</v>
      </c>
      <c r="F203">
        <v>73113.516464999993</v>
      </c>
      <c r="G203">
        <v>0.29281499999999999</v>
      </c>
      <c r="H203">
        <v>30.074247</v>
      </c>
      <c r="I203">
        <v>90.378012999999996</v>
      </c>
      <c r="J203">
        <v>26.899238</v>
      </c>
      <c r="K203">
        <v>2630</v>
      </c>
      <c r="L203">
        <v>1146</v>
      </c>
      <c r="M203">
        <f t="shared" ref="M203:M205" si="42">L203/(L203+K203)</f>
        <v>0.3034957627118644</v>
      </c>
      <c r="N203">
        <f>-4.1204-2.5358*M203</f>
        <v>-4.8900045550847455</v>
      </c>
      <c r="O203">
        <f>E203-(SUM(K203:L203)*N203)</f>
        <v>66.013979999996081</v>
      </c>
      <c r="P203">
        <f>O203/(2*H203*J203)</f>
        <v>4.0801035173600536E-2</v>
      </c>
      <c r="Q203">
        <f>P203*16.02</f>
        <v>0.65363258348108055</v>
      </c>
    </row>
    <row r="204" spans="2:18" x14ac:dyDescent="0.2">
      <c r="C204">
        <v>100000</v>
      </c>
      <c r="D204">
        <v>520.55235800000003</v>
      </c>
      <c r="E204">
        <v>-18363.910644</v>
      </c>
      <c r="F204">
        <v>73201.934347999995</v>
      </c>
      <c r="G204">
        <v>0.30224499999999999</v>
      </c>
      <c r="H204">
        <v>30.086366000000002</v>
      </c>
      <c r="I204">
        <v>90.414429999999996</v>
      </c>
      <c r="J204">
        <v>26.910077000000001</v>
      </c>
      <c r="K204">
        <v>2642</v>
      </c>
      <c r="L204">
        <v>1134</v>
      </c>
      <c r="M204">
        <f t="shared" si="42"/>
        <v>0.3003177966101695</v>
      </c>
      <c r="N204">
        <f t="shared" ref="N204:N207" si="43">-4.1204-2.5358*M204</f>
        <v>-4.8819458686440678</v>
      </c>
      <c r="O204">
        <f>E204-(SUM(K204:L204)*N204)</f>
        <v>70.316955999998754</v>
      </c>
      <c r="P204">
        <f>O204/(2*H204*J204)</f>
        <v>4.3425556384426717E-2</v>
      </c>
      <c r="Q204">
        <f>P204*16.02</f>
        <v>0.69567741327851595</v>
      </c>
    </row>
    <row r="205" spans="2:18" x14ac:dyDescent="0.2">
      <c r="C205">
        <v>100000</v>
      </c>
      <c r="D205">
        <v>520.47290699999996</v>
      </c>
      <c r="E205">
        <v>-18406.338743</v>
      </c>
      <c r="F205">
        <v>73061.165571999998</v>
      </c>
      <c r="G205">
        <v>0.313029</v>
      </c>
      <c r="H205">
        <v>30.067067999999999</v>
      </c>
      <c r="I205">
        <v>90.356437</v>
      </c>
      <c r="J205">
        <v>26.892816</v>
      </c>
      <c r="K205">
        <v>2627</v>
      </c>
      <c r="L205">
        <v>1149</v>
      </c>
      <c r="M205">
        <f t="shared" si="42"/>
        <v>0.30429025423728812</v>
      </c>
      <c r="N205">
        <f t="shared" si="43"/>
        <v>-4.8920192266949156</v>
      </c>
      <c r="O205">
        <f>E205-(SUM(K205:L205)*N205)</f>
        <v>65.925857000001997</v>
      </c>
      <c r="P205">
        <f>O205/(2*H205*J205)</f>
        <v>4.0766030793286327E-2</v>
      </c>
      <c r="Q205">
        <f>P205*16.02</f>
        <v>0.65307181330844699</v>
      </c>
    </row>
    <row r="206" spans="2:18" x14ac:dyDescent="0.2">
      <c r="C206">
        <v>100000</v>
      </c>
      <c r="D206">
        <v>520.484511</v>
      </c>
      <c r="E206">
        <v>-18264.869780000001</v>
      </c>
      <c r="F206">
        <v>73396.510681</v>
      </c>
      <c r="G206">
        <v>0.40026299999999998</v>
      </c>
      <c r="H206">
        <v>30.112998999999999</v>
      </c>
      <c r="I206">
        <v>90.494468999999995</v>
      </c>
      <c r="J206">
        <v>26.933899</v>
      </c>
      <c r="K206">
        <v>2683</v>
      </c>
      <c r="L206">
        <v>1093</v>
      </c>
      <c r="M206">
        <f>L206/(L206+K206)</f>
        <v>0.28945974576271188</v>
      </c>
      <c r="N206">
        <f t="shared" si="43"/>
        <v>-4.8544120233050849</v>
      </c>
      <c r="O206">
        <f>E206-(SUM(K206:L206)*N206)</f>
        <v>65.390019999998913</v>
      </c>
      <c r="P206">
        <f>O206/(2*H206*J206)</f>
        <v>4.0311433070752072E-2</v>
      </c>
      <c r="Q206">
        <f>P206*16.02</f>
        <v>0.64578915779344814</v>
      </c>
    </row>
    <row r="207" spans="2:18" x14ac:dyDescent="0.2">
      <c r="C207">
        <v>100000</v>
      </c>
      <c r="D207">
        <v>520.53611599999999</v>
      </c>
      <c r="E207">
        <v>-18305.303098</v>
      </c>
      <c r="F207">
        <v>73302.482185999994</v>
      </c>
      <c r="G207">
        <v>0.43233100000000002</v>
      </c>
      <c r="H207">
        <v>30.100134000000001</v>
      </c>
      <c r="I207">
        <v>90.455806999999993</v>
      </c>
      <c r="J207">
        <v>26.922391999999999</v>
      </c>
      <c r="K207">
        <v>2665</v>
      </c>
      <c r="L207">
        <v>1111</v>
      </c>
      <c r="M207">
        <f>L207/(L207+K207)</f>
        <v>0.29422669491525422</v>
      </c>
      <c r="N207">
        <f t="shared" si="43"/>
        <v>-4.866500052966102</v>
      </c>
      <c r="O207">
        <f>E207-(SUM(K207:L207)*N207)</f>
        <v>70.601102000000537</v>
      </c>
      <c r="P207">
        <f>O207/(2*H207*J207)</f>
        <v>4.356115755832464E-2</v>
      </c>
      <c r="Q207">
        <f>P207*16.02</f>
        <v>0.69784974408436073</v>
      </c>
    </row>
    <row r="208" spans="2:18" x14ac:dyDescent="0.2">
      <c r="Q208" s="1">
        <f>AVERAGE(Q203:Q207)</f>
        <v>0.66920414238917059</v>
      </c>
      <c r="R208">
        <f>STDEV(Q203:Q207)</f>
        <v>2.5359374795501856E-2</v>
      </c>
    </row>
    <row r="209" spans="2:18" x14ac:dyDescent="0.2">
      <c r="B209" t="s">
        <v>33</v>
      </c>
      <c r="C209">
        <v>100000</v>
      </c>
      <c r="D209">
        <v>557.792913</v>
      </c>
      <c r="E209">
        <v>-31620.371003</v>
      </c>
      <c r="F209">
        <v>125464.94927</v>
      </c>
      <c r="G209">
        <v>-4.1440999999999999E-2</v>
      </c>
      <c r="H209">
        <v>39.350856</v>
      </c>
      <c r="I209">
        <v>236.16963000000001</v>
      </c>
      <c r="J209">
        <v>13.500321</v>
      </c>
      <c r="K209">
        <v>4538</v>
      </c>
      <c r="L209">
        <v>1950</v>
      </c>
      <c r="M209">
        <f t="shared" ref="M209:M211" si="44">L209/(L209+K209)</f>
        <v>0.30055487053020963</v>
      </c>
      <c r="N209">
        <f>-4.1204-2.5358*M209</f>
        <v>-4.8825470406905058</v>
      </c>
      <c r="O209">
        <f>E209-(SUM(K209:L209)*N209)</f>
        <v>57.594197000002168</v>
      </c>
      <c r="P209">
        <f>O209/(2*H209*J209)</f>
        <v>5.4206385949978377E-2</v>
      </c>
      <c r="Q209">
        <f>P209*16.02</f>
        <v>0.8683863029186536</v>
      </c>
    </row>
    <row r="210" spans="2:18" x14ac:dyDescent="0.2">
      <c r="C210">
        <v>100000</v>
      </c>
      <c r="D210">
        <v>557.66798100000005</v>
      </c>
      <c r="E210">
        <v>-31649.966923</v>
      </c>
      <c r="F210">
        <v>125377.62927400001</v>
      </c>
      <c r="G210">
        <v>0.150892</v>
      </c>
      <c r="H210">
        <v>39.341724999999997</v>
      </c>
      <c r="I210">
        <v>236.11482899999999</v>
      </c>
      <c r="J210">
        <v>13.497188</v>
      </c>
      <c r="K210">
        <v>4529</v>
      </c>
      <c r="L210">
        <v>1959</v>
      </c>
      <c r="M210">
        <f t="shared" si="44"/>
        <v>0.30194204685573367</v>
      </c>
      <c r="N210">
        <f t="shared" ref="N210:N213" si="45">-4.1204-2.5358*M210</f>
        <v>-4.8860646424167697</v>
      </c>
      <c r="O210">
        <f>E210-(SUM(K210:L210)*N210)</f>
        <v>50.820477000001119</v>
      </c>
      <c r="P210">
        <f>O210/(2*H210*J210)</f>
        <v>4.785331690892905E-2</v>
      </c>
      <c r="Q210">
        <f>P210*16.02</f>
        <v>0.7666101368810434</v>
      </c>
    </row>
    <row r="211" spans="2:18" x14ac:dyDescent="0.2">
      <c r="C211">
        <v>100000</v>
      </c>
      <c r="D211">
        <v>557.93932800000005</v>
      </c>
      <c r="E211">
        <v>-31710.674695999998</v>
      </c>
      <c r="F211">
        <v>125245.532229</v>
      </c>
      <c r="G211">
        <v>7.3084999999999997E-2</v>
      </c>
      <c r="H211">
        <v>39.327903999999997</v>
      </c>
      <c r="I211">
        <v>236.03187800000001</v>
      </c>
      <c r="J211">
        <v>13.492447</v>
      </c>
      <c r="K211">
        <v>4502</v>
      </c>
      <c r="L211">
        <v>1986</v>
      </c>
      <c r="M211">
        <f t="shared" si="44"/>
        <v>0.3061035758323058</v>
      </c>
      <c r="N211">
        <f t="shared" si="45"/>
        <v>-4.8966174475955615</v>
      </c>
      <c r="O211">
        <f>E211-(SUM(K211:L211)*N211)</f>
        <v>58.579304000006232</v>
      </c>
      <c r="P211">
        <f>O211/(2*H211*J211)</f>
        <v>5.5197917095655323E-2</v>
      </c>
      <c r="Q211">
        <f>P211*16.02</f>
        <v>0.88427063187239829</v>
      </c>
    </row>
    <row r="212" spans="2:18" x14ac:dyDescent="0.2">
      <c r="C212">
        <v>100000</v>
      </c>
      <c r="D212">
        <v>557.71166600000004</v>
      </c>
      <c r="E212">
        <v>-31627.895496000001</v>
      </c>
      <c r="F212">
        <v>125449.703167</v>
      </c>
      <c r="G212">
        <v>9.5110000000000004E-3</v>
      </c>
      <c r="H212">
        <v>39.349263000000001</v>
      </c>
      <c r="I212">
        <v>236.160065</v>
      </c>
      <c r="J212">
        <v>13.499774</v>
      </c>
      <c r="K212">
        <v>4540</v>
      </c>
      <c r="L212">
        <v>1948</v>
      </c>
      <c r="M212">
        <f>L212/(L212+K212)</f>
        <v>0.3002466091245376</v>
      </c>
      <c r="N212">
        <f t="shared" si="45"/>
        <v>-4.8817653514180028</v>
      </c>
      <c r="O212">
        <f>E212-(SUM(K212:L212)*N212)</f>
        <v>44.998104000002058</v>
      </c>
      <c r="P212">
        <f>O212/(2*H212*J212)</f>
        <v>4.2354652105443293E-2</v>
      </c>
      <c r="Q212">
        <f>P212*16.02</f>
        <v>0.67852152672920152</v>
      </c>
    </row>
    <row r="213" spans="2:18" x14ac:dyDescent="0.2">
      <c r="C213">
        <v>100000</v>
      </c>
      <c r="D213">
        <v>557.87349099999994</v>
      </c>
      <c r="E213">
        <v>-31531.672652000001</v>
      </c>
      <c r="F213">
        <v>125748.09586099999</v>
      </c>
      <c r="G213">
        <v>4.6406000000000003E-2</v>
      </c>
      <c r="H213">
        <v>39.380436000000003</v>
      </c>
      <c r="I213">
        <v>236.34715700000001</v>
      </c>
      <c r="J213">
        <v>13.510469000000001</v>
      </c>
      <c r="K213">
        <v>4574</v>
      </c>
      <c r="L213">
        <v>1914</v>
      </c>
      <c r="M213">
        <f>L213/(L213+K213)</f>
        <v>0.29500616522811346</v>
      </c>
      <c r="N213">
        <f t="shared" si="45"/>
        <v>-4.8684766337854501</v>
      </c>
      <c r="O213">
        <f>E213-(SUM(K213:L213)*N213)</f>
        <v>55.003747999999177</v>
      </c>
      <c r="P213">
        <f>O213/(2*H213*J213)</f>
        <v>5.1690572543545178E-2</v>
      </c>
      <c r="Q213">
        <f>P213*16.02</f>
        <v>0.82808297214759374</v>
      </c>
    </row>
    <row r="214" spans="2:18" x14ac:dyDescent="0.2">
      <c r="Q214" s="1">
        <f>AVERAGE(Q209:Q213)</f>
        <v>0.80517431410977802</v>
      </c>
      <c r="R214">
        <f>STDEV(Q209:Q213)</f>
        <v>8.4120321478331206E-2</v>
      </c>
    </row>
    <row r="215" spans="2:18" x14ac:dyDescent="0.2">
      <c r="B215" t="s">
        <v>34</v>
      </c>
      <c r="C215">
        <v>100000</v>
      </c>
      <c r="D215">
        <v>557.93743900000004</v>
      </c>
      <c r="E215">
        <v>-15946.759051000001</v>
      </c>
      <c r="F215">
        <v>63967.894792999999</v>
      </c>
      <c r="G215">
        <v>0.468391</v>
      </c>
      <c r="H215">
        <v>24.334416000000001</v>
      </c>
      <c r="I215">
        <v>194.718324</v>
      </c>
      <c r="J215">
        <v>13.500012</v>
      </c>
      <c r="K215">
        <v>2351</v>
      </c>
      <c r="L215">
        <v>945</v>
      </c>
      <c r="M215">
        <f t="shared" ref="M215:M217" si="46">L215/(L215+K215)</f>
        <v>0.28671116504854371</v>
      </c>
      <c r="N215">
        <f>-4.1204-2.5358*M215</f>
        <v>-4.8474421723300969</v>
      </c>
      <c r="O215">
        <f>E215-(SUM(K215:L215)*N215)</f>
        <v>30.41034899999795</v>
      </c>
      <c r="P215">
        <f>O215/(2*H215*J215)</f>
        <v>4.6284579874827612E-2</v>
      </c>
      <c r="Q215">
        <f>P215*16.02</f>
        <v>0.74147896959473836</v>
      </c>
    </row>
    <row r="216" spans="2:18" x14ac:dyDescent="0.2">
      <c r="C216">
        <v>100000</v>
      </c>
      <c r="D216">
        <v>557.769632</v>
      </c>
      <c r="E216">
        <v>-16049.831251</v>
      </c>
      <c r="F216">
        <v>63740.713034</v>
      </c>
      <c r="G216">
        <v>7.3375999999999997E-2</v>
      </c>
      <c r="H216">
        <v>24.305574</v>
      </c>
      <c r="I216">
        <v>194.48753600000001</v>
      </c>
      <c r="J216">
        <v>13.484011000000001</v>
      </c>
      <c r="K216">
        <v>2312</v>
      </c>
      <c r="L216">
        <v>984</v>
      </c>
      <c r="M216">
        <f t="shared" si="46"/>
        <v>0.29854368932038833</v>
      </c>
      <c r="N216">
        <f t="shared" ref="N216:N219" si="47">-4.1204-2.5358*M216</f>
        <v>-4.8774470873786413</v>
      </c>
      <c r="O216">
        <f>E216-(SUM(K216:L216)*N216)</f>
        <v>26.234349000002112</v>
      </c>
      <c r="P216">
        <f>O216/(2*H216*J216)</f>
        <v>4.0023523195972611E-2</v>
      </c>
      <c r="Q216">
        <f>P216*16.02</f>
        <v>0.64117684159948118</v>
      </c>
    </row>
    <row r="217" spans="2:18" x14ac:dyDescent="0.2">
      <c r="C217">
        <v>100000</v>
      </c>
      <c r="D217">
        <v>557.92233399999998</v>
      </c>
      <c r="E217">
        <v>-16010.374672</v>
      </c>
      <c r="F217">
        <v>63843.166677000001</v>
      </c>
      <c r="G217">
        <v>3.7657999999999997E-2</v>
      </c>
      <c r="H217">
        <v>24.31859</v>
      </c>
      <c r="I217">
        <v>194.59168399999999</v>
      </c>
      <c r="J217">
        <v>13.491232</v>
      </c>
      <c r="K217">
        <v>2326</v>
      </c>
      <c r="L217">
        <v>970</v>
      </c>
      <c r="M217">
        <f t="shared" si="46"/>
        <v>0.29429611650485438</v>
      </c>
      <c r="N217">
        <f t="shared" si="47"/>
        <v>-4.8666760922330097</v>
      </c>
      <c r="O217">
        <f>E217-(SUM(K217:L217)*N217)</f>
        <v>30.189727999999377</v>
      </c>
      <c r="P217">
        <f>O217/(2*H217*J217)</f>
        <v>4.6008619579233995E-2</v>
      </c>
      <c r="Q217">
        <f>P217*16.02</f>
        <v>0.73705808565932862</v>
      </c>
    </row>
    <row r="218" spans="2:18" x14ac:dyDescent="0.2">
      <c r="C218">
        <v>100000</v>
      </c>
      <c r="D218">
        <v>557.76995099999999</v>
      </c>
      <c r="E218">
        <v>-15910.930397</v>
      </c>
      <c r="F218">
        <v>64091.275038</v>
      </c>
      <c r="G218">
        <v>0.30344300000000002</v>
      </c>
      <c r="H218">
        <v>24.350052000000002</v>
      </c>
      <c r="I218">
        <v>194.843434</v>
      </c>
      <c r="J218">
        <v>13.508686000000001</v>
      </c>
      <c r="K218">
        <v>2367</v>
      </c>
      <c r="L218">
        <v>929</v>
      </c>
      <c r="M218">
        <f>L218/(L218+K218)</f>
        <v>0.28185679611650488</v>
      </c>
      <c r="N218">
        <f t="shared" si="47"/>
        <v>-4.8351324635922328</v>
      </c>
      <c r="O218">
        <f>E218-(SUM(K218:L218)*N218)</f>
        <v>25.666202999998859</v>
      </c>
      <c r="P218">
        <f>O218/(2*H218*J218)</f>
        <v>3.9013833778586263E-2</v>
      </c>
      <c r="Q218">
        <f>P218*16.02</f>
        <v>0.62500161713295188</v>
      </c>
    </row>
    <row r="219" spans="2:18" x14ac:dyDescent="0.2">
      <c r="C219">
        <v>100000</v>
      </c>
      <c r="D219">
        <v>557.74838799999998</v>
      </c>
      <c r="E219">
        <v>-16063.348540000001</v>
      </c>
      <c r="F219">
        <v>63721.816061999998</v>
      </c>
      <c r="G219">
        <v>0.151029</v>
      </c>
      <c r="H219">
        <v>24.303172</v>
      </c>
      <c r="I219">
        <v>194.46831599999999</v>
      </c>
      <c r="J219">
        <v>13.482678999999999</v>
      </c>
      <c r="K219">
        <v>2305</v>
      </c>
      <c r="L219">
        <v>991</v>
      </c>
      <c r="M219">
        <f>L219/(L219+K219)</f>
        <v>0.30066747572815533</v>
      </c>
      <c r="N219">
        <f t="shared" si="47"/>
        <v>-4.8828325849514567</v>
      </c>
      <c r="O219">
        <f>E219-(SUM(K219:L219)*N219)</f>
        <v>30.467660000000251</v>
      </c>
      <c r="P219">
        <f>O219/(2*H219*J219)</f>
        <v>4.6491113658106119E-2</v>
      </c>
      <c r="Q219">
        <f>P219*16.02</f>
        <v>0.74478764080285997</v>
      </c>
    </row>
    <row r="220" spans="2:18" x14ac:dyDescent="0.2">
      <c r="Q220" s="1">
        <f>AVERAGE(Q215:Q219)</f>
        <v>0.69790063095787203</v>
      </c>
      <c r="R220">
        <f>STDEV(Q215:Q219)</f>
        <v>5.9503411761576773E-2</v>
      </c>
    </row>
    <row r="221" spans="2:18" x14ac:dyDescent="0.2">
      <c r="B221" t="s">
        <v>35</v>
      </c>
      <c r="C221">
        <v>100000</v>
      </c>
      <c r="D221">
        <v>557.91445099999999</v>
      </c>
      <c r="E221">
        <v>-23194.419777999999</v>
      </c>
      <c r="F221">
        <v>91800.076962000006</v>
      </c>
      <c r="G221">
        <v>-3.0988000000000002E-2</v>
      </c>
      <c r="H221">
        <v>33.693326999999996</v>
      </c>
      <c r="I221">
        <v>202.159964</v>
      </c>
      <c r="J221">
        <v>13.477331</v>
      </c>
      <c r="K221">
        <v>3312</v>
      </c>
      <c r="L221">
        <v>1440</v>
      </c>
      <c r="M221">
        <f t="shared" ref="M221:M223" si="48">L221/(L221+K221)</f>
        <v>0.30303030303030304</v>
      </c>
      <c r="N221">
        <f>-4.1204-2.5358*M221</f>
        <v>-4.8888242424242421</v>
      </c>
      <c r="O221">
        <f>E221-(SUM(K221:L221)*N221)</f>
        <v>37.273021999997582</v>
      </c>
      <c r="P221">
        <f>O221/(2*H221*J221)</f>
        <v>4.1040894559283718E-2</v>
      </c>
      <c r="Q221">
        <f>P221*16.02</f>
        <v>0.6574751308397252</v>
      </c>
    </row>
    <row r="222" spans="2:18" x14ac:dyDescent="0.2">
      <c r="C222">
        <v>100000</v>
      </c>
      <c r="D222">
        <v>557.58818699999995</v>
      </c>
      <c r="E222">
        <v>-23133.106960000001</v>
      </c>
      <c r="F222">
        <v>91929.188915000006</v>
      </c>
      <c r="G222">
        <v>0.216172</v>
      </c>
      <c r="H222">
        <v>33.709116000000002</v>
      </c>
      <c r="I222">
        <v>202.254694</v>
      </c>
      <c r="J222">
        <v>13.483646</v>
      </c>
      <c r="K222">
        <v>3338</v>
      </c>
      <c r="L222">
        <v>1414</v>
      </c>
      <c r="M222">
        <f t="shared" si="48"/>
        <v>0.29755892255892258</v>
      </c>
      <c r="N222">
        <f t="shared" ref="N222:N225" si="49">-4.1204-2.5358*M222</f>
        <v>-4.8749499158249163</v>
      </c>
      <c r="O222">
        <f>E222-(SUM(K222:L222)*N222)</f>
        <v>32.655040000001463</v>
      </c>
      <c r="P222">
        <f>O222/(2*H222*J222)</f>
        <v>3.5922414420587738E-2</v>
      </c>
      <c r="Q222">
        <f>P222*16.02</f>
        <v>0.57547707901781553</v>
      </c>
    </row>
    <row r="223" spans="2:18" x14ac:dyDescent="0.2">
      <c r="C223">
        <v>100000</v>
      </c>
      <c r="D223">
        <v>557.69658200000003</v>
      </c>
      <c r="E223">
        <v>-23179.402331000001</v>
      </c>
      <c r="F223">
        <v>91828.481520000001</v>
      </c>
      <c r="G223">
        <v>0.26884400000000003</v>
      </c>
      <c r="H223">
        <v>33.696801999999998</v>
      </c>
      <c r="I223">
        <v>202.180812</v>
      </c>
      <c r="J223">
        <v>13.478721</v>
      </c>
      <c r="K223">
        <v>3316</v>
      </c>
      <c r="L223">
        <v>1436</v>
      </c>
      <c r="M223">
        <f t="shared" si="48"/>
        <v>0.30218855218855217</v>
      </c>
      <c r="N223">
        <f t="shared" si="49"/>
        <v>-4.8866897306397306</v>
      </c>
      <c r="O223">
        <f>E223-(SUM(K223:L223)*N223)</f>
        <v>42.147268999997323</v>
      </c>
      <c r="P223">
        <f>O223/(2*H223*J223)</f>
        <v>4.6398300526289037E-2</v>
      </c>
      <c r="Q223">
        <f>P223*16.02</f>
        <v>0.74330077443115039</v>
      </c>
    </row>
    <row r="224" spans="2:18" x14ac:dyDescent="0.2">
      <c r="C224">
        <v>100000</v>
      </c>
      <c r="D224">
        <v>557.67774499999996</v>
      </c>
      <c r="E224">
        <v>-23218.177506</v>
      </c>
      <c r="F224">
        <v>91760.088227</v>
      </c>
      <c r="G224">
        <v>2.3435000000000001E-2</v>
      </c>
      <c r="H224">
        <v>33.688434000000001</v>
      </c>
      <c r="I224">
        <v>202.130606</v>
      </c>
      <c r="J224">
        <v>13.475374</v>
      </c>
      <c r="K224">
        <v>3300</v>
      </c>
      <c r="L224">
        <v>1452</v>
      </c>
      <c r="M224">
        <f>L224/(L224+K224)</f>
        <v>0.30555555555555558</v>
      </c>
      <c r="N224">
        <f t="shared" si="49"/>
        <v>-4.8952277777777784</v>
      </c>
      <c r="O224">
        <f>E224-(SUM(K224:L224)*N224)</f>
        <v>43.944894000003842</v>
      </c>
      <c r="P224">
        <f>O224/(2*H224*J224)</f>
        <v>4.8401271939338936E-2</v>
      </c>
      <c r="Q224">
        <f>P224*16.02</f>
        <v>0.77538837646820968</v>
      </c>
    </row>
    <row r="225" spans="2:18" x14ac:dyDescent="0.2">
      <c r="C225">
        <v>100000</v>
      </c>
      <c r="D225">
        <v>557.88804500000003</v>
      </c>
      <c r="E225">
        <v>-23069.641417999999</v>
      </c>
      <c r="F225">
        <v>92053.821160000007</v>
      </c>
      <c r="G225">
        <v>8.9515999999999998E-2</v>
      </c>
      <c r="H225">
        <v>33.724342999999998</v>
      </c>
      <c r="I225">
        <v>202.34605500000001</v>
      </c>
      <c r="J225">
        <v>13.489737</v>
      </c>
      <c r="K225">
        <v>3362</v>
      </c>
      <c r="L225">
        <v>1390</v>
      </c>
      <c r="M225">
        <f>L225/(L225+K225)</f>
        <v>0.2925084175084175</v>
      </c>
      <c r="N225">
        <f t="shared" si="49"/>
        <v>-4.8621428451178454</v>
      </c>
      <c r="O225">
        <f>E225-(SUM(K225:L225)*N225)</f>
        <v>35.261382000000594</v>
      </c>
      <c r="P225">
        <f>O225/(2*H225*J225)</f>
        <v>3.8754519229048275E-2</v>
      </c>
      <c r="Q225">
        <f>P225*16.02</f>
        <v>0.62084739804935329</v>
      </c>
    </row>
    <row r="226" spans="2:18" x14ac:dyDescent="0.2">
      <c r="Q226" s="1">
        <f>AVERAGE(Q221:Q225)</f>
        <v>0.67449775176125093</v>
      </c>
      <c r="R226">
        <f>STDEV(Q221:Q225)</f>
        <v>8.3495505551627047E-2</v>
      </c>
    </row>
    <row r="228" spans="2:18" x14ac:dyDescent="0.2">
      <c r="B228" s="1" t="s">
        <v>66</v>
      </c>
    </row>
    <row r="229" spans="2:18" x14ac:dyDescent="0.2">
      <c r="C229" t="s">
        <v>52</v>
      </c>
      <c r="D229" t="s">
        <v>13</v>
      </c>
      <c r="E229" t="s">
        <v>4</v>
      </c>
      <c r="F229" t="s">
        <v>5</v>
      </c>
      <c r="G229" t="s">
        <v>14</v>
      </c>
      <c r="H229" t="s">
        <v>15</v>
      </c>
      <c r="I229" t="s">
        <v>16</v>
      </c>
      <c r="J229" t="s">
        <v>17</v>
      </c>
      <c r="K229" t="s">
        <v>18</v>
      </c>
      <c r="L229" t="s">
        <v>19</v>
      </c>
      <c r="M229" t="s">
        <v>9</v>
      </c>
      <c r="N229" t="s">
        <v>20</v>
      </c>
      <c r="O229" t="s">
        <v>8</v>
      </c>
      <c r="P229" t="s">
        <v>21</v>
      </c>
      <c r="Q229" t="s">
        <v>21</v>
      </c>
    </row>
    <row r="230" spans="2:18" x14ac:dyDescent="0.2">
      <c r="B230" t="s">
        <v>25</v>
      </c>
      <c r="C230">
        <v>100000</v>
      </c>
      <c r="D230">
        <v>520.37850800000001</v>
      </c>
      <c r="E230">
        <v>-23069.58611</v>
      </c>
      <c r="F230">
        <v>67965.197857000006</v>
      </c>
      <c r="G230">
        <v>0.382803</v>
      </c>
      <c r="H230">
        <v>29.485389999999999</v>
      </c>
      <c r="I230">
        <v>176.95382499999999</v>
      </c>
      <c r="J230">
        <v>13.026256999999999</v>
      </c>
      <c r="K230">
        <v>1154</v>
      </c>
      <c r="L230">
        <v>2750</v>
      </c>
      <c r="M230">
        <f t="shared" ref="M230:M232" si="50">L230/(L230+K230)</f>
        <v>0.70440573770491799</v>
      </c>
      <c r="N230">
        <f>-4.0454-2.6644*M230</f>
        <v>-5.9222186475409835</v>
      </c>
      <c r="O230">
        <f>E230-(SUM(K230:L230)*N230)</f>
        <v>50.755489999999554</v>
      </c>
      <c r="P230">
        <f>O230/(2*H230*J230)</f>
        <v>6.6073377958773938E-2</v>
      </c>
      <c r="Q230">
        <f>P230*16.02</f>
        <v>1.0584955148995585</v>
      </c>
    </row>
    <row r="231" spans="2:18" x14ac:dyDescent="0.2">
      <c r="C231">
        <v>100000</v>
      </c>
      <c r="D231">
        <v>520.58396900000002</v>
      </c>
      <c r="E231">
        <v>-23096.744590999999</v>
      </c>
      <c r="F231">
        <v>67912.880424000003</v>
      </c>
      <c r="G231">
        <v>0.43309399999999998</v>
      </c>
      <c r="H231">
        <v>29.477823000000001</v>
      </c>
      <c r="I231">
        <v>176.90840900000001</v>
      </c>
      <c r="J231">
        <v>13.022914</v>
      </c>
      <c r="K231">
        <v>1140</v>
      </c>
      <c r="L231">
        <v>2764</v>
      </c>
      <c r="M231">
        <f t="shared" si="50"/>
        <v>0.70799180327868849</v>
      </c>
      <c r="N231">
        <f t="shared" ref="N231:N234" si="51">-4.0454-2.6644*M231</f>
        <v>-5.9317733606557379</v>
      </c>
      <c r="O231">
        <f>E231-(SUM(K231:L231)*N231)</f>
        <v>60.898609000003489</v>
      </c>
      <c r="P231">
        <f>O231/(2*H231*J231)</f>
        <v>7.9318373109698664E-2</v>
      </c>
      <c r="Q231">
        <f>P231*16.02</f>
        <v>1.2706803372173725</v>
      </c>
    </row>
    <row r="232" spans="2:18" x14ac:dyDescent="0.2">
      <c r="C232">
        <v>100000</v>
      </c>
      <c r="D232">
        <v>520.29596900000001</v>
      </c>
      <c r="E232">
        <v>-23170.705580999998</v>
      </c>
      <c r="F232">
        <v>67809.409069999994</v>
      </c>
      <c r="G232">
        <v>0.38251800000000002</v>
      </c>
      <c r="H232">
        <v>29.462844</v>
      </c>
      <c r="I232">
        <v>176.81851800000001</v>
      </c>
      <c r="J232">
        <v>13.016297</v>
      </c>
      <c r="K232">
        <v>1117</v>
      </c>
      <c r="L232">
        <v>2787</v>
      </c>
      <c r="M232">
        <f t="shared" si="50"/>
        <v>0.71388319672131151</v>
      </c>
      <c r="N232">
        <f t="shared" si="51"/>
        <v>-5.9474703893442626</v>
      </c>
      <c r="O232">
        <f>E232-(SUM(K232:L232)*N232)</f>
        <v>48.218819000001531</v>
      </c>
      <c r="P232">
        <f>O232/(2*H232*J232)</f>
        <v>6.2867249170039469E-2</v>
      </c>
      <c r="Q232">
        <f>P232*16.02</f>
        <v>1.0071333317040323</v>
      </c>
    </row>
    <row r="233" spans="2:18" x14ac:dyDescent="0.2">
      <c r="C233">
        <v>100000</v>
      </c>
      <c r="D233">
        <v>520.47063500000002</v>
      </c>
      <c r="E233">
        <v>-23130.564469000001</v>
      </c>
      <c r="F233">
        <v>67888.298760000005</v>
      </c>
      <c r="G233">
        <v>0.44404199999999999</v>
      </c>
      <c r="H233">
        <v>29.474264999999999</v>
      </c>
      <c r="I233">
        <v>176.88706199999999</v>
      </c>
      <c r="J233">
        <v>13.021343</v>
      </c>
      <c r="K233">
        <v>1134</v>
      </c>
      <c r="L233">
        <v>2770</v>
      </c>
      <c r="M233">
        <f>L233/(L233+K233)</f>
        <v>0.70952868852459017</v>
      </c>
      <c r="N233">
        <f t="shared" si="51"/>
        <v>-5.9358682377049181</v>
      </c>
      <c r="O233">
        <f>E233-(SUM(K233:L233)*N233)</f>
        <v>43.065130999999383</v>
      </c>
      <c r="P233">
        <f>O233/(2*H233*J233)</f>
        <v>5.6104411869349266E-2</v>
      </c>
      <c r="Q233">
        <f>P233*16.02</f>
        <v>0.89879267814697517</v>
      </c>
    </row>
    <row r="234" spans="2:18" x14ac:dyDescent="0.2">
      <c r="C234">
        <v>100000</v>
      </c>
      <c r="D234">
        <v>520.41904299999999</v>
      </c>
      <c r="E234">
        <v>-23066.467866999999</v>
      </c>
      <c r="F234">
        <v>67980.964183000004</v>
      </c>
      <c r="G234">
        <v>0.61175400000000002</v>
      </c>
      <c r="H234">
        <v>29.487670000000001</v>
      </c>
      <c r="I234">
        <v>176.96750700000001</v>
      </c>
      <c r="J234">
        <v>13.027265</v>
      </c>
      <c r="K234">
        <v>1153</v>
      </c>
      <c r="L234">
        <v>2751</v>
      </c>
      <c r="M234">
        <f>L234/(L234+K234)</f>
        <v>0.70466188524590168</v>
      </c>
      <c r="N234">
        <f t="shared" si="51"/>
        <v>-5.9229011270491805</v>
      </c>
      <c r="O234">
        <f>E234-(SUM(K234:L234)*N234)</f>
        <v>56.538133000001835</v>
      </c>
      <c r="P234">
        <f>O234/(2*H234*J234)</f>
        <v>7.3589823648215327E-2</v>
      </c>
      <c r="Q234">
        <f>P234*16.02</f>
        <v>1.1789089748444095</v>
      </c>
    </row>
    <row r="235" spans="2:18" x14ac:dyDescent="0.2">
      <c r="Q235" s="1">
        <f>AVERAGE(Q230:Q234)</f>
        <v>1.0828021673624695</v>
      </c>
      <c r="R235">
        <f>STDEV(Q230:Q234)</f>
        <v>0.14552560197230077</v>
      </c>
    </row>
    <row r="236" spans="2:18" x14ac:dyDescent="0.2">
      <c r="B236" t="s">
        <v>30</v>
      </c>
      <c r="C236">
        <v>100000</v>
      </c>
      <c r="D236">
        <v>557.748921</v>
      </c>
      <c r="E236">
        <v>-18706.306396</v>
      </c>
      <c r="F236">
        <v>55202.599204999999</v>
      </c>
      <c r="G236">
        <v>7.5775999999999996E-2</v>
      </c>
      <c r="H236">
        <v>23.016802999999999</v>
      </c>
      <c r="I236">
        <v>184.175892</v>
      </c>
      <c r="J236">
        <v>13.022119</v>
      </c>
      <c r="K236">
        <v>939</v>
      </c>
      <c r="L236">
        <v>2229</v>
      </c>
      <c r="M236">
        <f t="shared" ref="M236:M238" si="52">L236/(L236+K236)</f>
        <v>0.70359848484848486</v>
      </c>
      <c r="N236">
        <f>-4.0454-2.6644*M236</f>
        <v>-5.9200678030303031</v>
      </c>
      <c r="O236">
        <f>E236-(SUM(K236:L236)*N236)</f>
        <v>48.468403999999282</v>
      </c>
      <c r="P236">
        <f>O236/(2*H236*J236)</f>
        <v>8.0854102963671293E-2</v>
      </c>
      <c r="Q236">
        <f>P236*16.02</f>
        <v>1.295282729478014</v>
      </c>
    </row>
    <row r="237" spans="2:18" x14ac:dyDescent="0.2">
      <c r="C237">
        <v>100000</v>
      </c>
      <c r="D237">
        <v>557.92818399999999</v>
      </c>
      <c r="E237">
        <v>-18693.274799999999</v>
      </c>
      <c r="F237">
        <v>55184.937049</v>
      </c>
      <c r="G237">
        <v>0.31189699999999998</v>
      </c>
      <c r="H237">
        <v>23.014347000000001</v>
      </c>
      <c r="I237">
        <v>184.15624700000001</v>
      </c>
      <c r="J237">
        <v>13.02073</v>
      </c>
      <c r="K237">
        <v>942</v>
      </c>
      <c r="L237">
        <v>2226</v>
      </c>
      <c r="M237">
        <f t="shared" si="52"/>
        <v>0.70265151515151514</v>
      </c>
      <c r="N237">
        <f t="shared" ref="N237:N240" si="53">-4.0454-2.6644*M237</f>
        <v>-5.9175446969696974</v>
      </c>
      <c r="O237">
        <f>E237-(SUM(K237:L237)*N237)</f>
        <v>53.506800000002841</v>
      </c>
      <c r="P237">
        <f>O237/(2*H237*J237)</f>
        <v>8.9278110993988274E-2</v>
      </c>
      <c r="Q237">
        <f>P237*16.02</f>
        <v>1.4302353381236921</v>
      </c>
    </row>
    <row r="238" spans="2:18" x14ac:dyDescent="0.2">
      <c r="C238">
        <v>100000</v>
      </c>
      <c r="D238">
        <v>557.77567199999999</v>
      </c>
      <c r="E238">
        <v>-18758.719057999999</v>
      </c>
      <c r="F238">
        <v>55108.932418999997</v>
      </c>
      <c r="G238">
        <v>0.10308</v>
      </c>
      <c r="H238">
        <v>23.003776999999999</v>
      </c>
      <c r="I238">
        <v>184.071664</v>
      </c>
      <c r="J238">
        <v>13.014749</v>
      </c>
      <c r="K238">
        <v>918</v>
      </c>
      <c r="L238">
        <v>2250</v>
      </c>
      <c r="M238">
        <f t="shared" si="52"/>
        <v>0.71022727272727271</v>
      </c>
      <c r="N238">
        <f t="shared" si="53"/>
        <v>-5.9377295454545456</v>
      </c>
      <c r="O238">
        <f>E238-(SUM(K238:L238)*N238)</f>
        <v>52.008142000002408</v>
      </c>
      <c r="P238">
        <f>O238/(2*H238*J238)</f>
        <v>8.6857314495717847E-2</v>
      </c>
      <c r="Q238">
        <f>P238*16.02</f>
        <v>1.3914541782213998</v>
      </c>
    </row>
    <row r="239" spans="2:18" x14ac:dyDescent="0.2">
      <c r="C239">
        <v>100000</v>
      </c>
      <c r="D239">
        <v>557.61734300000001</v>
      </c>
      <c r="E239">
        <v>-18808.521871000001</v>
      </c>
      <c r="F239">
        <v>55023.112201999997</v>
      </c>
      <c r="G239">
        <v>0.126025</v>
      </c>
      <c r="H239">
        <v>22.99183</v>
      </c>
      <c r="I239">
        <v>183.97606300000001</v>
      </c>
      <c r="J239">
        <v>13.007989999999999</v>
      </c>
      <c r="K239">
        <v>901</v>
      </c>
      <c r="L239">
        <v>2267</v>
      </c>
      <c r="M239">
        <f>L239/(L239+K239)</f>
        <v>0.71559343434343436</v>
      </c>
      <c r="N239">
        <f t="shared" si="53"/>
        <v>-5.9520271464646468</v>
      </c>
      <c r="O239">
        <f>E239-(SUM(K239:L239)*N239)</f>
        <v>47.500129000000015</v>
      </c>
      <c r="P239">
        <f>O239/(2*H239*J239)</f>
        <v>7.9411072110591646E-2</v>
      </c>
      <c r="Q239">
        <f>P239*16.02</f>
        <v>1.2721653752116782</v>
      </c>
    </row>
    <row r="240" spans="2:18" x14ac:dyDescent="0.2">
      <c r="C240">
        <v>100000</v>
      </c>
      <c r="D240">
        <v>557.71080700000005</v>
      </c>
      <c r="E240">
        <v>-18750.995382000001</v>
      </c>
      <c r="F240">
        <v>55133.133465999999</v>
      </c>
      <c r="G240">
        <v>6.3480000000000003E-3</v>
      </c>
      <c r="H240">
        <v>23.007144</v>
      </c>
      <c r="I240">
        <v>184.09860499999999</v>
      </c>
      <c r="J240">
        <v>13.016654000000001</v>
      </c>
      <c r="K240">
        <v>924</v>
      </c>
      <c r="L240">
        <v>2244</v>
      </c>
      <c r="M240">
        <f>L240/(L240+K240)</f>
        <v>0.70833333333333337</v>
      </c>
      <c r="N240">
        <f t="shared" si="53"/>
        <v>-5.9326833333333333</v>
      </c>
      <c r="O240">
        <f>E240-(SUM(K240:L240)*N240)</f>
        <v>43.745417999998608</v>
      </c>
      <c r="P240">
        <f>O240/(2*H240*J240)</f>
        <v>7.3036592553432561E-2</v>
      </c>
      <c r="Q240">
        <f>P240*16.02</f>
        <v>1.1700462127059896</v>
      </c>
    </row>
    <row r="241" spans="2:18" x14ac:dyDescent="0.2">
      <c r="Q241" s="1">
        <f>AVERAGE(Q236:Q240)</f>
        <v>1.3118367667481547</v>
      </c>
      <c r="R241">
        <f>STDEV(Q236:Q240)</f>
        <v>0.10284645179275025</v>
      </c>
    </row>
    <row r="242" spans="2:18" x14ac:dyDescent="0.2">
      <c r="B242" t="s">
        <v>24</v>
      </c>
      <c r="C242">
        <v>100000</v>
      </c>
      <c r="D242">
        <v>557.72824700000001</v>
      </c>
      <c r="E242">
        <v>-14700.877709</v>
      </c>
      <c r="F242">
        <v>42888.34274</v>
      </c>
      <c r="G242">
        <v>0.41317199999999998</v>
      </c>
      <c r="H242">
        <v>33.153337000000001</v>
      </c>
      <c r="I242">
        <v>132.63405800000001</v>
      </c>
      <c r="J242">
        <v>9.7534179999999999</v>
      </c>
      <c r="K242">
        <v>690</v>
      </c>
      <c r="L242">
        <v>1782</v>
      </c>
      <c r="M242">
        <f t="shared" ref="M242:M244" si="54">L242/(L242+K242)</f>
        <v>0.720873786407767</v>
      </c>
      <c r="N242">
        <f>-4.0454-2.6644*M242</f>
        <v>-5.9660961165048541</v>
      </c>
      <c r="O242">
        <f>E242-(SUM(K242:L242)*N242)</f>
        <v>47.311890999999378</v>
      </c>
      <c r="P242">
        <f>O242/(2*H242*J242)</f>
        <v>7.3157056924356145E-2</v>
      </c>
      <c r="Q242">
        <f>P242*16.02</f>
        <v>1.1719760519281854</v>
      </c>
    </row>
    <row r="243" spans="2:18" x14ac:dyDescent="0.2">
      <c r="C243">
        <v>100000</v>
      </c>
      <c r="D243">
        <v>557.69145400000002</v>
      </c>
      <c r="E243">
        <v>-14631.938498</v>
      </c>
      <c r="F243">
        <v>43011.456870000002</v>
      </c>
      <c r="G243">
        <v>0.23999100000000001</v>
      </c>
      <c r="H243">
        <v>33.185029999999998</v>
      </c>
      <c r="I243">
        <v>132.76084800000001</v>
      </c>
      <c r="J243">
        <v>9.7627410000000001</v>
      </c>
      <c r="K243">
        <v>717</v>
      </c>
      <c r="L243">
        <v>1755</v>
      </c>
      <c r="M243">
        <f t="shared" si="54"/>
        <v>0.70995145631067957</v>
      </c>
      <c r="N243">
        <f t="shared" ref="N243:N246" si="55">-4.0454-2.6644*M243</f>
        <v>-5.9369946601941743</v>
      </c>
      <c r="O243">
        <f>E243-(SUM(K243:L243)*N243)</f>
        <v>44.312302000000273</v>
      </c>
      <c r="P243">
        <f>O243/(2*H243*J243)</f>
        <v>6.8388067842122077E-2</v>
      </c>
      <c r="Q243">
        <f>P243*16.02</f>
        <v>1.0955768468307956</v>
      </c>
    </row>
    <row r="244" spans="2:18" x14ac:dyDescent="0.2">
      <c r="C244">
        <v>100000</v>
      </c>
      <c r="D244">
        <v>557.75102700000002</v>
      </c>
      <c r="E244">
        <v>-14597.585521999999</v>
      </c>
      <c r="F244">
        <v>43081.953880000001</v>
      </c>
      <c r="G244">
        <v>0.20571</v>
      </c>
      <c r="H244">
        <v>33.203150999999998</v>
      </c>
      <c r="I244">
        <v>132.83334099999999</v>
      </c>
      <c r="J244">
        <v>9.7680720000000001</v>
      </c>
      <c r="K244">
        <v>731</v>
      </c>
      <c r="L244">
        <v>1741</v>
      </c>
      <c r="M244">
        <f t="shared" si="54"/>
        <v>0.70428802588996764</v>
      </c>
      <c r="N244">
        <f t="shared" si="55"/>
        <v>-5.9219050161812294</v>
      </c>
      <c r="O244">
        <f>E244-(SUM(K244:L244)*N244)</f>
        <v>41.363677999999709</v>
      </c>
      <c r="P244">
        <f>O244/(2*H244*J244)</f>
        <v>6.3767736332368194E-2</v>
      </c>
      <c r="Q244">
        <f>P244*16.02</f>
        <v>1.0215591360445384</v>
      </c>
    </row>
    <row r="245" spans="2:18" x14ac:dyDescent="0.2">
      <c r="C245">
        <v>100000</v>
      </c>
      <c r="D245">
        <v>557.69078100000002</v>
      </c>
      <c r="E245">
        <v>-14599.558085999999</v>
      </c>
      <c r="F245">
        <v>43071.251044999997</v>
      </c>
      <c r="G245">
        <v>0.43951800000000002</v>
      </c>
      <c r="H245">
        <v>33.200400999999999</v>
      </c>
      <c r="I245">
        <v>132.82234</v>
      </c>
      <c r="J245">
        <v>9.7672629999999998</v>
      </c>
      <c r="K245">
        <v>727</v>
      </c>
      <c r="L245">
        <v>1745</v>
      </c>
      <c r="M245">
        <f>L245/(L245+K245)</f>
        <v>0.70590614886731395</v>
      </c>
      <c r="N245">
        <f t="shared" si="55"/>
        <v>-5.9262163430420713</v>
      </c>
      <c r="O245">
        <f>E245-(SUM(K245:L245)*N245)</f>
        <v>50.048714000000473</v>
      </c>
      <c r="P245">
        <f>O245/(2*H245*J245)</f>
        <v>7.7169682940293555E-2</v>
      </c>
      <c r="Q245">
        <f>P245*16.02</f>
        <v>1.2362583207035027</v>
      </c>
    </row>
    <row r="246" spans="2:18" x14ac:dyDescent="0.2">
      <c r="C246">
        <v>100000</v>
      </c>
      <c r="D246">
        <v>557.99465399999997</v>
      </c>
      <c r="E246">
        <v>-14608.075797</v>
      </c>
      <c r="F246">
        <v>43039.62775</v>
      </c>
      <c r="G246">
        <v>0.12503600000000001</v>
      </c>
      <c r="H246">
        <v>33.192273999999998</v>
      </c>
      <c r="I246">
        <v>132.789827</v>
      </c>
      <c r="J246">
        <v>9.7648729999999997</v>
      </c>
      <c r="K246">
        <v>723</v>
      </c>
      <c r="L246">
        <v>1749</v>
      </c>
      <c r="M246">
        <f>L246/(L246+K246)</f>
        <v>0.70752427184466016</v>
      </c>
      <c r="N246">
        <f t="shared" si="55"/>
        <v>-5.9305276699029124</v>
      </c>
      <c r="O246">
        <f>E246-(SUM(K246:L246)*N246)</f>
        <v>52.188603000000512</v>
      </c>
      <c r="P246">
        <f>O246/(2*H246*J246)</f>
        <v>8.050856204128054E-2</v>
      </c>
      <c r="Q246">
        <f>P246*16.02</f>
        <v>1.2897471639013143</v>
      </c>
    </row>
    <row r="247" spans="2:18" x14ac:dyDescent="0.2">
      <c r="Q247" s="1">
        <f>AVERAGE(Q242:Q246)</f>
        <v>1.1630235038816672</v>
      </c>
      <c r="R247">
        <f>STDEV(Q242:Q246)</f>
        <v>0.10731215149637585</v>
      </c>
    </row>
    <row r="248" spans="2:18" x14ac:dyDescent="0.2">
      <c r="B248" t="s">
        <v>31</v>
      </c>
      <c r="C248">
        <v>100000</v>
      </c>
      <c r="D248">
        <v>557.94794899999999</v>
      </c>
      <c r="E248">
        <v>-19132.163137</v>
      </c>
      <c r="F248">
        <v>56234.832732000003</v>
      </c>
      <c r="G248">
        <v>0.14910699999999999</v>
      </c>
      <c r="H248">
        <v>26.831617999999999</v>
      </c>
      <c r="I248">
        <v>161.01043300000001</v>
      </c>
      <c r="J248">
        <v>13.016806000000001</v>
      </c>
      <c r="K248">
        <v>934</v>
      </c>
      <c r="L248">
        <v>2298</v>
      </c>
      <c r="M248">
        <f t="shared" ref="M248:M250" si="56">L248/(L248+K248)</f>
        <v>0.71101485148514854</v>
      </c>
      <c r="N248">
        <f>-4.0454-2.6644*M248</f>
        <v>-5.9398279702970296</v>
      </c>
      <c r="O248">
        <f>E248-(SUM(K248:L248)*N248)</f>
        <v>65.3608630000017</v>
      </c>
      <c r="P248">
        <f>O248/(2*H248*J248)</f>
        <v>9.3569969436341965E-2</v>
      </c>
      <c r="Q248">
        <f>P248*16.02</f>
        <v>1.4989909103701982</v>
      </c>
    </row>
    <row r="249" spans="2:18" x14ac:dyDescent="0.2">
      <c r="C249">
        <v>100000</v>
      </c>
      <c r="D249">
        <v>557.61712599999998</v>
      </c>
      <c r="E249">
        <v>-18968.005372</v>
      </c>
      <c r="F249">
        <v>56505.684533</v>
      </c>
      <c r="G249">
        <v>-7.2570999999999997E-2</v>
      </c>
      <c r="H249">
        <v>26.874625999999999</v>
      </c>
      <c r="I249">
        <v>161.268518</v>
      </c>
      <c r="J249">
        <v>13.037671</v>
      </c>
      <c r="K249">
        <v>1000</v>
      </c>
      <c r="L249">
        <v>2232</v>
      </c>
      <c r="M249">
        <f t="shared" si="56"/>
        <v>0.69059405940594054</v>
      </c>
      <c r="N249">
        <f t="shared" ref="N249:N252" si="57">-4.0454-2.6644*M249</f>
        <v>-5.8854188118811877</v>
      </c>
      <c r="O249">
        <f>E249-(SUM(K249:L249)*N249)</f>
        <v>53.668227999998635</v>
      </c>
      <c r="P249">
        <f>O249/(2*H249*J249)</f>
        <v>7.6585193457186188E-2</v>
      </c>
      <c r="Q249">
        <f>P249*16.02</f>
        <v>1.2268947991841226</v>
      </c>
    </row>
    <row r="250" spans="2:18" x14ac:dyDescent="0.2">
      <c r="C250">
        <v>100000</v>
      </c>
      <c r="D250">
        <v>557.97886500000004</v>
      </c>
      <c r="E250">
        <v>-19151.513762999999</v>
      </c>
      <c r="F250">
        <v>56210.263307000001</v>
      </c>
      <c r="G250">
        <v>0.18301700000000001</v>
      </c>
      <c r="H250">
        <v>26.827708999999999</v>
      </c>
      <c r="I250">
        <v>160.98697999999999</v>
      </c>
      <c r="J250">
        <v>13.01491</v>
      </c>
      <c r="K250">
        <v>930</v>
      </c>
      <c r="L250">
        <v>2302</v>
      </c>
      <c r="M250">
        <f t="shared" si="56"/>
        <v>0.71225247524752477</v>
      </c>
      <c r="N250">
        <f t="shared" si="57"/>
        <v>-5.9431254950495047</v>
      </c>
      <c r="O250">
        <f>E250-(SUM(K250:L250)*N250)</f>
        <v>56.667837000000873</v>
      </c>
      <c r="P250">
        <f>O250/(2*H250*J250)</f>
        <v>8.1148759302650697E-2</v>
      </c>
      <c r="Q250">
        <f>P250*16.02</f>
        <v>1.3000031240284642</v>
      </c>
    </row>
    <row r="251" spans="2:18" x14ac:dyDescent="0.2">
      <c r="C251">
        <v>100000</v>
      </c>
      <c r="D251">
        <v>557.59327299999995</v>
      </c>
      <c r="E251">
        <v>-19004.256537000001</v>
      </c>
      <c r="F251">
        <v>56448.274305999999</v>
      </c>
      <c r="G251">
        <v>6.3519000000000006E-2</v>
      </c>
      <c r="H251">
        <v>26.865521000000001</v>
      </c>
      <c r="I251">
        <v>161.21388200000001</v>
      </c>
      <c r="J251">
        <v>13.033253999999999</v>
      </c>
      <c r="K251">
        <v>980</v>
      </c>
      <c r="L251">
        <v>2252</v>
      </c>
      <c r="M251">
        <f>L251/(L251+K251)</f>
        <v>0.69678217821782173</v>
      </c>
      <c r="N251">
        <f t="shared" si="57"/>
        <v>-5.9019064356435642</v>
      </c>
      <c r="O251">
        <f>E251-(SUM(K251:L251)*N251)</f>
        <v>70.705062999997608</v>
      </c>
      <c r="P251">
        <f>O251/(2*H251*J251)</f>
        <v>0.10096535847417297</v>
      </c>
      <c r="Q251">
        <f>P251*16.02</f>
        <v>1.6174650427562509</v>
      </c>
    </row>
    <row r="252" spans="2:18" x14ac:dyDescent="0.2">
      <c r="C252">
        <v>100000</v>
      </c>
      <c r="D252">
        <v>557.76825699999995</v>
      </c>
      <c r="E252">
        <v>-19139.543818999999</v>
      </c>
      <c r="F252">
        <v>56217.652615999999</v>
      </c>
      <c r="G252">
        <v>0.108377</v>
      </c>
      <c r="H252">
        <v>26.828885</v>
      </c>
      <c r="I252">
        <v>160.994033</v>
      </c>
      <c r="J252">
        <v>13.015480999999999</v>
      </c>
      <c r="K252">
        <v>931</v>
      </c>
      <c r="L252">
        <v>2301</v>
      </c>
      <c r="M252">
        <f>L252/(L252+K252)</f>
        <v>0.71194306930693074</v>
      </c>
      <c r="N252">
        <f t="shared" si="57"/>
        <v>-5.9423011138613866</v>
      </c>
      <c r="O252">
        <f>E252-(SUM(K252:L252)*N252)</f>
        <v>65.973381000003428</v>
      </c>
      <c r="P252">
        <f>O252/(2*H252*J252)</f>
        <v>9.4466081125042331E-2</v>
      </c>
      <c r="Q252">
        <f>P252*16.02</f>
        <v>1.5133466196231782</v>
      </c>
    </row>
    <row r="253" spans="2:18" x14ac:dyDescent="0.2">
      <c r="Q253" s="1">
        <f>AVERAGE(Q248:Q252)</f>
        <v>1.4313400991924428</v>
      </c>
      <c r="R253">
        <f>STDEV(Q248:Q252)</f>
        <v>0.16201194246375203</v>
      </c>
    </row>
    <row r="254" spans="2:18" x14ac:dyDescent="0.2">
      <c r="B254" t="s">
        <v>23</v>
      </c>
      <c r="C254">
        <v>100000</v>
      </c>
      <c r="D254">
        <v>557.91311800000005</v>
      </c>
      <c r="E254">
        <v>-17093.643542000002</v>
      </c>
      <c r="F254">
        <v>50020.392037999998</v>
      </c>
      <c r="G254">
        <v>-7.8114000000000003E-2</v>
      </c>
      <c r="H254">
        <v>30.892040000000001</v>
      </c>
      <c r="I254">
        <v>123.942607</v>
      </c>
      <c r="J254">
        <v>13.064107999999999</v>
      </c>
      <c r="K254">
        <v>815</v>
      </c>
      <c r="L254">
        <v>2065</v>
      </c>
      <c r="M254">
        <f t="shared" ref="M254:M256" si="58">L254/(L254+K254)</f>
        <v>0.71701388888888884</v>
      </c>
      <c r="N254">
        <f>-4.0454-2.6644*M254</f>
        <v>-5.9558118055555553</v>
      </c>
      <c r="O254">
        <f>E254-(SUM(K254:L254)*N254)</f>
        <v>59.094457999995939</v>
      </c>
      <c r="P254">
        <f>O254/(2*H254*J254)</f>
        <v>7.3213371643093078E-2</v>
      </c>
      <c r="Q254">
        <f>P254*16.02</f>
        <v>1.172878213722351</v>
      </c>
    </row>
    <row r="255" spans="2:18" x14ac:dyDescent="0.2">
      <c r="C255">
        <v>100000</v>
      </c>
      <c r="D255">
        <v>557.86242300000004</v>
      </c>
      <c r="E255">
        <v>-17127.347233</v>
      </c>
      <c r="F255">
        <v>49941.306531000002</v>
      </c>
      <c r="G255">
        <v>0.22226000000000001</v>
      </c>
      <c r="H255">
        <v>30.87575</v>
      </c>
      <c r="I255">
        <v>123.877252</v>
      </c>
      <c r="J255">
        <v>13.057219999999999</v>
      </c>
      <c r="K255">
        <v>804</v>
      </c>
      <c r="L255">
        <v>2076</v>
      </c>
      <c r="M255">
        <f t="shared" si="58"/>
        <v>0.72083333333333333</v>
      </c>
      <c r="N255">
        <f t="shared" ref="N255:N258" si="59">-4.0454-2.6644*M255</f>
        <v>-5.9659883333333337</v>
      </c>
      <c r="O255">
        <f>E255-(SUM(K255:L255)*N255)</f>
        <v>54.699166999998852</v>
      </c>
      <c r="P255">
        <f>O255/(2*H255*J255)</f>
        <v>6.7839475198343685E-2</v>
      </c>
      <c r="Q255">
        <f>P255*16.02</f>
        <v>1.0867883926774657</v>
      </c>
    </row>
    <row r="256" spans="2:18" x14ac:dyDescent="0.2">
      <c r="C256">
        <v>100000</v>
      </c>
      <c r="D256">
        <v>558.02712899999995</v>
      </c>
      <c r="E256">
        <v>-17139.445275999999</v>
      </c>
      <c r="F256">
        <v>49935.923295000001</v>
      </c>
      <c r="G256">
        <v>0.19963700000000001</v>
      </c>
      <c r="H256">
        <v>30.874641</v>
      </c>
      <c r="I256">
        <v>123.87280199999999</v>
      </c>
      <c r="J256">
        <v>13.056749999999999</v>
      </c>
      <c r="K256">
        <v>799</v>
      </c>
      <c r="L256">
        <v>2081</v>
      </c>
      <c r="M256">
        <f t="shared" si="58"/>
        <v>0.72256944444444449</v>
      </c>
      <c r="N256">
        <f t="shared" si="59"/>
        <v>-5.9706140277777777</v>
      </c>
      <c r="O256">
        <f>E256-(SUM(K256:L256)*N256)</f>
        <v>55.923124000000826</v>
      </c>
      <c r="P256">
        <f>O256/(2*H256*J256)</f>
        <v>6.9362449773419446E-2</v>
      </c>
      <c r="Q256">
        <f>P256*16.02</f>
        <v>1.1111864453701794</v>
      </c>
    </row>
    <row r="257" spans="2:18" x14ac:dyDescent="0.2">
      <c r="C257">
        <v>100000</v>
      </c>
      <c r="D257">
        <v>557.78286900000001</v>
      </c>
      <c r="E257">
        <v>-17000.633161999998</v>
      </c>
      <c r="F257">
        <v>50165.041116</v>
      </c>
      <c r="G257">
        <v>-1.2899999999999999E-4</v>
      </c>
      <c r="H257">
        <v>30.921789</v>
      </c>
      <c r="I257">
        <v>124.061965</v>
      </c>
      <c r="J257">
        <v>13.076689</v>
      </c>
      <c r="K257">
        <v>850</v>
      </c>
      <c r="L257">
        <v>2030</v>
      </c>
      <c r="M257">
        <f>L257/(L257+K257)</f>
        <v>0.70486111111111116</v>
      </c>
      <c r="N257">
        <f t="shared" si="59"/>
        <v>-5.9234319444444443</v>
      </c>
      <c r="O257">
        <f>E257-(SUM(K257:L257)*N257)</f>
        <v>58.850838000002113</v>
      </c>
      <c r="P257">
        <f>O257/(2*H257*J257)</f>
        <v>7.2771319244399585E-2</v>
      </c>
      <c r="Q257">
        <f>P257*16.02</f>
        <v>1.1657965342952814</v>
      </c>
    </row>
    <row r="258" spans="2:18" x14ac:dyDescent="0.2">
      <c r="C258">
        <v>100000</v>
      </c>
      <c r="D258">
        <v>557.76901799999996</v>
      </c>
      <c r="E258">
        <v>-16968.540357000002</v>
      </c>
      <c r="F258">
        <v>50239.080094999998</v>
      </c>
      <c r="G258">
        <v>0.46359800000000001</v>
      </c>
      <c r="H258">
        <v>30.936993999999999</v>
      </c>
      <c r="I258">
        <v>124.122969</v>
      </c>
      <c r="J258">
        <v>13.083119</v>
      </c>
      <c r="K258">
        <v>859</v>
      </c>
      <c r="L258">
        <v>2021</v>
      </c>
      <c r="M258">
        <f>L258/(L258+K258)</f>
        <v>0.70173611111111112</v>
      </c>
      <c r="N258">
        <f t="shared" si="59"/>
        <v>-5.9151056944444447</v>
      </c>
      <c r="O258">
        <f>E258-(SUM(K258:L258)*N258)</f>
        <v>66.964042999999947</v>
      </c>
      <c r="P258">
        <f>O258/(2*H258*J258)</f>
        <v>8.2722236237323291E-2</v>
      </c>
      <c r="Q258">
        <f>P258*16.02</f>
        <v>1.3252102245219191</v>
      </c>
    </row>
    <row r="259" spans="2:18" x14ac:dyDescent="0.2">
      <c r="Q259" s="1">
        <f>AVERAGE(Q254:Q258)</f>
        <v>1.1723719621174393</v>
      </c>
      <c r="R259">
        <f>STDEV(Q254:Q258)</f>
        <v>9.2832162818535707E-2</v>
      </c>
    </row>
    <row r="260" spans="2:18" x14ac:dyDescent="0.2">
      <c r="B260" t="s">
        <v>32</v>
      </c>
      <c r="C260">
        <v>100000</v>
      </c>
      <c r="D260">
        <v>557.89457300000004</v>
      </c>
      <c r="E260">
        <v>-21800.124454000001</v>
      </c>
      <c r="F260">
        <v>64011.067348999997</v>
      </c>
      <c r="G260">
        <v>-0.14854800000000001</v>
      </c>
      <c r="H260">
        <v>24.786852</v>
      </c>
      <c r="I260">
        <v>198.33628400000001</v>
      </c>
      <c r="J260">
        <v>13.020613000000001</v>
      </c>
      <c r="K260">
        <v>1066</v>
      </c>
      <c r="L260">
        <v>2614</v>
      </c>
      <c r="M260">
        <f t="shared" ref="M260:M262" si="60">L260/(L260+K260)</f>
        <v>0.71032608695652177</v>
      </c>
      <c r="N260">
        <f>-4.0454-2.6644*M260</f>
        <v>-5.9379928260869566</v>
      </c>
      <c r="O260">
        <f>E260-(SUM(K260:L260)*N260)</f>
        <v>51.689146000000619</v>
      </c>
      <c r="P260">
        <f>O260/(2*H260*J260)</f>
        <v>8.0078615631771766E-2</v>
      </c>
      <c r="Q260">
        <f>P260*16.02</f>
        <v>1.2828594224209837</v>
      </c>
    </row>
    <row r="261" spans="2:18" x14ac:dyDescent="0.2">
      <c r="C261">
        <v>100000</v>
      </c>
      <c r="D261">
        <v>557.87338799999998</v>
      </c>
      <c r="E261">
        <v>-21714.253952999999</v>
      </c>
      <c r="F261">
        <v>64159.504674999996</v>
      </c>
      <c r="G261">
        <v>6.4388000000000001E-2</v>
      </c>
      <c r="H261">
        <v>24.805997000000001</v>
      </c>
      <c r="I261">
        <v>198.489474</v>
      </c>
      <c r="J261">
        <v>13.030670000000001</v>
      </c>
      <c r="K261">
        <v>1093</v>
      </c>
      <c r="L261">
        <v>2587</v>
      </c>
      <c r="M261">
        <f t="shared" si="60"/>
        <v>0.70298913043478262</v>
      </c>
      <c r="N261">
        <f t="shared" ref="N261:N264" si="61">-4.0454-2.6644*M261</f>
        <v>-5.9184442391304346</v>
      </c>
      <c r="O261">
        <f>E261-(SUM(K261:L261)*N261)</f>
        <v>65.620846999998321</v>
      </c>
      <c r="P261">
        <f>O261/(2*H261*J261)</f>
        <v>0.10150522606200854</v>
      </c>
      <c r="Q261">
        <f>P261*16.02</f>
        <v>1.6261137215133767</v>
      </c>
    </row>
    <row r="262" spans="2:18" x14ac:dyDescent="0.2">
      <c r="C262">
        <v>100000</v>
      </c>
      <c r="D262">
        <v>557.73918900000001</v>
      </c>
      <c r="E262">
        <v>-21759.336127999999</v>
      </c>
      <c r="F262">
        <v>64085.106692000001</v>
      </c>
      <c r="G262">
        <v>0.31683099999999997</v>
      </c>
      <c r="H262">
        <v>24.796405</v>
      </c>
      <c r="I262">
        <v>198.412723</v>
      </c>
      <c r="J262">
        <v>13.025631000000001</v>
      </c>
      <c r="K262">
        <v>1079</v>
      </c>
      <c r="L262">
        <v>2601</v>
      </c>
      <c r="M262">
        <f t="shared" si="60"/>
        <v>0.70679347826086958</v>
      </c>
      <c r="N262">
        <f t="shared" si="61"/>
        <v>-5.9285805434782608</v>
      </c>
      <c r="O262">
        <f>E262-(SUM(K262:L262)*N262)</f>
        <v>57.840272000001278</v>
      </c>
      <c r="P262">
        <f>O262/(2*H262*J262)</f>
        <v>8.9539123526548553E-2</v>
      </c>
      <c r="Q262">
        <f>P262*16.02</f>
        <v>1.4344167588953078</v>
      </c>
    </row>
    <row r="263" spans="2:18" x14ac:dyDescent="0.2">
      <c r="C263">
        <v>100000</v>
      </c>
      <c r="D263">
        <v>557.76177900000005</v>
      </c>
      <c r="E263">
        <v>-21763.778909000001</v>
      </c>
      <c r="F263">
        <v>64068.965091999999</v>
      </c>
      <c r="G263">
        <v>6.7294999999999994E-2</v>
      </c>
      <c r="H263">
        <v>24.794322999999999</v>
      </c>
      <c r="I263">
        <v>198.396063</v>
      </c>
      <c r="J263">
        <v>13.024538</v>
      </c>
      <c r="K263">
        <v>1078</v>
      </c>
      <c r="L263">
        <v>2602</v>
      </c>
      <c r="M263">
        <f>L263/(L263+K263)</f>
        <v>0.70706521739130435</v>
      </c>
      <c r="N263">
        <f t="shared" si="61"/>
        <v>-5.9293045652173912</v>
      </c>
      <c r="O263">
        <f>E263-(SUM(K263:L263)*N263)</f>
        <v>56.061890999997559</v>
      </c>
      <c r="P263">
        <f>O263/(2*H263*J263)</f>
        <v>8.6800687563087259E-2</v>
      </c>
      <c r="Q263">
        <f>P263*16.02</f>
        <v>1.3905470147606578</v>
      </c>
    </row>
    <row r="264" spans="2:18" x14ac:dyDescent="0.2">
      <c r="C264">
        <v>100000</v>
      </c>
      <c r="D264">
        <v>557.84196799999995</v>
      </c>
      <c r="E264">
        <v>-21789.397078000002</v>
      </c>
      <c r="F264">
        <v>64025.445769999998</v>
      </c>
      <c r="G264">
        <v>0.404138</v>
      </c>
      <c r="H264">
        <v>24.788708</v>
      </c>
      <c r="I264">
        <v>198.35113200000001</v>
      </c>
      <c r="J264">
        <v>13.021587999999999</v>
      </c>
      <c r="K264">
        <v>1071</v>
      </c>
      <c r="L264">
        <v>2609</v>
      </c>
      <c r="M264">
        <f>L264/(L264+K264)</f>
        <v>0.70896739130434783</v>
      </c>
      <c r="N264">
        <f t="shared" si="61"/>
        <v>-5.9343727173913043</v>
      </c>
      <c r="O264">
        <f>E264-(SUM(K264:L264)*N264)</f>
        <v>49.094521999999415</v>
      </c>
      <c r="P264">
        <f>O264/(2*H264*J264)</f>
        <v>7.6047544964367803E-2</v>
      </c>
      <c r="Q264">
        <f>P264*16.02</f>
        <v>1.2182816703291721</v>
      </c>
    </row>
    <row r="265" spans="2:18" x14ac:dyDescent="0.2">
      <c r="Q265" s="1">
        <f>AVERAGE(Q260:Q264)</f>
        <v>1.3904437175838995</v>
      </c>
      <c r="R265">
        <f>STDEV(Q260:Q264)</f>
        <v>0.15707334343010276</v>
      </c>
    </row>
    <row r="266" spans="2:18" x14ac:dyDescent="0.2">
      <c r="B266" t="s">
        <v>22</v>
      </c>
      <c r="C266">
        <v>100000</v>
      </c>
      <c r="D266">
        <v>520.36688000000004</v>
      </c>
      <c r="E266">
        <v>-22170.425664999999</v>
      </c>
      <c r="F266">
        <v>66087.544655999998</v>
      </c>
      <c r="G266">
        <v>0.48700900000000003</v>
      </c>
      <c r="H266">
        <v>29.078282999999999</v>
      </c>
      <c r="I266">
        <v>87.384978000000004</v>
      </c>
      <c r="J266">
        <v>26.008420000000001</v>
      </c>
      <c r="K266">
        <v>1144</v>
      </c>
      <c r="L266">
        <v>2632</v>
      </c>
      <c r="M266">
        <f t="shared" ref="M266:M268" si="62">L266/(L266+K266)</f>
        <v>0.69703389830508478</v>
      </c>
      <c r="N266">
        <f>-4.0454-2.6644*M266</f>
        <v>-5.9025771186440679</v>
      </c>
      <c r="O266">
        <f>E266-(SUM(K266:L266)*N266)</f>
        <v>117.70553500000096</v>
      </c>
      <c r="P266">
        <f>O266/(2*H266*J266)</f>
        <v>7.7818734011996488E-2</v>
      </c>
      <c r="Q266">
        <f>P266*16.02</f>
        <v>1.2466561188721836</v>
      </c>
    </row>
    <row r="267" spans="2:18" x14ac:dyDescent="0.2">
      <c r="C267">
        <v>100000</v>
      </c>
      <c r="D267">
        <v>520.33094900000003</v>
      </c>
      <c r="E267">
        <v>-22274.583772999998</v>
      </c>
      <c r="F267">
        <v>65889.831091999993</v>
      </c>
      <c r="G267">
        <v>0.44722200000000001</v>
      </c>
      <c r="H267">
        <v>29.049257000000001</v>
      </c>
      <c r="I267">
        <v>87.297747999999999</v>
      </c>
      <c r="J267">
        <v>25.982458000000001</v>
      </c>
      <c r="K267">
        <v>1109</v>
      </c>
      <c r="L267">
        <v>2667</v>
      </c>
      <c r="M267">
        <f t="shared" si="62"/>
        <v>0.70630296610169496</v>
      </c>
      <c r="N267">
        <f t="shared" ref="N267:N270" si="63">-4.0454-2.6644*M267</f>
        <v>-5.9272736228813558</v>
      </c>
      <c r="O267">
        <f>E267-(SUM(K267:L267)*N267)</f>
        <v>106.80142700000215</v>
      </c>
      <c r="P267">
        <f>O267/(2*H267*J267)</f>
        <v>7.0750872025560366E-2</v>
      </c>
      <c r="Q267">
        <f>P267*16.02</f>
        <v>1.1334289698494771</v>
      </c>
    </row>
    <row r="268" spans="2:18" x14ac:dyDescent="0.2">
      <c r="C268">
        <v>100000</v>
      </c>
      <c r="D268">
        <v>520.34536700000001</v>
      </c>
      <c r="E268">
        <v>-22439.23101</v>
      </c>
      <c r="F268">
        <v>65631.425598999995</v>
      </c>
      <c r="G268">
        <v>0.72236900000000004</v>
      </c>
      <c r="H268">
        <v>29.011232</v>
      </c>
      <c r="I268">
        <v>87.183477999999994</v>
      </c>
      <c r="J268">
        <v>25.948447000000002</v>
      </c>
      <c r="K268">
        <v>1049</v>
      </c>
      <c r="L268">
        <v>2727</v>
      </c>
      <c r="M268">
        <f t="shared" si="62"/>
        <v>0.72219279661016944</v>
      </c>
      <c r="N268">
        <f t="shared" si="63"/>
        <v>-5.9696104872881355</v>
      </c>
      <c r="O268">
        <f>E268-(SUM(K268:L268)*N268)</f>
        <v>102.01818999999887</v>
      </c>
      <c r="P268">
        <f>O268/(2*H268*J268)</f>
        <v>6.7759481738729671E-2</v>
      </c>
      <c r="Q268">
        <f>P268*16.02</f>
        <v>1.0855068974544493</v>
      </c>
    </row>
    <row r="269" spans="2:18" x14ac:dyDescent="0.2">
      <c r="C269">
        <v>100000</v>
      </c>
      <c r="D269">
        <v>520.26321800000005</v>
      </c>
      <c r="E269">
        <v>-22338.499371000002</v>
      </c>
      <c r="F269">
        <v>65794.808969999998</v>
      </c>
      <c r="G269">
        <v>0.59018499999999996</v>
      </c>
      <c r="H269">
        <v>29.035285999999999</v>
      </c>
      <c r="I269">
        <v>87.255763000000002</v>
      </c>
      <c r="J269">
        <v>25.969961999999999</v>
      </c>
      <c r="K269">
        <v>1083</v>
      </c>
      <c r="L269">
        <v>2693</v>
      </c>
      <c r="M269">
        <f>L269/(L269+K269)</f>
        <v>0.71318855932203384</v>
      </c>
      <c r="N269">
        <f t="shared" si="63"/>
        <v>-5.9456195974576271</v>
      </c>
      <c r="O269">
        <f>E269-(SUM(K269:L269)*N269)</f>
        <v>112.16022899999734</v>
      </c>
      <c r="P269">
        <f>O269/(2*H269*J269)</f>
        <v>7.4372343979591665E-2</v>
      </c>
      <c r="Q269">
        <f>P269*16.02</f>
        <v>1.1914449505530584</v>
      </c>
    </row>
    <row r="270" spans="2:18" x14ac:dyDescent="0.2">
      <c r="C270">
        <v>100000</v>
      </c>
      <c r="D270">
        <v>520.48711800000001</v>
      </c>
      <c r="E270">
        <v>-22219.542092</v>
      </c>
      <c r="F270">
        <v>66015.997441</v>
      </c>
      <c r="G270">
        <v>0.53848700000000005</v>
      </c>
      <c r="H270">
        <v>29.067786000000002</v>
      </c>
      <c r="I270">
        <v>87.353431999999998</v>
      </c>
      <c r="J270">
        <v>25.999030999999999</v>
      </c>
      <c r="K270">
        <v>1125</v>
      </c>
      <c r="L270">
        <v>2651</v>
      </c>
      <c r="M270">
        <f>L270/(L270+K270)</f>
        <v>0.70206567796610164</v>
      </c>
      <c r="N270">
        <f t="shared" si="63"/>
        <v>-5.9159837923728809</v>
      </c>
      <c r="O270">
        <f>E270-(SUM(K270:L270)*N270)</f>
        <v>119.21270799999911</v>
      </c>
      <c r="P270">
        <f>O270/(2*H270*J270)</f>
        <v>7.8872106797536229E-2</v>
      </c>
      <c r="Q270">
        <f>P270*16.02</f>
        <v>1.2635311508965303</v>
      </c>
    </row>
    <row r="271" spans="2:18" x14ac:dyDescent="0.2">
      <c r="Q271" s="1">
        <f>AVERAGE(Q266:Q270)</f>
        <v>1.1841136175251397</v>
      </c>
      <c r="R271">
        <f>STDEV(Q266:Q270)</f>
        <v>7.5107716445470415E-2</v>
      </c>
    </row>
    <row r="272" spans="2:18" x14ac:dyDescent="0.2">
      <c r="B272" t="s">
        <v>33</v>
      </c>
      <c r="C272">
        <v>100000</v>
      </c>
      <c r="D272">
        <v>557.69564800000001</v>
      </c>
      <c r="E272">
        <v>-38449.150303000002</v>
      </c>
      <c r="F272">
        <v>112826.04539299999</v>
      </c>
      <c r="G272">
        <v>-6.5084000000000003E-2</v>
      </c>
      <c r="H272">
        <v>37.982467999999997</v>
      </c>
      <c r="I272">
        <v>227.95705799999999</v>
      </c>
      <c r="J272">
        <v>13.030860000000001</v>
      </c>
      <c r="K272">
        <v>1873</v>
      </c>
      <c r="L272">
        <v>4615</v>
      </c>
      <c r="M272">
        <f t="shared" ref="M272:M274" si="64">L272/(L272+K272)</f>
        <v>0.71131319358816281</v>
      </c>
      <c r="N272">
        <f>-4.0454-2.6644*M272</f>
        <v>-5.9406228729963004</v>
      </c>
      <c r="O272">
        <f>E272-(SUM(K272:L272)*N272)</f>
        <v>93.610896999991382</v>
      </c>
      <c r="P272">
        <f>O272/(2*H272*J272)</f>
        <v>9.4567117522541225E-2</v>
      </c>
      <c r="Q272">
        <f>P272*16.02</f>
        <v>1.5149652227111103</v>
      </c>
    </row>
    <row r="273" spans="2:18" x14ac:dyDescent="0.2">
      <c r="C273">
        <v>100000</v>
      </c>
      <c r="D273">
        <v>557.76313500000003</v>
      </c>
      <c r="E273">
        <v>-38529.205710000002</v>
      </c>
      <c r="F273">
        <v>112635.444945</v>
      </c>
      <c r="G273">
        <v>3.9026999999999999E-2</v>
      </c>
      <c r="H273">
        <v>37.961067999999997</v>
      </c>
      <c r="I273">
        <v>227.82862</v>
      </c>
      <c r="J273">
        <v>13.023517999999999</v>
      </c>
      <c r="K273">
        <v>1845</v>
      </c>
      <c r="L273">
        <v>4643</v>
      </c>
      <c r="M273">
        <f t="shared" si="64"/>
        <v>0.71562885326757086</v>
      </c>
      <c r="N273">
        <f t="shared" ref="N273:N276" si="65">-4.0454-2.6644*M273</f>
        <v>-5.9521215166461161</v>
      </c>
      <c r="O273">
        <f>E273-(SUM(K273:L273)*N273)</f>
        <v>88.158689999996568</v>
      </c>
      <c r="P273">
        <f>O273/(2*H273*J273)</f>
        <v>8.9159658308456791E-2</v>
      </c>
      <c r="Q273">
        <f>P273*16.02</f>
        <v>1.4283377261014778</v>
      </c>
    </row>
    <row r="274" spans="2:18" x14ac:dyDescent="0.2">
      <c r="C274">
        <v>100000</v>
      </c>
      <c r="D274">
        <v>557.70777099999998</v>
      </c>
      <c r="E274">
        <v>-38285.898943</v>
      </c>
      <c r="F274">
        <v>113072.352766</v>
      </c>
      <c r="G274">
        <v>6.5453999999999998E-2</v>
      </c>
      <c r="H274">
        <v>38.010086999999999</v>
      </c>
      <c r="I274">
        <v>228.12281899999999</v>
      </c>
      <c r="J274">
        <v>13.040336</v>
      </c>
      <c r="K274">
        <v>1936</v>
      </c>
      <c r="L274">
        <v>4552</v>
      </c>
      <c r="M274">
        <f t="shared" si="64"/>
        <v>0.70160295930949446</v>
      </c>
      <c r="N274">
        <f t="shared" si="65"/>
        <v>-5.9147509247842169</v>
      </c>
      <c r="O274">
        <f>E274-(SUM(K274:L274)*N274)</f>
        <v>89.005057000002125</v>
      </c>
      <c r="P274">
        <f>O274/(2*H274*J274)</f>
        <v>8.9783605502837815E-2</v>
      </c>
      <c r="Q274">
        <f>P274*16.02</f>
        <v>1.4383333601554618</v>
      </c>
    </row>
    <row r="275" spans="2:18" x14ac:dyDescent="0.2">
      <c r="C275">
        <v>100000</v>
      </c>
      <c r="D275">
        <v>557.82511399999999</v>
      </c>
      <c r="E275">
        <v>-38319.728771000002</v>
      </c>
      <c r="F275">
        <v>113013.31686399999</v>
      </c>
      <c r="G275">
        <v>0.119896</v>
      </c>
      <c r="H275">
        <v>38.003470999999998</v>
      </c>
      <c r="I275">
        <v>228.083111</v>
      </c>
      <c r="J275">
        <v>13.038066000000001</v>
      </c>
      <c r="K275">
        <v>1926</v>
      </c>
      <c r="L275">
        <v>4562</v>
      </c>
      <c r="M275">
        <f>L275/(L275+K275)</f>
        <v>0.70314426633785454</v>
      </c>
      <c r="N275">
        <f t="shared" si="65"/>
        <v>-5.9188575832305794</v>
      </c>
      <c r="O275">
        <f>E275-(SUM(K275:L275)*N275)</f>
        <v>81.819229000000632</v>
      </c>
      <c r="P275">
        <f>O275/(2*H275*J275)</f>
        <v>8.2563662091609036E-2</v>
      </c>
      <c r="Q275">
        <f>P275*16.02</f>
        <v>1.3226698667075767</v>
      </c>
    </row>
    <row r="276" spans="2:18" x14ac:dyDescent="0.2">
      <c r="C276">
        <v>100000</v>
      </c>
      <c r="D276">
        <v>557.65110000000004</v>
      </c>
      <c r="E276">
        <v>-38388.707639</v>
      </c>
      <c r="F276">
        <v>112894.85247500001</v>
      </c>
      <c r="G276">
        <v>-5.0404999999999998E-2</v>
      </c>
      <c r="H276">
        <v>37.990188000000003</v>
      </c>
      <c r="I276">
        <v>228.003389</v>
      </c>
      <c r="J276">
        <v>13.033509</v>
      </c>
      <c r="K276">
        <v>1906</v>
      </c>
      <c r="L276">
        <v>4582</v>
      </c>
      <c r="M276">
        <f>L276/(L276+K276)</f>
        <v>0.7062268803945746</v>
      </c>
      <c r="N276">
        <f t="shared" si="65"/>
        <v>-5.9270709001233044</v>
      </c>
      <c r="O276">
        <f>E276-(SUM(K276:L276)*N276)</f>
        <v>66.128360999995493</v>
      </c>
      <c r="P276">
        <f>O276/(2*H276*J276)</f>
        <v>6.6776701711705702E-2</v>
      </c>
      <c r="Q276">
        <f>P276*16.02</f>
        <v>1.0697627614215253</v>
      </c>
    </row>
    <row r="277" spans="2:18" x14ac:dyDescent="0.2">
      <c r="Q277" s="1">
        <f>AVERAGE(Q272:Q276)</f>
        <v>1.3548137874194304</v>
      </c>
      <c r="R277">
        <f>STDEV(Q272:Q276)</f>
        <v>0.17343376969069813</v>
      </c>
    </row>
    <row r="278" spans="2:18" x14ac:dyDescent="0.2">
      <c r="B278" t="s">
        <v>34</v>
      </c>
      <c r="C278">
        <v>100000</v>
      </c>
      <c r="D278">
        <v>557.824926</v>
      </c>
      <c r="E278">
        <v>-19519.612517000001</v>
      </c>
      <c r="F278">
        <v>57335.945564000001</v>
      </c>
      <c r="G278">
        <v>-0.129494</v>
      </c>
      <c r="H278">
        <v>23.462589000000001</v>
      </c>
      <c r="I278">
        <v>187.74216300000001</v>
      </c>
      <c r="J278">
        <v>13.016348000000001</v>
      </c>
      <c r="K278">
        <v>954</v>
      </c>
      <c r="L278">
        <v>2342</v>
      </c>
      <c r="M278">
        <f t="shared" ref="M278:M280" si="66">L278/(L278+K278)</f>
        <v>0.71055825242718451</v>
      </c>
      <c r="N278">
        <f>-4.0454-2.6644*M278</f>
        <v>-5.9386114077669907</v>
      </c>
      <c r="O278">
        <f>E278-(SUM(K278:L278)*N278)</f>
        <v>54.0506830000013</v>
      </c>
      <c r="P278">
        <f>O278/(2*H278*J278)</f>
        <v>8.8492427006003571E-2</v>
      </c>
      <c r="Q278">
        <f>P278*16.02</f>
        <v>1.4176486806361772</v>
      </c>
    </row>
    <row r="279" spans="2:18" x14ac:dyDescent="0.2">
      <c r="C279">
        <v>100000</v>
      </c>
      <c r="D279">
        <v>557.61971900000003</v>
      </c>
      <c r="E279">
        <v>-19334.413692999999</v>
      </c>
      <c r="F279">
        <v>57606.942303000003</v>
      </c>
      <c r="G279">
        <v>0.28362199999999999</v>
      </c>
      <c r="H279">
        <v>23.499496000000001</v>
      </c>
      <c r="I279">
        <v>188.03748300000001</v>
      </c>
      <c r="J279">
        <v>13.036823</v>
      </c>
      <c r="K279">
        <v>1023</v>
      </c>
      <c r="L279">
        <v>2273</v>
      </c>
      <c r="M279">
        <f t="shared" si="66"/>
        <v>0.689623786407767</v>
      </c>
      <c r="N279">
        <f t="shared" ref="N279:N282" si="67">-4.0454-2.6644*M279</f>
        <v>-5.882833616504854</v>
      </c>
      <c r="O279">
        <f>E279-(SUM(K279:L279)*N279)</f>
        <v>55.405907000000298</v>
      </c>
      <c r="P279">
        <f>O279/(2*H279*J279)</f>
        <v>9.0426507148192642E-2</v>
      </c>
      <c r="Q279">
        <f>P279*16.02</f>
        <v>1.4486326445140461</v>
      </c>
    </row>
    <row r="280" spans="2:18" x14ac:dyDescent="0.2">
      <c r="C280">
        <v>100000</v>
      </c>
      <c r="D280">
        <v>557.82252500000004</v>
      </c>
      <c r="E280">
        <v>-19602.582015</v>
      </c>
      <c r="F280">
        <v>57194.216337999998</v>
      </c>
      <c r="G280">
        <v>0.28019899999999998</v>
      </c>
      <c r="H280">
        <v>23.443239999999999</v>
      </c>
      <c r="I280">
        <v>187.58734100000001</v>
      </c>
      <c r="J280">
        <v>13.005614</v>
      </c>
      <c r="K280">
        <v>927</v>
      </c>
      <c r="L280">
        <v>2369</v>
      </c>
      <c r="M280">
        <f t="shared" si="66"/>
        <v>0.71875</v>
      </c>
      <c r="N280">
        <f t="shared" si="67"/>
        <v>-5.9604375000000003</v>
      </c>
      <c r="O280">
        <f>E280-(SUM(K280:L280)*N280)</f>
        <v>43.019985000002634</v>
      </c>
      <c r="P280">
        <f>O280/(2*H280*J280)</f>
        <v>7.0549146666132712E-2</v>
      </c>
      <c r="Q280">
        <f>P280*16.02</f>
        <v>1.130197329591446</v>
      </c>
    </row>
    <row r="281" spans="2:18" x14ac:dyDescent="0.2">
      <c r="C281">
        <v>100000</v>
      </c>
      <c r="D281">
        <v>557.84834799999999</v>
      </c>
      <c r="E281">
        <v>-19412.111346000002</v>
      </c>
      <c r="F281">
        <v>57503.753387999997</v>
      </c>
      <c r="G281">
        <v>0.25644400000000001</v>
      </c>
      <c r="H281">
        <v>23.485455999999999</v>
      </c>
      <c r="I281">
        <v>187.925141</v>
      </c>
      <c r="J281">
        <v>13.029033999999999</v>
      </c>
      <c r="K281">
        <v>996</v>
      </c>
      <c r="L281">
        <v>2300</v>
      </c>
      <c r="M281">
        <f>L281/(L281+K281)</f>
        <v>0.69781553398058249</v>
      </c>
      <c r="N281">
        <f t="shared" si="67"/>
        <v>-5.9046597087378636</v>
      </c>
      <c r="O281">
        <f>E281-(SUM(K281:L281)*N281)</f>
        <v>49.647053999997297</v>
      </c>
      <c r="P281">
        <f>O281/(2*H281*J281)</f>
        <v>8.1124544813864219E-2</v>
      </c>
      <c r="Q281">
        <f>P281*16.02</f>
        <v>1.2996152079181047</v>
      </c>
    </row>
    <row r="282" spans="2:18" x14ac:dyDescent="0.2">
      <c r="C282">
        <v>100000</v>
      </c>
      <c r="D282">
        <v>557.84496100000001</v>
      </c>
      <c r="E282">
        <v>-19443.935578000001</v>
      </c>
      <c r="F282">
        <v>57450.779104000001</v>
      </c>
      <c r="G282">
        <v>0.119076</v>
      </c>
      <c r="H282">
        <v>23.478242000000002</v>
      </c>
      <c r="I282">
        <v>187.86741699999999</v>
      </c>
      <c r="J282">
        <v>13.025031999999999</v>
      </c>
      <c r="K282">
        <v>985</v>
      </c>
      <c r="L282">
        <v>2311</v>
      </c>
      <c r="M282">
        <f>L282/(L282+K282)</f>
        <v>0.70115291262135926</v>
      </c>
      <c r="N282">
        <f t="shared" si="67"/>
        <v>-5.9135518203883493</v>
      </c>
      <c r="O282">
        <f>E282-(SUM(K282:L282)*N282)</f>
        <v>47.13122199999998</v>
      </c>
      <c r="P282">
        <f>O282/(2*H282*J282)</f>
        <v>7.7060945048966045E-2</v>
      </c>
      <c r="Q282">
        <f>P282*16.02</f>
        <v>1.2345163396844361</v>
      </c>
    </row>
    <row r="283" spans="2:18" x14ac:dyDescent="0.2">
      <c r="Q283" s="1">
        <f>AVERAGE(Q278:Q282)</f>
        <v>1.3061220404688421</v>
      </c>
      <c r="R283">
        <f>STDEV(Q278:Q282)</f>
        <v>0.13121231162157362</v>
      </c>
    </row>
    <row r="284" spans="2:18" x14ac:dyDescent="0.2">
      <c r="B284" t="s">
        <v>35</v>
      </c>
      <c r="C284">
        <v>100000</v>
      </c>
      <c r="D284">
        <v>557.70593499999995</v>
      </c>
      <c r="E284">
        <v>-28220.905414000001</v>
      </c>
      <c r="F284">
        <v>82468.090461999993</v>
      </c>
      <c r="G284">
        <v>4.8496999999999998E-2</v>
      </c>
      <c r="H284">
        <v>32.510592000000003</v>
      </c>
      <c r="I284">
        <v>195.06355199999999</v>
      </c>
      <c r="J284">
        <v>13.004237</v>
      </c>
      <c r="K284">
        <v>1350</v>
      </c>
      <c r="L284">
        <v>3402</v>
      </c>
      <c r="M284">
        <f t="shared" ref="M284:M286" si="68">L284/(L284+K284)</f>
        <v>0.71590909090909094</v>
      </c>
      <c r="N284">
        <f>-4.0454-2.6644*M284</f>
        <v>-5.9528681818181823</v>
      </c>
      <c r="O284">
        <f>E284-(SUM(K284:L284)*N284)</f>
        <v>67.124186000000918</v>
      </c>
      <c r="P284">
        <f>O284/(2*H284*J284)</f>
        <v>7.9385152391570513E-2</v>
      </c>
      <c r="Q284">
        <f>P284*16.02</f>
        <v>1.2717501413129595</v>
      </c>
    </row>
    <row r="285" spans="2:18" x14ac:dyDescent="0.2">
      <c r="C285">
        <v>100000</v>
      </c>
      <c r="D285">
        <v>557.89914499999998</v>
      </c>
      <c r="E285">
        <v>-27996.417919</v>
      </c>
      <c r="F285">
        <v>82865.650878</v>
      </c>
      <c r="G285">
        <v>0.17086799999999999</v>
      </c>
      <c r="H285">
        <v>32.562750000000001</v>
      </c>
      <c r="I285">
        <v>195.37650199999999</v>
      </c>
      <c r="J285">
        <v>13.0251</v>
      </c>
      <c r="K285">
        <v>1439</v>
      </c>
      <c r="L285">
        <v>3313</v>
      </c>
      <c r="M285">
        <f t="shared" si="68"/>
        <v>0.69718013468013473</v>
      </c>
      <c r="N285">
        <f t="shared" ref="N285:N288" si="69">-4.0454-2.6644*M285</f>
        <v>-5.9029667508417507</v>
      </c>
      <c r="O285">
        <f>E285-(SUM(K285:L285)*N285)</f>
        <v>54.480081000001519</v>
      </c>
      <c r="P285">
        <f>O285/(2*H285*J285)</f>
        <v>6.4225221054488912E-2</v>
      </c>
      <c r="Q285">
        <f>P285*16.02</f>
        <v>1.0288880412929124</v>
      </c>
    </row>
    <row r="286" spans="2:18" x14ac:dyDescent="0.2">
      <c r="C286">
        <v>100000</v>
      </c>
      <c r="D286">
        <v>557.83746199999996</v>
      </c>
      <c r="E286">
        <v>-28060.235057999998</v>
      </c>
      <c r="F286">
        <v>82771.750757000002</v>
      </c>
      <c r="G286">
        <v>0.104445</v>
      </c>
      <c r="H286">
        <v>32.550446000000001</v>
      </c>
      <c r="I286">
        <v>195.30267699999999</v>
      </c>
      <c r="J286">
        <v>13.020178</v>
      </c>
      <c r="K286">
        <v>1415</v>
      </c>
      <c r="L286">
        <v>3337</v>
      </c>
      <c r="M286">
        <f t="shared" si="68"/>
        <v>0.70223063973063971</v>
      </c>
      <c r="N286">
        <f t="shared" si="69"/>
        <v>-5.9164233164983164</v>
      </c>
      <c r="O286">
        <f>E286-(SUM(K286:L286)*N286)</f>
        <v>54.608542000001762</v>
      </c>
      <c r="P286">
        <f>O286/(2*H286*J286)</f>
        <v>6.4425340214183113E-2</v>
      </c>
      <c r="Q286">
        <f>P286*16.02</f>
        <v>1.0320939502312134</v>
      </c>
    </row>
    <row r="287" spans="2:18" x14ac:dyDescent="0.2">
      <c r="C287">
        <v>100000</v>
      </c>
      <c r="D287">
        <v>557.61918100000003</v>
      </c>
      <c r="E287">
        <v>-27992.339312</v>
      </c>
      <c r="F287">
        <v>82885.766447000002</v>
      </c>
      <c r="G287">
        <v>0.12083199999999999</v>
      </c>
      <c r="H287">
        <v>32.565384999999999</v>
      </c>
      <c r="I287">
        <v>195.39231000000001</v>
      </c>
      <c r="J287">
        <v>13.026154</v>
      </c>
      <c r="K287">
        <v>1434</v>
      </c>
      <c r="L287">
        <v>3318</v>
      </c>
      <c r="M287">
        <f>L287/(L287+K287)</f>
        <v>0.6982323232323232</v>
      </c>
      <c r="N287">
        <f t="shared" si="69"/>
        <v>-5.9057702020202019</v>
      </c>
      <c r="O287">
        <f>E287-(SUM(K287:L287)*N287)</f>
        <v>71.880687999997463</v>
      </c>
      <c r="P287">
        <f>O287/(2*H287*J287)</f>
        <v>8.4724654094473995E-2</v>
      </c>
      <c r="Q287">
        <f>P287*16.02</f>
        <v>1.3572889585934733</v>
      </c>
    </row>
    <row r="288" spans="2:18" x14ac:dyDescent="0.2">
      <c r="C288">
        <v>100000</v>
      </c>
      <c r="D288">
        <v>557.80815600000005</v>
      </c>
      <c r="E288">
        <v>-28091.731902</v>
      </c>
      <c r="F288">
        <v>82737.966014000005</v>
      </c>
      <c r="G288">
        <v>0.25507000000000002</v>
      </c>
      <c r="H288">
        <v>32.546016999999999</v>
      </c>
      <c r="I288">
        <v>195.27610000000001</v>
      </c>
      <c r="J288">
        <v>13.018407</v>
      </c>
      <c r="K288">
        <v>1405</v>
      </c>
      <c r="L288">
        <v>3347</v>
      </c>
      <c r="M288">
        <f>L288/(L288+K288)</f>
        <v>0.70433501683501687</v>
      </c>
      <c r="N288">
        <f t="shared" si="69"/>
        <v>-5.9220302188552187</v>
      </c>
      <c r="O288">
        <f>E288-(SUM(K288:L288)*N288)</f>
        <v>49.755698000000848</v>
      </c>
      <c r="P288">
        <f>O288/(2*H288*J288)</f>
        <v>5.8716091091853849E-2</v>
      </c>
      <c r="Q288">
        <f>P288*16.02</f>
        <v>0.94063177929149866</v>
      </c>
    </row>
    <row r="289" spans="17:18" x14ac:dyDescent="0.2">
      <c r="Q289" s="1">
        <f>AVERAGE(Q284:Q288)</f>
        <v>1.1261305741444114</v>
      </c>
      <c r="R289">
        <f>STDEV(Q284:Q288)</f>
        <v>0.17842929745959937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Z289"/>
  <sheetViews>
    <sheetView topLeftCell="F65" workbookViewId="0">
      <selection activeCell="U78" activeCellId="3" sqref="U33:V47 U49:V62 U64:V76 U78:V90"/>
    </sheetView>
  </sheetViews>
  <sheetFormatPr baseColWidth="10" defaultRowHeight="16" x14ac:dyDescent="0.2"/>
  <sheetData>
    <row r="2" spans="1:23" x14ac:dyDescent="0.2">
      <c r="A2" t="s">
        <v>56</v>
      </c>
      <c r="C2" t="s">
        <v>47</v>
      </c>
    </row>
    <row r="4" spans="1:23" x14ac:dyDescent="0.2">
      <c r="A4" t="s">
        <v>1</v>
      </c>
      <c r="G4" t="s">
        <v>10</v>
      </c>
      <c r="H4" t="s">
        <v>4</v>
      </c>
      <c r="I4" t="s">
        <v>5</v>
      </c>
      <c r="J4" t="s">
        <v>6</v>
      </c>
      <c r="K4" t="s">
        <v>7</v>
      </c>
      <c r="L4" t="s">
        <v>9</v>
      </c>
      <c r="R4" t="s">
        <v>28</v>
      </c>
      <c r="S4" t="s">
        <v>4</v>
      </c>
      <c r="T4" t="s">
        <v>5</v>
      </c>
      <c r="U4" t="s">
        <v>6</v>
      </c>
      <c r="V4" t="s">
        <v>7</v>
      </c>
      <c r="W4" t="s">
        <v>9</v>
      </c>
    </row>
    <row r="5" spans="1:23" x14ac:dyDescent="0.2">
      <c r="H5">
        <v>-8797.3469550000009</v>
      </c>
      <c r="I5">
        <v>41283.973891000001</v>
      </c>
      <c r="J5">
        <f>H5/2000</f>
        <v>-4.3986734775</v>
      </c>
      <c r="K5">
        <f>I5/2000</f>
        <v>20.641986945500001</v>
      </c>
      <c r="L5">
        <f>244/2000</f>
        <v>0.122</v>
      </c>
      <c r="S5">
        <v>-9772.6068479999994</v>
      </c>
      <c r="T5">
        <v>38723.442272</v>
      </c>
      <c r="U5">
        <f>S5/2000</f>
        <v>-4.8863034239999994</v>
      </c>
      <c r="V5">
        <f>T5/2000</f>
        <v>19.361721136</v>
      </c>
      <c r="W5">
        <f>627/2000</f>
        <v>0.3135</v>
      </c>
    </row>
    <row r="6" spans="1:23" x14ac:dyDescent="0.2">
      <c r="H6">
        <v>-8780.2374060000002</v>
      </c>
      <c r="I6">
        <v>41339.712319999999</v>
      </c>
      <c r="J6">
        <f t="shared" ref="J6:K14" si="0">H6/2000</f>
        <v>-4.3901187029999997</v>
      </c>
      <c r="K6">
        <f t="shared" si="0"/>
        <v>20.669856159999998</v>
      </c>
      <c r="L6">
        <f>237/2000</f>
        <v>0.11849999999999999</v>
      </c>
      <c r="S6">
        <v>-9830.8704550000002</v>
      </c>
      <c r="T6">
        <v>38601.798621000002</v>
      </c>
      <c r="U6">
        <f t="shared" ref="U6:V14" si="1">S6/2000</f>
        <v>-4.9154352274999997</v>
      </c>
      <c r="V6">
        <f t="shared" si="1"/>
        <v>19.3008993105</v>
      </c>
      <c r="W6">
        <f>649/2000</f>
        <v>0.32450000000000001</v>
      </c>
    </row>
    <row r="7" spans="1:23" x14ac:dyDescent="0.2">
      <c r="H7">
        <v>-8781.2617570000002</v>
      </c>
      <c r="I7">
        <v>41333.809429000001</v>
      </c>
      <c r="J7">
        <f t="shared" si="0"/>
        <v>-4.3906308784999997</v>
      </c>
      <c r="K7">
        <f t="shared" si="0"/>
        <v>20.666904714499999</v>
      </c>
      <c r="L7">
        <f>238/2000</f>
        <v>0.11899999999999999</v>
      </c>
      <c r="S7">
        <v>-9721.8405340000008</v>
      </c>
      <c r="T7">
        <v>38840.356496</v>
      </c>
      <c r="U7">
        <f t="shared" si="1"/>
        <v>-4.860920267</v>
      </c>
      <c r="V7">
        <f t="shared" si="1"/>
        <v>19.420178247999999</v>
      </c>
      <c r="W7">
        <f>604/2000</f>
        <v>0.30199999999999999</v>
      </c>
    </row>
    <row r="8" spans="1:23" x14ac:dyDescent="0.2">
      <c r="H8">
        <v>-8785.5666650000003</v>
      </c>
      <c r="I8">
        <v>41316.639364000002</v>
      </c>
      <c r="J8">
        <f t="shared" si="0"/>
        <v>-4.3927833325000005</v>
      </c>
      <c r="K8">
        <f t="shared" si="0"/>
        <v>20.658319682000002</v>
      </c>
      <c r="L8">
        <f>240/2000</f>
        <v>0.12</v>
      </c>
      <c r="S8">
        <v>-9722.1844139999994</v>
      </c>
      <c r="T8">
        <v>38831.235468999999</v>
      </c>
      <c r="U8">
        <f t="shared" si="1"/>
        <v>-4.8610922069999996</v>
      </c>
      <c r="V8">
        <f t="shared" si="1"/>
        <v>19.4156177345</v>
      </c>
      <c r="W8">
        <f>605/2000</f>
        <v>0.30249999999999999</v>
      </c>
    </row>
    <row r="9" spans="1:23" x14ac:dyDescent="0.2">
      <c r="H9">
        <v>-8790.3736250000002</v>
      </c>
      <c r="I9">
        <v>41311.373976000003</v>
      </c>
      <c r="J9">
        <f t="shared" si="0"/>
        <v>-4.3951868125000004</v>
      </c>
      <c r="K9">
        <f t="shared" si="0"/>
        <v>20.655686988000003</v>
      </c>
      <c r="L9">
        <f>240/2000</f>
        <v>0.12</v>
      </c>
      <c r="S9">
        <v>-9869.0909709999996</v>
      </c>
      <c r="T9">
        <v>38505.715698</v>
      </c>
      <c r="U9">
        <f t="shared" si="1"/>
        <v>-4.9345454855000002</v>
      </c>
      <c r="V9">
        <f t="shared" si="1"/>
        <v>19.252857849000002</v>
      </c>
      <c r="W9">
        <f>664/2000</f>
        <v>0.33200000000000002</v>
      </c>
    </row>
    <row r="10" spans="1:23" x14ac:dyDescent="0.2">
      <c r="H10">
        <v>-8810.2182549999998</v>
      </c>
      <c r="I10">
        <v>41259.408572</v>
      </c>
      <c r="J10">
        <f t="shared" si="0"/>
        <v>-4.4051091275000003</v>
      </c>
      <c r="K10">
        <f t="shared" si="0"/>
        <v>20.629704285999999</v>
      </c>
      <c r="L10">
        <f>248/2000</f>
        <v>0.124</v>
      </c>
      <c r="S10">
        <v>-9726.4848139999995</v>
      </c>
      <c r="T10">
        <v>38827.693811999998</v>
      </c>
      <c r="U10">
        <f t="shared" si="1"/>
        <v>-4.8632424069999995</v>
      </c>
      <c r="V10">
        <f t="shared" si="1"/>
        <v>19.413846906</v>
      </c>
      <c r="W10">
        <f>607/2000</f>
        <v>0.30349999999999999</v>
      </c>
    </row>
    <row r="11" spans="1:23" x14ac:dyDescent="0.2">
      <c r="H11">
        <v>-8884.5819319999991</v>
      </c>
      <c r="I11">
        <v>40996.479911000002</v>
      </c>
      <c r="J11">
        <f t="shared" si="0"/>
        <v>-4.4422909659999998</v>
      </c>
      <c r="K11">
        <f t="shared" si="0"/>
        <v>20.498239955500001</v>
      </c>
      <c r="L11">
        <f>277/2000</f>
        <v>0.13850000000000001</v>
      </c>
      <c r="S11">
        <v>-9759.6421350000001</v>
      </c>
      <c r="T11">
        <v>38741.615064999998</v>
      </c>
      <c r="U11">
        <f t="shared" si="1"/>
        <v>-4.8798210675</v>
      </c>
      <c r="V11">
        <f t="shared" si="1"/>
        <v>19.370807532499999</v>
      </c>
      <c r="W11">
        <f>621/2000</f>
        <v>0.3105</v>
      </c>
    </row>
    <row r="12" spans="1:23" x14ac:dyDescent="0.2">
      <c r="H12">
        <v>-8818.5158690000007</v>
      </c>
      <c r="I12">
        <v>41205.069042000003</v>
      </c>
      <c r="J12">
        <f t="shared" si="0"/>
        <v>-4.4092579345000003</v>
      </c>
      <c r="K12">
        <f t="shared" si="0"/>
        <v>20.602534521000003</v>
      </c>
      <c r="L12">
        <f>252/2000</f>
        <v>0.126</v>
      </c>
      <c r="S12">
        <v>-9702.2500199999995</v>
      </c>
      <c r="T12">
        <v>38894.652477000003</v>
      </c>
      <c r="U12">
        <f t="shared" si="1"/>
        <v>-4.8511250099999996</v>
      </c>
      <c r="V12">
        <f t="shared" si="1"/>
        <v>19.447326238500001</v>
      </c>
      <c r="W12">
        <f>598/2000</f>
        <v>0.29899999999999999</v>
      </c>
    </row>
    <row r="13" spans="1:23" x14ac:dyDescent="0.2">
      <c r="H13">
        <v>-8811.866978</v>
      </c>
      <c r="I13">
        <v>41211.525580000001</v>
      </c>
      <c r="J13">
        <f t="shared" si="0"/>
        <v>-4.4059334889999997</v>
      </c>
      <c r="K13">
        <f t="shared" si="0"/>
        <v>20.60576279</v>
      </c>
      <c r="L13">
        <f>250/2000</f>
        <v>0.125</v>
      </c>
      <c r="S13">
        <v>-9768.6728409999996</v>
      </c>
      <c r="T13">
        <v>38722.201070000003</v>
      </c>
      <c r="U13">
        <f t="shared" si="1"/>
        <v>-4.8843364204999995</v>
      </c>
      <c r="V13">
        <f t="shared" si="1"/>
        <v>19.361100535000002</v>
      </c>
      <c r="W13">
        <f>624/2000</f>
        <v>0.312</v>
      </c>
    </row>
    <row r="14" spans="1:23" x14ac:dyDescent="0.2">
      <c r="H14">
        <v>-8866.3440150000006</v>
      </c>
      <c r="I14">
        <v>41078.775878</v>
      </c>
      <c r="J14">
        <f t="shared" si="0"/>
        <v>-4.4331720075000005</v>
      </c>
      <c r="K14">
        <f t="shared" si="0"/>
        <v>20.539387939000001</v>
      </c>
      <c r="L14">
        <f>270/2000</f>
        <v>0.13500000000000001</v>
      </c>
      <c r="S14">
        <v>-9711.0445519999994</v>
      </c>
      <c r="T14">
        <v>38862.533229000001</v>
      </c>
      <c r="U14">
        <f t="shared" si="1"/>
        <v>-4.8555222759999994</v>
      </c>
      <c r="V14">
        <f t="shared" si="1"/>
        <v>19.4312666145</v>
      </c>
      <c r="W14">
        <f>602/2000</f>
        <v>0.30099999999999999</v>
      </c>
    </row>
    <row r="16" spans="1:23" x14ac:dyDescent="0.2">
      <c r="G16" t="s">
        <v>27</v>
      </c>
      <c r="R16" t="s">
        <v>29</v>
      </c>
      <c r="S16" t="s">
        <v>4</v>
      </c>
      <c r="T16" t="s">
        <v>5</v>
      </c>
      <c r="U16" t="s">
        <v>6</v>
      </c>
      <c r="V16" t="s">
        <v>7</v>
      </c>
      <c r="W16" t="s">
        <v>9</v>
      </c>
    </row>
    <row r="17" spans="1:23" x14ac:dyDescent="0.2">
      <c r="H17">
        <v>-9145.0988589999997</v>
      </c>
      <c r="I17">
        <v>40269.308240999999</v>
      </c>
      <c r="J17">
        <f t="shared" ref="J17:K26" si="2">H17/2000</f>
        <v>-4.5725494294999995</v>
      </c>
      <c r="K17">
        <f t="shared" si="2"/>
        <v>20.134654120499999</v>
      </c>
      <c r="L17">
        <f>381/2000</f>
        <v>0.1905</v>
      </c>
      <c r="S17">
        <v>-11865.944761000001</v>
      </c>
      <c r="T17">
        <v>34800.225932000001</v>
      </c>
      <c r="U17">
        <f>S17/2000</f>
        <v>-5.9329723805000008</v>
      </c>
      <c r="V17">
        <f>T17/2000</f>
        <v>17.400112966000002</v>
      </c>
      <c r="W17">
        <f>1440/2000</f>
        <v>0.72</v>
      </c>
    </row>
    <row r="18" spans="1:23" x14ac:dyDescent="0.2">
      <c r="H18">
        <v>-9302.686592</v>
      </c>
      <c r="I18">
        <v>39870.685561999999</v>
      </c>
      <c r="J18">
        <f t="shared" si="2"/>
        <v>-4.6513432960000003</v>
      </c>
      <c r="K18">
        <f t="shared" si="2"/>
        <v>19.935342780999999</v>
      </c>
      <c r="L18">
        <f>442/2000</f>
        <v>0.221</v>
      </c>
      <c r="S18">
        <v>-11924.860768</v>
      </c>
      <c r="T18">
        <v>34704.804651999999</v>
      </c>
      <c r="U18">
        <f t="shared" ref="U18:V26" si="3">S18/2000</f>
        <v>-5.9624303840000001</v>
      </c>
      <c r="V18">
        <f t="shared" si="3"/>
        <v>17.352402326</v>
      </c>
      <c r="W18">
        <f>1459/2000</f>
        <v>0.72950000000000004</v>
      </c>
    </row>
    <row r="19" spans="1:23" x14ac:dyDescent="0.2">
      <c r="A19" t="s">
        <v>2</v>
      </c>
      <c r="B19" t="s">
        <v>4</v>
      </c>
      <c r="C19" t="s">
        <v>5</v>
      </c>
      <c r="D19" t="s">
        <v>6</v>
      </c>
      <c r="E19" t="s">
        <v>7</v>
      </c>
      <c r="H19">
        <v>-9187.0542920000007</v>
      </c>
      <c r="I19">
        <v>40155.936835</v>
      </c>
      <c r="J19">
        <f t="shared" si="2"/>
        <v>-4.5935271460000004</v>
      </c>
      <c r="K19">
        <f t="shared" si="2"/>
        <v>20.077968417499999</v>
      </c>
      <c r="L19">
        <f>396/2000</f>
        <v>0.19800000000000001</v>
      </c>
      <c r="S19">
        <v>-11880.454317</v>
      </c>
      <c r="T19">
        <v>34799.654131000003</v>
      </c>
      <c r="U19">
        <f t="shared" si="3"/>
        <v>-5.9402271584999999</v>
      </c>
      <c r="V19">
        <f t="shared" si="3"/>
        <v>17.399827065500002</v>
      </c>
      <c r="W19">
        <f>1445/2000</f>
        <v>0.72250000000000003</v>
      </c>
    </row>
    <row r="20" spans="1:23" x14ac:dyDescent="0.2">
      <c r="D20">
        <f>B20/8192</f>
        <v>0</v>
      </c>
      <c r="E20">
        <f>C20/8192</f>
        <v>0</v>
      </c>
      <c r="H20">
        <v>-9261.5824310000007</v>
      </c>
      <c r="I20">
        <v>39941.488284999999</v>
      </c>
      <c r="J20">
        <f t="shared" si="2"/>
        <v>-4.6307912155000004</v>
      </c>
      <c r="K20">
        <f t="shared" si="2"/>
        <v>19.970744142499999</v>
      </c>
      <c r="L20">
        <f>424/2000</f>
        <v>0.21199999999999999</v>
      </c>
      <c r="S20">
        <v>-11873.507158</v>
      </c>
      <c r="T20">
        <v>34793.229001</v>
      </c>
      <c r="U20">
        <f t="shared" si="3"/>
        <v>-5.9367535790000003</v>
      </c>
      <c r="V20">
        <f t="shared" si="3"/>
        <v>17.3966145005</v>
      </c>
      <c r="W20">
        <f>1441/2000</f>
        <v>0.72050000000000003</v>
      </c>
    </row>
    <row r="21" spans="1:23" x14ac:dyDescent="0.2">
      <c r="D21">
        <f t="shared" ref="D21:E29" si="4">B21/8192</f>
        <v>0</v>
      </c>
      <c r="E21">
        <f t="shared" si="4"/>
        <v>0</v>
      </c>
      <c r="H21">
        <v>-9247.3966380000002</v>
      </c>
      <c r="I21">
        <v>39996.545237999999</v>
      </c>
      <c r="J21">
        <f t="shared" si="2"/>
        <v>-4.6236983189999998</v>
      </c>
      <c r="K21">
        <f t="shared" si="2"/>
        <v>19.998272618999998</v>
      </c>
      <c r="L21">
        <f>420/2000</f>
        <v>0.21</v>
      </c>
      <c r="R21" t="s">
        <v>51</v>
      </c>
      <c r="S21">
        <v>-11771.766336999999</v>
      </c>
      <c r="T21">
        <v>34959.122714999998</v>
      </c>
      <c r="U21">
        <f t="shared" si="3"/>
        <v>-5.8858831684999995</v>
      </c>
      <c r="V21">
        <f t="shared" si="3"/>
        <v>17.4795613575</v>
      </c>
      <c r="W21">
        <f>1403/2000</f>
        <v>0.70150000000000001</v>
      </c>
    </row>
    <row r="22" spans="1:23" x14ac:dyDescent="0.2">
      <c r="D22">
        <f t="shared" si="4"/>
        <v>0</v>
      </c>
      <c r="E22">
        <f t="shared" si="4"/>
        <v>0</v>
      </c>
      <c r="H22">
        <v>-9212.0215169999992</v>
      </c>
      <c r="I22">
        <v>40087.106004000001</v>
      </c>
      <c r="J22">
        <f t="shared" si="2"/>
        <v>-4.6060107584999992</v>
      </c>
      <c r="K22">
        <f t="shared" si="2"/>
        <v>20.043553001999999</v>
      </c>
      <c r="L22">
        <f>406/2000</f>
        <v>0.20300000000000001</v>
      </c>
      <c r="S22">
        <v>-11850.489919</v>
      </c>
      <c r="T22">
        <v>34806.989264000003</v>
      </c>
      <c r="U22">
        <f t="shared" si="3"/>
        <v>-5.9252449594999996</v>
      </c>
      <c r="V22">
        <f t="shared" si="3"/>
        <v>17.403494632000001</v>
      </c>
      <c r="W22">
        <f>1433/2000</f>
        <v>0.71650000000000003</v>
      </c>
    </row>
    <row r="23" spans="1:23" x14ac:dyDescent="0.2">
      <c r="D23">
        <f t="shared" si="4"/>
        <v>0</v>
      </c>
      <c r="E23">
        <f t="shared" si="4"/>
        <v>0</v>
      </c>
      <c r="H23">
        <v>-9196.201298</v>
      </c>
      <c r="I23">
        <v>40129.230093999999</v>
      </c>
      <c r="J23">
        <f t="shared" si="2"/>
        <v>-4.598100649</v>
      </c>
      <c r="K23">
        <f t="shared" si="2"/>
        <v>20.064615047</v>
      </c>
      <c r="L23">
        <f>400/2000</f>
        <v>0.2</v>
      </c>
      <c r="S23">
        <v>-11883.508037</v>
      </c>
      <c r="T23">
        <v>34771.368755000003</v>
      </c>
      <c r="U23">
        <f t="shared" si="3"/>
        <v>-5.9417540185000002</v>
      </c>
      <c r="V23">
        <f t="shared" si="3"/>
        <v>17.385684377500002</v>
      </c>
      <c r="W23">
        <f>1445/2000</f>
        <v>0.72250000000000003</v>
      </c>
    </row>
    <row r="24" spans="1:23" x14ac:dyDescent="0.2">
      <c r="D24">
        <f t="shared" si="4"/>
        <v>0</v>
      </c>
      <c r="E24">
        <f t="shared" si="4"/>
        <v>0</v>
      </c>
      <c r="H24">
        <v>-9168.0474849999991</v>
      </c>
      <c r="I24">
        <v>40198.015437000002</v>
      </c>
      <c r="J24">
        <f t="shared" si="2"/>
        <v>-4.5840237424999994</v>
      </c>
      <c r="K24">
        <f t="shared" si="2"/>
        <v>20.099007718500001</v>
      </c>
      <c r="L24">
        <f>388/2000</f>
        <v>0.19400000000000001</v>
      </c>
      <c r="S24">
        <v>-11925.858405000001</v>
      </c>
      <c r="T24">
        <v>34679.556580999997</v>
      </c>
      <c r="U24">
        <f t="shared" si="3"/>
        <v>-5.9629292025000007</v>
      </c>
      <c r="V24">
        <f t="shared" si="3"/>
        <v>17.3397782905</v>
      </c>
      <c r="W24">
        <f>1462/2000</f>
        <v>0.73099999999999998</v>
      </c>
    </row>
    <row r="25" spans="1:23" x14ac:dyDescent="0.2">
      <c r="D25">
        <f t="shared" si="4"/>
        <v>0</v>
      </c>
      <c r="E25">
        <f t="shared" si="4"/>
        <v>0</v>
      </c>
      <c r="H25">
        <v>-9277.6011660000004</v>
      </c>
      <c r="I25">
        <v>39915.438669000003</v>
      </c>
      <c r="J25">
        <f t="shared" si="2"/>
        <v>-4.6388005830000001</v>
      </c>
      <c r="K25">
        <f t="shared" si="2"/>
        <v>19.957719334500002</v>
      </c>
      <c r="L25">
        <f>432/2000</f>
        <v>0.216</v>
      </c>
      <c r="S25">
        <v>-11973.183202</v>
      </c>
      <c r="T25">
        <v>34603.256506999998</v>
      </c>
      <c r="U25">
        <f t="shared" si="3"/>
        <v>-5.9865916009999998</v>
      </c>
      <c r="V25">
        <f t="shared" si="3"/>
        <v>17.301628253499999</v>
      </c>
      <c r="W25">
        <f>1477/2000</f>
        <v>0.73850000000000005</v>
      </c>
    </row>
    <row r="26" spans="1:23" x14ac:dyDescent="0.2">
      <c r="D26">
        <f t="shared" si="4"/>
        <v>0</v>
      </c>
      <c r="E26">
        <f t="shared" si="4"/>
        <v>0</v>
      </c>
      <c r="H26">
        <v>-9211.1668109999991</v>
      </c>
      <c r="I26">
        <v>40075.896579</v>
      </c>
      <c r="J26">
        <f t="shared" si="2"/>
        <v>-4.6055834055</v>
      </c>
      <c r="K26">
        <f t="shared" si="2"/>
        <v>20.037948289500001</v>
      </c>
      <c r="L26">
        <f>404/2000</f>
        <v>0.20200000000000001</v>
      </c>
      <c r="S26">
        <v>-11848.134134</v>
      </c>
      <c r="T26">
        <v>34838.256449</v>
      </c>
      <c r="U26">
        <f t="shared" si="3"/>
        <v>-5.9240670670000002</v>
      </c>
      <c r="V26">
        <f t="shared" si="3"/>
        <v>17.4191282245</v>
      </c>
      <c r="W26">
        <f>1433/2000</f>
        <v>0.71650000000000003</v>
      </c>
    </row>
    <row r="27" spans="1:23" x14ac:dyDescent="0.2">
      <c r="D27">
        <f t="shared" si="4"/>
        <v>0</v>
      </c>
      <c r="E27">
        <f t="shared" si="4"/>
        <v>0</v>
      </c>
    </row>
    <row r="28" spans="1:23" x14ac:dyDescent="0.2">
      <c r="D28">
        <f t="shared" si="4"/>
        <v>0</v>
      </c>
      <c r="E28">
        <f t="shared" si="4"/>
        <v>0</v>
      </c>
    </row>
    <row r="29" spans="1:23" x14ac:dyDescent="0.2">
      <c r="D29">
        <f t="shared" si="4"/>
        <v>0</v>
      </c>
      <c r="E29">
        <f t="shared" si="4"/>
        <v>0</v>
      </c>
    </row>
    <row r="30" spans="1:23" x14ac:dyDescent="0.2">
      <c r="D30">
        <f>AVERAGE(D20:D29)</f>
        <v>0</v>
      </c>
    </row>
    <row r="33" spans="2:26" x14ac:dyDescent="0.2">
      <c r="U33" t="s">
        <v>10</v>
      </c>
    </row>
    <row r="34" spans="2:26" x14ac:dyDescent="0.2">
      <c r="B34" t="s">
        <v>63</v>
      </c>
      <c r="S34" t="s">
        <v>53</v>
      </c>
      <c r="T34" t="s">
        <v>54</v>
      </c>
      <c r="U34" t="s">
        <v>4</v>
      </c>
      <c r="V34" t="s">
        <v>55</v>
      </c>
    </row>
    <row r="35" spans="2:26" x14ac:dyDescent="0.2">
      <c r="C35" t="s">
        <v>52</v>
      </c>
      <c r="D35" t="s">
        <v>13</v>
      </c>
      <c r="E35" t="s">
        <v>4</v>
      </c>
      <c r="F35" t="s">
        <v>5</v>
      </c>
      <c r="G35" t="s">
        <v>14</v>
      </c>
      <c r="H35" t="s">
        <v>15</v>
      </c>
      <c r="I35" t="s">
        <v>16</v>
      </c>
      <c r="J35" t="s">
        <v>17</v>
      </c>
      <c r="K35" t="s">
        <v>18</v>
      </c>
      <c r="L35" t="s">
        <v>19</v>
      </c>
      <c r="M35" t="s">
        <v>9</v>
      </c>
      <c r="N35" t="s">
        <v>20</v>
      </c>
      <c r="O35" t="s">
        <v>8</v>
      </c>
      <c r="P35" t="s">
        <v>21</v>
      </c>
      <c r="Q35" t="s">
        <v>21</v>
      </c>
      <c r="S35">
        <v>0</v>
      </c>
      <c r="T35" s="3"/>
      <c r="U35">
        <v>0</v>
      </c>
    </row>
    <row r="36" spans="2:26" x14ac:dyDescent="0.2">
      <c r="B36" t="s">
        <v>25</v>
      </c>
      <c r="C36">
        <v>100000</v>
      </c>
      <c r="D36">
        <v>693.99447899999996</v>
      </c>
      <c r="E36">
        <v>-17072.617544000001</v>
      </c>
      <c r="F36">
        <v>80863.058332000001</v>
      </c>
      <c r="G36">
        <v>0.30470900000000001</v>
      </c>
      <c r="H36">
        <v>31.243621000000001</v>
      </c>
      <c r="I36">
        <v>187.505686</v>
      </c>
      <c r="J36">
        <v>13.803020999999999</v>
      </c>
      <c r="K36">
        <v>3457</v>
      </c>
      <c r="L36">
        <v>447</v>
      </c>
      <c r="M36">
        <f>L36/(L36+K36)</f>
        <v>0.11449795081967214</v>
      </c>
      <c r="N36">
        <f>-4.0791-2.6217*M36</f>
        <v>-4.3792792776639349</v>
      </c>
      <c r="O36">
        <f>E36-(SUM(K36:L36)*N36)</f>
        <v>24.088756000001013</v>
      </c>
      <c r="P36">
        <f>O36/(2*H36*J36)</f>
        <v>2.7928580786512506E-2</v>
      </c>
      <c r="Q36">
        <f>P36*16.02</f>
        <v>0.44741586419993035</v>
      </c>
      <c r="S36" s="2">
        <v>12.68</v>
      </c>
      <c r="T36" s="3" t="s">
        <v>36</v>
      </c>
      <c r="U36" s="4">
        <v>0.4549623520619841</v>
      </c>
      <c r="V36" s="6">
        <v>5.2022238523068746E-2</v>
      </c>
      <c r="X36" s="4"/>
      <c r="Z36" s="6"/>
    </row>
    <row r="37" spans="2:26" x14ac:dyDescent="0.2">
      <c r="C37">
        <v>100000</v>
      </c>
      <c r="D37">
        <v>694.03666099999998</v>
      </c>
      <c r="E37">
        <v>-17117.341584999998</v>
      </c>
      <c r="F37">
        <v>80714.903237999999</v>
      </c>
      <c r="G37">
        <v>0.183394</v>
      </c>
      <c r="H37">
        <v>31.224527999999999</v>
      </c>
      <c r="I37">
        <v>187.39110099999999</v>
      </c>
      <c r="J37">
        <v>13.794586000000001</v>
      </c>
      <c r="K37">
        <v>3441</v>
      </c>
      <c r="L37">
        <v>463</v>
      </c>
      <c r="M37">
        <f>L37/(L37+K37)</f>
        <v>0.11859631147540983</v>
      </c>
      <c r="N37">
        <f t="shared" ref="N37:N40" si="5">-4.0791-2.6217*M37</f>
        <v>-4.3900239497950828</v>
      </c>
      <c r="O37">
        <f>E37-(SUM(K37:L37)*N37)</f>
        <v>21.311915000005683</v>
      </c>
      <c r="P37">
        <f>O37/(2*H37*J37)</f>
        <v>2.4739329587118324E-2</v>
      </c>
      <c r="Q37">
        <f>P37*16.02</f>
        <v>0.39632405998563552</v>
      </c>
      <c r="S37" s="6">
        <v>16.260000000000002</v>
      </c>
      <c r="T37" s="3" t="s">
        <v>37</v>
      </c>
      <c r="U37" s="4">
        <v>0.48244032345215204</v>
      </c>
      <c r="V37" s="6">
        <v>4.6561161308143702E-2</v>
      </c>
    </row>
    <row r="38" spans="2:26" x14ac:dyDescent="0.2">
      <c r="C38">
        <v>100000</v>
      </c>
      <c r="D38">
        <v>693.80324900000005</v>
      </c>
      <c r="E38">
        <v>-17172.747254999998</v>
      </c>
      <c r="F38">
        <v>80544.274718999994</v>
      </c>
      <c r="G38">
        <v>0.41310200000000002</v>
      </c>
      <c r="H38">
        <v>31.20251</v>
      </c>
      <c r="I38">
        <v>187.258961</v>
      </c>
      <c r="J38">
        <v>13.784858</v>
      </c>
      <c r="K38">
        <v>3417</v>
      </c>
      <c r="L38">
        <v>487</v>
      </c>
      <c r="M38">
        <f>L38/(L38+K38)</f>
        <v>0.1247438524590164</v>
      </c>
      <c r="N38">
        <f t="shared" si="5"/>
        <v>-4.4061409579918038</v>
      </c>
      <c r="O38">
        <f>E38-(SUM(K38:L38)*N38)</f>
        <v>28.827045000005455</v>
      </c>
      <c r="P38">
        <f>O38/(2*H38*J38)</f>
        <v>3.3510298977664839E-2</v>
      </c>
      <c r="Q38">
        <f>P38*16.02</f>
        <v>0.53683498962219067</v>
      </c>
      <c r="S38" s="2">
        <v>22.62</v>
      </c>
      <c r="T38" s="3" t="s">
        <v>38</v>
      </c>
      <c r="U38" s="4">
        <v>0.50688441641951854</v>
      </c>
      <c r="V38" s="6">
        <v>6.1982564894969304E-2</v>
      </c>
      <c r="X38" s="4"/>
      <c r="Z38" s="6"/>
    </row>
    <row r="39" spans="2:26" x14ac:dyDescent="0.2">
      <c r="C39">
        <v>100000</v>
      </c>
      <c r="D39">
        <v>694.18911500000002</v>
      </c>
      <c r="E39">
        <v>-17216.067561</v>
      </c>
      <c r="F39">
        <v>80401.701526000004</v>
      </c>
      <c r="G39">
        <v>0.35253899999999999</v>
      </c>
      <c r="H39">
        <v>31.184089</v>
      </c>
      <c r="I39">
        <v>187.14840599999999</v>
      </c>
      <c r="J39">
        <v>13.776719999999999</v>
      </c>
      <c r="K39">
        <v>3402</v>
      </c>
      <c r="L39">
        <v>502</v>
      </c>
      <c r="M39">
        <f>L39/(L39+K39)</f>
        <v>0.1285860655737705</v>
      </c>
      <c r="N39">
        <f t="shared" si="5"/>
        <v>-4.4162140881147547</v>
      </c>
      <c r="O39">
        <f>E39-(SUM(K39:L39)*N39)</f>
        <v>24.832239000003028</v>
      </c>
      <c r="P39">
        <f>O39/(2*H39*J39)</f>
        <v>2.890060875657308E-2</v>
      </c>
      <c r="Q39">
        <f>P39*16.02</f>
        <v>0.4629877522803007</v>
      </c>
      <c r="S39" s="6">
        <v>27.6760219742164</v>
      </c>
      <c r="T39" s="5" t="s">
        <v>39</v>
      </c>
      <c r="U39" s="4">
        <v>0.59324213701075723</v>
      </c>
      <c r="V39" s="6">
        <v>6.5276732915219987E-2</v>
      </c>
    </row>
    <row r="40" spans="2:26" x14ac:dyDescent="0.2">
      <c r="C40">
        <v>100000</v>
      </c>
      <c r="D40">
        <v>694.03425800000002</v>
      </c>
      <c r="E40">
        <v>-17089.229995000002</v>
      </c>
      <c r="F40">
        <v>80801.239296</v>
      </c>
      <c r="G40">
        <v>0.232011</v>
      </c>
      <c r="H40">
        <v>31.235657</v>
      </c>
      <c r="I40">
        <v>187.45788999999999</v>
      </c>
      <c r="J40">
        <v>13.799502</v>
      </c>
      <c r="K40">
        <v>3451</v>
      </c>
      <c r="L40">
        <v>453</v>
      </c>
      <c r="M40">
        <f>L40/(L40+K40)</f>
        <v>0.11603483606557377</v>
      </c>
      <c r="N40">
        <f t="shared" si="5"/>
        <v>-4.3833085297131156</v>
      </c>
      <c r="O40">
        <f>E40-(SUM(K40:L40)*N40)</f>
        <v>23.206505000001926</v>
      </c>
      <c r="P40">
        <f>O40/(2*H40*J40)</f>
        <v>2.6919419114972722E-2</v>
      </c>
      <c r="Q40">
        <f>P40*16.02</f>
        <v>0.43124909422186303</v>
      </c>
      <c r="S40" s="2">
        <v>36.869999999999997</v>
      </c>
      <c r="T40" s="5" t="s">
        <v>40</v>
      </c>
      <c r="U40" s="4">
        <v>0.43740780350056258</v>
      </c>
      <c r="V40" s="6">
        <v>6.1366310794086637E-2</v>
      </c>
      <c r="X40" s="4"/>
    </row>
    <row r="41" spans="2:26" x14ac:dyDescent="0.2">
      <c r="Q41" s="1">
        <f>AVERAGE(Q36:Q40)</f>
        <v>0.4549623520619841</v>
      </c>
      <c r="R41">
        <f>STDEV(Q36:Q40)</f>
        <v>5.2022238523068746E-2</v>
      </c>
      <c r="S41" s="6">
        <v>46.145146311133402</v>
      </c>
      <c r="T41" s="5" t="s">
        <v>41</v>
      </c>
      <c r="U41" s="4">
        <v>0.54314416344795446</v>
      </c>
      <c r="V41" s="6">
        <v>5.8979440054687575E-2</v>
      </c>
    </row>
    <row r="42" spans="2:26" x14ac:dyDescent="0.2">
      <c r="B42" t="s">
        <v>30</v>
      </c>
      <c r="C42">
        <v>100000</v>
      </c>
      <c r="D42">
        <v>744.151747</v>
      </c>
      <c r="E42">
        <v>-13958.515084000001</v>
      </c>
      <c r="F42">
        <v>65302.683182000001</v>
      </c>
      <c r="G42">
        <v>-4.4169999999999999E-3</v>
      </c>
      <c r="H42">
        <v>24.342701000000002</v>
      </c>
      <c r="I42">
        <v>194.785472</v>
      </c>
      <c r="J42">
        <v>13.772266999999999</v>
      </c>
      <c r="K42">
        <v>2765</v>
      </c>
      <c r="L42">
        <v>403</v>
      </c>
      <c r="M42">
        <f>L42/(L42+K42)</f>
        <v>0.12720959595959597</v>
      </c>
      <c r="N42">
        <f>-4.0791-2.6217*M42</f>
        <v>-4.4126053977272734</v>
      </c>
      <c r="O42">
        <f>E42-(SUM(K42:L42)*N42)</f>
        <v>20.618816000001971</v>
      </c>
      <c r="P42">
        <f>O42/(2*H42*J42)</f>
        <v>3.0751020230541118E-2</v>
      </c>
      <c r="Q42">
        <f>P42*16.02</f>
        <v>0.4926313440932687</v>
      </c>
      <c r="S42" s="2">
        <v>53.13</v>
      </c>
      <c r="T42" s="5" t="s">
        <v>42</v>
      </c>
      <c r="U42" s="4">
        <v>0.52326636241924229</v>
      </c>
      <c r="V42" s="6">
        <v>2.254255986815859E-2</v>
      </c>
      <c r="X42" s="4"/>
      <c r="Z42" s="6"/>
    </row>
    <row r="43" spans="2:26" x14ac:dyDescent="0.2">
      <c r="C43">
        <v>100000</v>
      </c>
      <c r="D43">
        <v>743.90754700000002</v>
      </c>
      <c r="E43">
        <v>-13952.24532</v>
      </c>
      <c r="F43">
        <v>65326.475576999997</v>
      </c>
      <c r="G43">
        <v>-0.21513599999999999</v>
      </c>
      <c r="H43">
        <v>24.345656999999999</v>
      </c>
      <c r="I43">
        <v>194.809124</v>
      </c>
      <c r="J43">
        <v>13.773939</v>
      </c>
      <c r="K43">
        <v>2767</v>
      </c>
      <c r="L43">
        <v>401</v>
      </c>
      <c r="M43">
        <f>L43/(L43+K43)</f>
        <v>0.12657828282828282</v>
      </c>
      <c r="N43">
        <f t="shared" ref="N43:N46" si="6">-4.0791-2.6217*M43</f>
        <v>-4.4109502840909096</v>
      </c>
      <c r="O43">
        <f>E43-(SUM(K43:L43)*N43)</f>
        <v>21.645180000001346</v>
      </c>
      <c r="P43">
        <f>O43/(2*H43*J43)</f>
        <v>3.2273907630660154E-2</v>
      </c>
      <c r="Q43">
        <f>P43*16.02</f>
        <v>0.51702800024317563</v>
      </c>
      <c r="S43" s="2">
        <v>61.71</v>
      </c>
      <c r="T43" s="5" t="s">
        <v>43</v>
      </c>
      <c r="U43" s="4">
        <v>0.60365452856062374</v>
      </c>
      <c r="V43" s="6">
        <v>5.3507938686556296E-2</v>
      </c>
    </row>
    <row r="44" spans="2:26" x14ac:dyDescent="0.2">
      <c r="C44">
        <v>100000</v>
      </c>
      <c r="D44">
        <v>743.93427299999996</v>
      </c>
      <c r="E44">
        <v>-13917.519824000001</v>
      </c>
      <c r="F44">
        <v>65427.291998000001</v>
      </c>
      <c r="G44">
        <v>0.12895899999999999</v>
      </c>
      <c r="H44">
        <v>24.358174999999999</v>
      </c>
      <c r="I44">
        <v>194.909288</v>
      </c>
      <c r="J44">
        <v>13.781021000000001</v>
      </c>
      <c r="K44">
        <v>2781</v>
      </c>
      <c r="L44">
        <v>387</v>
      </c>
      <c r="M44">
        <f>L44/(L44+K44)</f>
        <v>0.12215909090909091</v>
      </c>
      <c r="N44">
        <f t="shared" si="6"/>
        <v>-4.3993644886363636</v>
      </c>
      <c r="O44">
        <f>E44-(SUM(K44:L44)*N44)</f>
        <v>19.66687599999932</v>
      </c>
      <c r="P44">
        <f>O44/(2*H44*J44)</f>
        <v>2.9294038167434373E-2</v>
      </c>
      <c r="Q44">
        <f>P44*16.02</f>
        <v>0.46929049144229867</v>
      </c>
      <c r="S44" s="6">
        <v>67.724661178359398</v>
      </c>
      <c r="T44" s="5" t="s">
        <v>44</v>
      </c>
      <c r="U44" s="4">
        <v>0.52752881234925186</v>
      </c>
      <c r="V44" s="6">
        <v>3.9008465774174717E-2</v>
      </c>
    </row>
    <row r="45" spans="2:26" x14ac:dyDescent="0.2">
      <c r="C45">
        <v>100000</v>
      </c>
      <c r="D45">
        <v>743.54521399999999</v>
      </c>
      <c r="E45">
        <v>-13912.584244</v>
      </c>
      <c r="F45">
        <v>65428.349299000001</v>
      </c>
      <c r="G45">
        <v>7.5953999999999994E-2</v>
      </c>
      <c r="H45">
        <v>24.358305999999999</v>
      </c>
      <c r="I45">
        <v>194.910338</v>
      </c>
      <c r="J45">
        <v>13.781096</v>
      </c>
      <c r="K45">
        <v>2782</v>
      </c>
      <c r="L45">
        <v>386</v>
      </c>
      <c r="M45">
        <f>L45/(L45+K45)</f>
        <v>0.12184343434343434</v>
      </c>
      <c r="N45">
        <f t="shared" si="6"/>
        <v>-4.3985369318181826</v>
      </c>
      <c r="O45">
        <f>E45-(SUM(K45:L45)*N45)</f>
        <v>21.980756000002657</v>
      </c>
      <c r="P45">
        <f>O45/(2*H45*J45)</f>
        <v>3.2740234798779758E-2</v>
      </c>
      <c r="Q45">
        <f>P45*16.02</f>
        <v>0.52449856147645169</v>
      </c>
      <c r="S45" s="6">
        <v>73.933636606903903</v>
      </c>
      <c r="T45" s="5" t="s">
        <v>45</v>
      </c>
      <c r="U45" s="4">
        <v>0.47680967158418575</v>
      </c>
      <c r="V45" s="6">
        <v>4.0236009847005337E-2</v>
      </c>
    </row>
    <row r="46" spans="2:26" x14ac:dyDescent="0.2">
      <c r="C46">
        <v>100000</v>
      </c>
      <c r="D46">
        <v>743.72457099999997</v>
      </c>
      <c r="E46">
        <v>-13864.970020000001</v>
      </c>
      <c r="F46">
        <v>65605.436803999997</v>
      </c>
      <c r="G46">
        <v>3.2497999999999999E-2</v>
      </c>
      <c r="H46">
        <v>24.380261999999998</v>
      </c>
      <c r="I46">
        <v>195.08602400000001</v>
      </c>
      <c r="J46">
        <v>13.793518000000001</v>
      </c>
      <c r="K46">
        <v>2802</v>
      </c>
      <c r="L46">
        <v>366</v>
      </c>
      <c r="M46">
        <f>L46/(L46+K46)</f>
        <v>0.11553030303030302</v>
      </c>
      <c r="N46">
        <f t="shared" si="6"/>
        <v>-4.381985795454546</v>
      </c>
      <c r="O46">
        <f>E46-(SUM(K46:L46)*N46)</f>
        <v>17.160980000000563</v>
      </c>
      <c r="P46">
        <f>O46/(2*H46*J46)</f>
        <v>2.5515182272507219E-2</v>
      </c>
      <c r="Q46">
        <f>P46*16.02</f>
        <v>0.40875322000556563</v>
      </c>
      <c r="S46" s="2">
        <v>90</v>
      </c>
      <c r="U46" s="1">
        <v>0</v>
      </c>
    </row>
    <row r="47" spans="2:26" x14ac:dyDescent="0.2">
      <c r="Q47" s="1">
        <f>AVERAGE(Q42:Q46)</f>
        <v>0.48244032345215204</v>
      </c>
      <c r="R47">
        <f>STDEV(Q42:Q46)</f>
        <v>4.6561161308143702E-2</v>
      </c>
      <c r="T47" s="5" t="s">
        <v>46</v>
      </c>
      <c r="U47" s="6">
        <f>AVERAGE(U36:U45)</f>
        <v>0.51493405708062334</v>
      </c>
    </row>
    <row r="48" spans="2:26" x14ac:dyDescent="0.2">
      <c r="B48" t="s">
        <v>24</v>
      </c>
      <c r="C48">
        <v>100000</v>
      </c>
      <c r="D48">
        <v>743.43289000000004</v>
      </c>
      <c r="E48">
        <v>-10799.034291</v>
      </c>
      <c r="F48">
        <v>51256.055870999997</v>
      </c>
      <c r="G48">
        <v>-4.5842000000000001E-2</v>
      </c>
      <c r="H48">
        <v>35.182699</v>
      </c>
      <c r="I48">
        <v>140.75277199999999</v>
      </c>
      <c r="J48">
        <v>10.350438</v>
      </c>
      <c r="K48">
        <v>2191</v>
      </c>
      <c r="L48">
        <v>281</v>
      </c>
      <c r="M48">
        <f>L48/(L48+K48)</f>
        <v>0.11367313915857605</v>
      </c>
      <c r="N48">
        <f>-4.0791-2.6217*M48</f>
        <v>-4.3771168689320392</v>
      </c>
      <c r="O48">
        <f>E48-(SUM(K48:L48)*N48)</f>
        <v>21.198609000000943</v>
      </c>
      <c r="P48">
        <f>O48/(2*H48*J48)</f>
        <v>2.9106466645645507E-2</v>
      </c>
      <c r="Q48">
        <f>P48*16.02</f>
        <v>0.46628559566324101</v>
      </c>
      <c r="V48" s="5"/>
    </row>
    <row r="49" spans="2:22" x14ac:dyDescent="0.2">
      <c r="C49">
        <v>100000</v>
      </c>
      <c r="D49">
        <v>743.53502800000001</v>
      </c>
      <c r="E49">
        <v>-10853.892567000001</v>
      </c>
      <c r="F49">
        <v>51079.724245999998</v>
      </c>
      <c r="G49">
        <v>1.6829E-2</v>
      </c>
      <c r="H49">
        <v>35.142308</v>
      </c>
      <c r="I49">
        <v>140.591182</v>
      </c>
      <c r="J49">
        <v>10.338554999999999</v>
      </c>
      <c r="K49">
        <v>2169</v>
      </c>
      <c r="L49">
        <v>303</v>
      </c>
      <c r="M49">
        <f>L49/(L49+K49)</f>
        <v>0.12257281553398058</v>
      </c>
      <c r="N49">
        <f t="shared" ref="N49:N52" si="7">-4.0791-2.6217*M49</f>
        <v>-4.4004491504854375</v>
      </c>
      <c r="O49">
        <f>E49-(SUM(K49:L49)*N49)</f>
        <v>24.01773300000059</v>
      </c>
      <c r="P49">
        <f>O49/(2*H49*J49)</f>
        <v>3.3053076871320565E-2</v>
      </c>
      <c r="Q49">
        <f>P49*16.02</f>
        <v>0.52951029147855544</v>
      </c>
      <c r="U49" t="s">
        <v>27</v>
      </c>
    </row>
    <row r="50" spans="2:22" x14ac:dyDescent="0.2">
      <c r="C50">
        <v>100000</v>
      </c>
      <c r="D50">
        <v>743.35542099999998</v>
      </c>
      <c r="E50">
        <v>-10770.984474999999</v>
      </c>
      <c r="F50">
        <v>51357.031156999998</v>
      </c>
      <c r="G50">
        <v>7.3368000000000003E-2</v>
      </c>
      <c r="H50">
        <v>35.205787000000001</v>
      </c>
      <c r="I50">
        <v>140.84513799999999</v>
      </c>
      <c r="J50">
        <v>10.357229999999999</v>
      </c>
      <c r="K50">
        <v>2202</v>
      </c>
      <c r="L50">
        <v>270</v>
      </c>
      <c r="M50">
        <f>L50/(L50+K50)</f>
        <v>0.10922330097087378</v>
      </c>
      <c r="N50">
        <f t="shared" si="7"/>
        <v>-4.3654507281553405</v>
      </c>
      <c r="O50">
        <f>E50-(SUM(K50:L50)*N50)</f>
        <v>20.409725000003164</v>
      </c>
      <c r="P50">
        <f>O50/(2*H50*J50)</f>
        <v>2.7986557407443744E-2</v>
      </c>
      <c r="Q50">
        <f>P50*16.02</f>
        <v>0.4483446496672488</v>
      </c>
      <c r="S50">
        <v>0</v>
      </c>
      <c r="T50" s="3"/>
      <c r="U50">
        <v>0</v>
      </c>
      <c r="V50" s="5"/>
    </row>
    <row r="51" spans="2:22" x14ac:dyDescent="0.2">
      <c r="C51">
        <v>100000</v>
      </c>
      <c r="D51">
        <v>743.48134200000004</v>
      </c>
      <c r="E51">
        <v>-10866.272929999999</v>
      </c>
      <c r="F51">
        <v>51039.769103999999</v>
      </c>
      <c r="G51">
        <v>0.47221299999999999</v>
      </c>
      <c r="H51">
        <v>35.133142999999997</v>
      </c>
      <c r="I51">
        <v>140.55451500000001</v>
      </c>
      <c r="J51">
        <v>10.335858999999999</v>
      </c>
      <c r="K51">
        <v>2163</v>
      </c>
      <c r="L51">
        <v>309</v>
      </c>
      <c r="M51">
        <f>L51/(L51+K51)</f>
        <v>0.125</v>
      </c>
      <c r="N51">
        <f t="shared" si="7"/>
        <v>-4.4068125</v>
      </c>
      <c r="O51">
        <f>E51-(SUM(K51:L51)*N51)</f>
        <v>27.367570000000342</v>
      </c>
      <c r="P51">
        <f>O51/(2*H51*J51)</f>
        <v>3.7682756363128476E-2</v>
      </c>
      <c r="Q51">
        <f>P51*16.02</f>
        <v>0.60367775693731818</v>
      </c>
      <c r="S51" s="2">
        <v>12.68</v>
      </c>
      <c r="T51" s="3" t="s">
        <v>36</v>
      </c>
      <c r="U51" s="4">
        <v>0.56534829633362282</v>
      </c>
      <c r="V51" s="6">
        <v>6.7091427974360185E-2</v>
      </c>
    </row>
    <row r="52" spans="2:22" x14ac:dyDescent="0.2">
      <c r="C52">
        <v>100000</v>
      </c>
      <c r="D52">
        <v>743.71621600000003</v>
      </c>
      <c r="E52">
        <v>-10832.232454000001</v>
      </c>
      <c r="F52">
        <v>51117.855142</v>
      </c>
      <c r="G52">
        <v>0.23675599999999999</v>
      </c>
      <c r="H52">
        <v>35.151049999999998</v>
      </c>
      <c r="I52">
        <v>140.62615700000001</v>
      </c>
      <c r="J52">
        <v>10.341127</v>
      </c>
      <c r="K52">
        <v>2178</v>
      </c>
      <c r="L52">
        <v>294</v>
      </c>
      <c r="M52">
        <f>L52/(L52+K52)</f>
        <v>0.11893203883495146</v>
      </c>
      <c r="N52">
        <f t="shared" si="7"/>
        <v>-4.3909041262135924</v>
      </c>
      <c r="O52">
        <f>E52-(SUM(K52:L52)*N52)</f>
        <v>22.082545999999638</v>
      </c>
      <c r="P52">
        <f>O52/(2*H52*J52)</f>
        <v>3.0374768311562345E-2</v>
      </c>
      <c r="Q52">
        <f>P52*16.02</f>
        <v>0.48660378835122875</v>
      </c>
      <c r="S52" s="6">
        <v>16.260000000000002</v>
      </c>
      <c r="T52" s="3" t="s">
        <v>37</v>
      </c>
      <c r="U52" s="4">
        <v>0.52781858182593799</v>
      </c>
      <c r="V52" s="6">
        <v>9.6528710639639692E-2</v>
      </c>
    </row>
    <row r="53" spans="2:22" x14ac:dyDescent="0.2">
      <c r="Q53" s="1">
        <f>AVERAGE(Q48:Q52)</f>
        <v>0.50688441641951854</v>
      </c>
      <c r="R53">
        <f>STDEV(Q48:Q52)</f>
        <v>6.1982564894969304E-2</v>
      </c>
      <c r="S53" s="2">
        <v>22.62</v>
      </c>
      <c r="T53" s="3" t="s">
        <v>38</v>
      </c>
      <c r="U53" s="4">
        <v>0.65322922779834725</v>
      </c>
      <c r="V53" s="6">
        <v>1.9976077722108129E-2</v>
      </c>
    </row>
    <row r="54" spans="2:22" x14ac:dyDescent="0.2">
      <c r="B54" t="s">
        <v>31</v>
      </c>
      <c r="C54">
        <v>100000</v>
      </c>
      <c r="D54">
        <v>743.90038900000002</v>
      </c>
      <c r="E54">
        <v>-14191.421601</v>
      </c>
      <c r="F54">
        <v>66777.092382000003</v>
      </c>
      <c r="G54">
        <v>-2.7289999999999998E-2</v>
      </c>
      <c r="H54">
        <v>28.413245</v>
      </c>
      <c r="I54">
        <v>170.50142</v>
      </c>
      <c r="J54">
        <v>13.78410066677</v>
      </c>
      <c r="K54">
        <v>2837</v>
      </c>
      <c r="L54">
        <v>395</v>
      </c>
      <c r="M54">
        <f>L54/(L54+K54)</f>
        <v>0.12221534653465346</v>
      </c>
      <c r="N54">
        <f>-4.0791-2.6217*M54</f>
        <v>-4.3995119740099016</v>
      </c>
      <c r="O54">
        <f>E54-(SUM(K54:L54)*N54)</f>
        <v>27.801099000002068</v>
      </c>
      <c r="P54">
        <f>O54/(2*H54*J54)</f>
        <v>3.5492181708510179E-2</v>
      </c>
      <c r="Q54">
        <f>P54*16.02</f>
        <v>0.56858475097033301</v>
      </c>
      <c r="S54" s="6">
        <v>27.6760219742164</v>
      </c>
      <c r="T54" s="5" t="s">
        <v>39</v>
      </c>
      <c r="U54" s="4">
        <v>0.66709220970115124</v>
      </c>
      <c r="V54" s="6">
        <v>5.4694509432568712E-2</v>
      </c>
    </row>
    <row r="55" spans="2:22" x14ac:dyDescent="0.2">
      <c r="C55">
        <v>100000</v>
      </c>
      <c r="D55">
        <v>743.83355100000006</v>
      </c>
      <c r="E55">
        <v>-14171.899287</v>
      </c>
      <c r="F55">
        <v>66842.956313999995</v>
      </c>
      <c r="G55">
        <v>0.322098</v>
      </c>
      <c r="H55">
        <v>28.422582999999999</v>
      </c>
      <c r="I55">
        <v>170.557456</v>
      </c>
      <c r="J55">
        <v>13.788631000000001</v>
      </c>
      <c r="K55">
        <v>2844</v>
      </c>
      <c r="L55">
        <v>388</v>
      </c>
      <c r="M55">
        <f>L55/(L55+K55)</f>
        <v>0.12004950495049505</v>
      </c>
      <c r="N55">
        <f t="shared" ref="N55:N58" si="8">-4.0791-2.6217*M55</f>
        <v>-4.3938337871287132</v>
      </c>
      <c r="O55">
        <f>E55-(SUM(K55:L55)*N55)</f>
        <v>28.971513000000414</v>
      </c>
      <c r="P55">
        <f>O55/(2*H55*J55)</f>
        <v>3.6962087235541369E-2</v>
      </c>
      <c r="Q55">
        <f>P55*16.02</f>
        <v>0.59213263751337275</v>
      </c>
      <c r="S55" s="2">
        <v>36.869999999999997</v>
      </c>
      <c r="T55" s="5" t="s">
        <v>40</v>
      </c>
      <c r="U55" s="4">
        <v>0.56166418185040956</v>
      </c>
      <c r="V55" s="6">
        <v>3.306507817474845E-2</v>
      </c>
    </row>
    <row r="56" spans="2:22" x14ac:dyDescent="0.2">
      <c r="C56">
        <v>100000</v>
      </c>
      <c r="D56">
        <v>743.84971599999994</v>
      </c>
      <c r="E56">
        <v>-14246.133752</v>
      </c>
      <c r="F56">
        <v>66643.970646000002</v>
      </c>
      <c r="G56">
        <v>-1.8308999999999999E-2</v>
      </c>
      <c r="H56">
        <v>28.394352000000001</v>
      </c>
      <c r="I56">
        <v>170.38804500000001</v>
      </c>
      <c r="J56">
        <v>13.774934999999999</v>
      </c>
      <c r="K56">
        <v>2814</v>
      </c>
      <c r="L56">
        <v>418</v>
      </c>
      <c r="M56">
        <f>L56/(L56+K56)</f>
        <v>0.12933168316831684</v>
      </c>
      <c r="N56">
        <f t="shared" si="8"/>
        <v>-4.4181688737623768</v>
      </c>
      <c r="O56">
        <f>E56-(SUM(K56:L56)*N56)</f>
        <v>33.388048000002527</v>
      </c>
      <c r="P56">
        <f>O56/(2*H56*J56)</f>
        <v>4.2681484228528625E-2</v>
      </c>
      <c r="Q56">
        <f>P56*16.02</f>
        <v>0.68375737734102859</v>
      </c>
      <c r="S56" s="6">
        <v>46.145146311133402</v>
      </c>
      <c r="T56" s="5" t="s">
        <v>41</v>
      </c>
      <c r="U56" s="4">
        <v>0.73256422991833903</v>
      </c>
      <c r="V56" s="6">
        <v>6.2227342912061147E-2</v>
      </c>
    </row>
    <row r="57" spans="2:22" x14ac:dyDescent="0.2">
      <c r="C57">
        <v>100000</v>
      </c>
      <c r="D57">
        <v>743.841137</v>
      </c>
      <c r="E57">
        <v>-14105.304934</v>
      </c>
      <c r="F57">
        <v>67047.334036</v>
      </c>
      <c r="G57">
        <v>0.28835300000000003</v>
      </c>
      <c r="H57">
        <v>28.451522000000001</v>
      </c>
      <c r="I57">
        <v>170.731112</v>
      </c>
      <c r="J57">
        <v>13.802670000000001</v>
      </c>
      <c r="K57">
        <v>2871</v>
      </c>
      <c r="L57">
        <v>361</v>
      </c>
      <c r="M57">
        <f>L57/(L57+K57)</f>
        <v>0.11169554455445545</v>
      </c>
      <c r="N57">
        <f t="shared" si="8"/>
        <v>-4.3719322091584161</v>
      </c>
      <c r="O57">
        <f>E57-(SUM(K57:L57)*N57)</f>
        <v>24.779966000001878</v>
      </c>
      <c r="P57">
        <f>O57/(2*H57*J57)</f>
        <v>3.1550198934297259E-2</v>
      </c>
      <c r="Q57">
        <f>P57*16.02</f>
        <v>0.50543418692744213</v>
      </c>
      <c r="S57" s="2">
        <v>53.13</v>
      </c>
      <c r="T57" s="5" t="s">
        <v>42</v>
      </c>
      <c r="U57" s="4">
        <v>0.61453047407258854</v>
      </c>
      <c r="V57" s="6">
        <v>2.7922347668095166E-2</v>
      </c>
    </row>
    <row r="58" spans="2:22" x14ac:dyDescent="0.2">
      <c r="C58">
        <v>100000</v>
      </c>
      <c r="D58">
        <v>743.88804800000003</v>
      </c>
      <c r="E58">
        <v>-14223.195473</v>
      </c>
      <c r="F58">
        <v>66694.325542000006</v>
      </c>
      <c r="G58">
        <v>-0.18163399999999999</v>
      </c>
      <c r="H58">
        <v>28.401501</v>
      </c>
      <c r="I58">
        <v>170.43094600000001</v>
      </c>
      <c r="J58">
        <v>13.778403000000001</v>
      </c>
      <c r="K58">
        <v>2824</v>
      </c>
      <c r="L58">
        <v>408</v>
      </c>
      <c r="M58">
        <f>L58/(L58+K58)</f>
        <v>0.12623762376237624</v>
      </c>
      <c r="N58">
        <f t="shared" si="8"/>
        <v>-4.4100571782178219</v>
      </c>
      <c r="O58">
        <f>E58-(SUM(K58:L58)*N58)</f>
        <v>30.109327000000121</v>
      </c>
      <c r="P58">
        <f>O58/(2*H58*J58)</f>
        <v>3.8470769806592378E-2</v>
      </c>
      <c r="Q58">
        <f>P58*16.02</f>
        <v>0.61630173230160989</v>
      </c>
      <c r="S58" s="2">
        <v>61.71</v>
      </c>
      <c r="T58" s="5" t="s">
        <v>43</v>
      </c>
      <c r="U58" s="4">
        <v>0.69127257072056858</v>
      </c>
      <c r="V58" s="6">
        <v>2.3456420352875835E-2</v>
      </c>
    </row>
    <row r="59" spans="2:22" x14ac:dyDescent="0.2">
      <c r="Q59" s="1">
        <f>AVERAGE(Q54:Q58)</f>
        <v>0.59324213701075723</v>
      </c>
      <c r="R59">
        <f>STDEV(Q54:Q58)</f>
        <v>6.5276732915219987E-2</v>
      </c>
      <c r="S59" s="6">
        <v>67.724661178359398</v>
      </c>
      <c r="T59" s="5" t="s">
        <v>44</v>
      </c>
      <c r="U59" s="4">
        <v>0.68089572350265937</v>
      </c>
      <c r="V59" s="6">
        <v>6.1633073215031801E-2</v>
      </c>
    </row>
    <row r="60" spans="2:22" x14ac:dyDescent="0.2">
      <c r="B60" t="s">
        <v>23</v>
      </c>
      <c r="C60">
        <v>100000</v>
      </c>
      <c r="D60">
        <v>743.77605300000005</v>
      </c>
      <c r="E60">
        <v>-12645.010840999999</v>
      </c>
      <c r="F60">
        <v>59529.15393</v>
      </c>
      <c r="G60">
        <v>0.36058699999999999</v>
      </c>
      <c r="H60">
        <v>32.737138999999999</v>
      </c>
      <c r="I60">
        <v>131.345371</v>
      </c>
      <c r="J60">
        <v>13.844393</v>
      </c>
      <c r="K60">
        <v>2527</v>
      </c>
      <c r="L60">
        <v>353</v>
      </c>
      <c r="M60">
        <f>L60/(L60+K60)</f>
        <v>0.12256944444444444</v>
      </c>
      <c r="N60">
        <f>-4.0791-2.6217*M60</f>
        <v>-4.4004403125000007</v>
      </c>
      <c r="O60">
        <f>E60-(SUM(K60:L60)*N60)</f>
        <v>28.257259000001795</v>
      </c>
      <c r="P60">
        <f>O60/(2*H60*J60)</f>
        <v>3.1173487781400937E-2</v>
      </c>
      <c r="Q60">
        <f>P60*16.02</f>
        <v>0.49939927425804298</v>
      </c>
      <c r="S60" s="6">
        <v>73.933636606903903</v>
      </c>
      <c r="T60" s="5" t="s">
        <v>45</v>
      </c>
      <c r="U60" s="4">
        <v>0.59009301032447881</v>
      </c>
      <c r="V60" s="6">
        <v>4.636891550010902E-2</v>
      </c>
    </row>
    <row r="61" spans="2:22" x14ac:dyDescent="0.2">
      <c r="C61">
        <v>100000</v>
      </c>
      <c r="D61">
        <v>743.98826799999995</v>
      </c>
      <c r="E61">
        <v>-12532.394560000001</v>
      </c>
      <c r="F61">
        <v>59889.020464000001</v>
      </c>
      <c r="G61">
        <v>-0.103778</v>
      </c>
      <c r="H61">
        <v>32.802973999999999</v>
      </c>
      <c r="I61">
        <v>131.609509</v>
      </c>
      <c r="J61">
        <v>13.872234000000001</v>
      </c>
      <c r="K61">
        <v>2572</v>
      </c>
      <c r="L61">
        <v>308</v>
      </c>
      <c r="M61">
        <f>L61/(L61+K61)</f>
        <v>0.10694444444444444</v>
      </c>
      <c r="N61">
        <f t="shared" ref="N61:N64" si="9">-4.0791-2.6217*M61</f>
        <v>-4.3594762500000002</v>
      </c>
      <c r="O61">
        <f>E61-(SUM(K61:L61)*N61)</f>
        <v>22.897039999999834</v>
      </c>
      <c r="P61">
        <f>O61/(2*H61*J61)</f>
        <v>2.5158788342050001E-2</v>
      </c>
      <c r="Q61">
        <f>P61*16.02</f>
        <v>0.40304378923964101</v>
      </c>
      <c r="S61" s="2">
        <v>90</v>
      </c>
      <c r="U61" s="1">
        <v>0</v>
      </c>
    </row>
    <row r="62" spans="2:22" x14ac:dyDescent="0.2">
      <c r="C62">
        <v>100000</v>
      </c>
      <c r="D62">
        <v>743.40572299999997</v>
      </c>
      <c r="E62">
        <v>-12569.571588999999</v>
      </c>
      <c r="F62">
        <v>59773.558919000003</v>
      </c>
      <c r="G62">
        <v>0.20629500000000001</v>
      </c>
      <c r="H62">
        <v>32.781880999999998</v>
      </c>
      <c r="I62">
        <v>131.524879</v>
      </c>
      <c r="J62">
        <v>13.863314000000001</v>
      </c>
      <c r="K62">
        <v>2559</v>
      </c>
      <c r="L62">
        <v>321</v>
      </c>
      <c r="M62">
        <f>L62/(L62+K62)</f>
        <v>0.11145833333333334</v>
      </c>
      <c r="N62">
        <f t="shared" si="9"/>
        <v>-4.3713103125000004</v>
      </c>
      <c r="O62">
        <f>E62-(SUM(K62:L62)*N62)</f>
        <v>19.802111000000878</v>
      </c>
      <c r="P62">
        <f>O62/(2*H62*J62)</f>
        <v>2.1786153814093916E-2</v>
      </c>
      <c r="Q62">
        <f>P62*16.02</f>
        <v>0.34901418410178453</v>
      </c>
      <c r="T62" s="5" t="s">
        <v>46</v>
      </c>
      <c r="U62" s="6">
        <f>AVERAGE(U51:U60)</f>
        <v>0.62845085060481021</v>
      </c>
    </row>
    <row r="63" spans="2:22" x14ac:dyDescent="0.2">
      <c r="C63">
        <v>100000</v>
      </c>
      <c r="D63">
        <v>743.89295300000003</v>
      </c>
      <c r="E63">
        <v>-12592.470664</v>
      </c>
      <c r="F63">
        <v>59712.294321000001</v>
      </c>
      <c r="G63">
        <v>0.22065899999999999</v>
      </c>
      <c r="H63">
        <v>32.770676999999999</v>
      </c>
      <c r="I63">
        <v>131.479927</v>
      </c>
      <c r="J63">
        <v>13.858575999999999</v>
      </c>
      <c r="K63">
        <v>2548</v>
      </c>
      <c r="L63">
        <v>332</v>
      </c>
      <c r="M63">
        <f>L63/(L63+K63)</f>
        <v>0.11527777777777778</v>
      </c>
      <c r="N63">
        <f t="shared" si="9"/>
        <v>-4.38132375</v>
      </c>
      <c r="O63">
        <f>E63-(SUM(K63:L63)*N63)</f>
        <v>25.741735999999946</v>
      </c>
      <c r="P63">
        <f>O63/(2*H63*J63)</f>
        <v>2.8340259009040508E-2</v>
      </c>
      <c r="Q63">
        <f>P63*16.02</f>
        <v>0.45401094932482894</v>
      </c>
    </row>
    <row r="64" spans="2:22" x14ac:dyDescent="0.2">
      <c r="C64">
        <v>100000</v>
      </c>
      <c r="D64">
        <v>743.65911600000004</v>
      </c>
      <c r="E64">
        <v>-12611.907733</v>
      </c>
      <c r="F64">
        <v>59626.790379999999</v>
      </c>
      <c r="G64">
        <v>0.33548699999999998</v>
      </c>
      <c r="H64">
        <v>32.755026999999998</v>
      </c>
      <c r="I64">
        <v>131.41713999999999</v>
      </c>
      <c r="J64">
        <v>13.851958</v>
      </c>
      <c r="K64">
        <v>2540</v>
      </c>
      <c r="L64">
        <v>340</v>
      </c>
      <c r="M64">
        <f>L64/(L64+K64)</f>
        <v>0.11805555555555555</v>
      </c>
      <c r="N64">
        <f t="shared" si="9"/>
        <v>-4.3886062500000005</v>
      </c>
      <c r="O64">
        <f>E64-(SUM(K64:L64)*N64)</f>
        <v>27.278267000001506</v>
      </c>
      <c r="P64">
        <f>O64/(2*H64*J64)</f>
        <v>3.0060600535487862E-2</v>
      </c>
      <c r="Q64">
        <f>P64*16.02</f>
        <v>0.48157082057851552</v>
      </c>
      <c r="S64">
        <v>0</v>
      </c>
      <c r="T64" s="3" t="s">
        <v>65</v>
      </c>
      <c r="U64">
        <v>0</v>
      </c>
    </row>
    <row r="65" spans="2:22" x14ac:dyDescent="0.2">
      <c r="Q65" s="1">
        <f>AVERAGE(Q60:Q64)</f>
        <v>0.43740780350056258</v>
      </c>
      <c r="R65">
        <f>STDEV(Q60:Q64)</f>
        <v>6.1366310794086637E-2</v>
      </c>
      <c r="S65" s="2">
        <v>12.68</v>
      </c>
      <c r="T65" s="3" t="s">
        <v>36</v>
      </c>
      <c r="U65" s="4">
        <v>0.69554936248700372</v>
      </c>
      <c r="V65" s="6">
        <v>0.14798546115294051</v>
      </c>
    </row>
    <row r="66" spans="2:22" x14ac:dyDescent="0.2">
      <c r="B66" t="s">
        <v>32</v>
      </c>
      <c r="C66">
        <v>100000</v>
      </c>
      <c r="D66">
        <v>743.63828799999999</v>
      </c>
      <c r="E66">
        <v>-16095.215872999999</v>
      </c>
      <c r="F66">
        <v>76251.175076</v>
      </c>
      <c r="G66">
        <v>-1.6806000000000001E-2</v>
      </c>
      <c r="H66">
        <v>26.275549999999999</v>
      </c>
      <c r="I66">
        <v>210.24835999999999</v>
      </c>
      <c r="J66">
        <v>13.802631</v>
      </c>
      <c r="K66">
        <v>3258</v>
      </c>
      <c r="L66">
        <v>422</v>
      </c>
      <c r="M66">
        <f>L66/(L66+K66)</f>
        <v>0.11467391304347826</v>
      </c>
      <c r="N66">
        <f>-4.0791-2.6217*M66</f>
        <v>-4.3797405978260873</v>
      </c>
      <c r="O66">
        <f>E66-(SUM(K66:L66)*N66)</f>
        <v>22.229527000001326</v>
      </c>
      <c r="P66">
        <f>O66/(2*H66*J66)</f>
        <v>3.0646898716586851E-2</v>
      </c>
      <c r="Q66">
        <f>P66*16.02</f>
        <v>0.49096331743972133</v>
      </c>
      <c r="S66" s="6">
        <v>16.260000000000002</v>
      </c>
      <c r="T66" s="3" t="s">
        <v>37</v>
      </c>
      <c r="U66" s="4">
        <v>0.74934630337505359</v>
      </c>
      <c r="V66" s="6">
        <v>0.12833345635184798</v>
      </c>
    </row>
    <row r="67" spans="2:22" x14ac:dyDescent="0.2">
      <c r="C67">
        <v>100000</v>
      </c>
      <c r="D67">
        <v>743.87787200000002</v>
      </c>
      <c r="E67">
        <v>-16105.975793</v>
      </c>
      <c r="F67">
        <v>76210.612783000004</v>
      </c>
      <c r="G67">
        <v>-0.122861</v>
      </c>
      <c r="H67">
        <v>26.270890000000001</v>
      </c>
      <c r="I67">
        <v>210.211072</v>
      </c>
      <c r="J67">
        <v>13.800183000000001</v>
      </c>
      <c r="K67">
        <v>3253</v>
      </c>
      <c r="L67">
        <v>427</v>
      </c>
      <c r="M67">
        <f>L67/(L67+K67)</f>
        <v>0.11603260869565217</v>
      </c>
      <c r="N67">
        <f t="shared" ref="N67:N70" si="10">-4.0791-2.6217*M67</f>
        <v>-4.3833026902173913</v>
      </c>
      <c r="O67">
        <f>E67-(SUM(K67:L67)*N67)</f>
        <v>24.578106999999363</v>
      </c>
      <c r="P67">
        <f>O67/(2*H67*J67)</f>
        <v>3.3896808002817053E-2</v>
      </c>
      <c r="Q67">
        <f>P67*16.02</f>
        <v>0.54302686420512913</v>
      </c>
      <c r="S67" s="2">
        <v>22.62</v>
      </c>
      <c r="T67" s="3" t="s">
        <v>38</v>
      </c>
      <c r="U67" s="4">
        <v>0.78231219045359146</v>
      </c>
      <c r="V67" s="6">
        <v>7.057144099323398E-2</v>
      </c>
    </row>
    <row r="68" spans="2:22" x14ac:dyDescent="0.2">
      <c r="C68">
        <v>100000</v>
      </c>
      <c r="D68">
        <v>743.75379699999996</v>
      </c>
      <c r="E68">
        <v>-16104.413893000001</v>
      </c>
      <c r="F68">
        <v>76211.437462999995</v>
      </c>
      <c r="G68">
        <v>-3.1362000000000001E-2</v>
      </c>
      <c r="H68">
        <v>26.270985</v>
      </c>
      <c r="I68">
        <v>210.21183199999999</v>
      </c>
      <c r="J68">
        <v>13.800233</v>
      </c>
      <c r="K68">
        <v>3253</v>
      </c>
      <c r="L68">
        <v>427</v>
      </c>
      <c r="M68">
        <f>L68/(L68+K68)</f>
        <v>0.11603260869565217</v>
      </c>
      <c r="N68">
        <f t="shared" si="10"/>
        <v>-4.3833026902173913</v>
      </c>
      <c r="O68">
        <f>E68-(SUM(K68:L68)*N68)</f>
        <v>26.14000699999815</v>
      </c>
      <c r="P68">
        <f>O68/(2*H68*J68)</f>
        <v>3.6050635796427678E-2</v>
      </c>
      <c r="Q68">
        <f>P68*16.02</f>
        <v>0.57753118545877136</v>
      </c>
      <c r="S68" s="6">
        <v>27.6760219742164</v>
      </c>
      <c r="T68" s="5" t="s">
        <v>39</v>
      </c>
      <c r="U68" s="4">
        <v>0.85334866152094335</v>
      </c>
      <c r="V68" s="6">
        <v>4.3237861333440909E-2</v>
      </c>
    </row>
    <row r="69" spans="2:22" x14ac:dyDescent="0.2">
      <c r="C69">
        <v>100000</v>
      </c>
      <c r="D69">
        <v>743.542914</v>
      </c>
      <c r="E69">
        <v>-16186.35295</v>
      </c>
      <c r="F69">
        <v>75928.536877000006</v>
      </c>
      <c r="G69">
        <v>5.3150999999999997E-2</v>
      </c>
      <c r="H69">
        <v>26.238437999999999</v>
      </c>
      <c r="I69">
        <v>209.951402</v>
      </c>
      <c r="J69">
        <v>13.783136000000001</v>
      </c>
      <c r="K69">
        <v>3221</v>
      </c>
      <c r="L69">
        <v>459</v>
      </c>
      <c r="M69">
        <f>L69/(L69+K69)</f>
        <v>0.12472826086956522</v>
      </c>
      <c r="N69">
        <f t="shared" si="10"/>
        <v>-4.4061000815217399</v>
      </c>
      <c r="O69">
        <f>E69-(SUM(K69:L69)*N69)</f>
        <v>28.095350000003236</v>
      </c>
      <c r="P69">
        <f>O69/(2*H69*J69)</f>
        <v>3.884350688449531E-2</v>
      </c>
      <c r="Q69">
        <f>P69*16.02</f>
        <v>0.62227298028961486</v>
      </c>
      <c r="S69" s="2">
        <v>36.869999999999997</v>
      </c>
      <c r="T69" s="5" t="s">
        <v>40</v>
      </c>
      <c r="U69" s="4">
        <v>0.73213697269467648</v>
      </c>
      <c r="V69" s="6">
        <v>5.5145267992456892E-2</v>
      </c>
    </row>
    <row r="70" spans="2:22" x14ac:dyDescent="0.2">
      <c r="C70">
        <v>100000</v>
      </c>
      <c r="D70">
        <v>743.73155799999995</v>
      </c>
      <c r="E70">
        <v>-16064.142108</v>
      </c>
      <c r="F70">
        <v>76369.302458999999</v>
      </c>
      <c r="G70">
        <v>0.45833800000000002</v>
      </c>
      <c r="H70">
        <v>26.289110999999998</v>
      </c>
      <c r="I70">
        <v>210.35687200000001</v>
      </c>
      <c r="J70">
        <v>13.809754999999999</v>
      </c>
      <c r="K70">
        <v>3270</v>
      </c>
      <c r="L70">
        <v>410</v>
      </c>
      <c r="M70">
        <f>L70/(L70+K70)</f>
        <v>0.11141304347826086</v>
      </c>
      <c r="N70">
        <f t="shared" si="10"/>
        <v>-4.3711915760869573</v>
      </c>
      <c r="O70">
        <f>E70-(SUM(K70:L70)*N70)</f>
        <v>21.842892000002394</v>
      </c>
      <c r="P70">
        <f>O70/(2*H70*J70)</f>
        <v>3.0082800864328071E-2</v>
      </c>
      <c r="Q70">
        <f>P70*16.02</f>
        <v>0.4819264698465357</v>
      </c>
      <c r="S70" s="6">
        <v>46.145146311133402</v>
      </c>
      <c r="T70" s="5" t="s">
        <v>41</v>
      </c>
      <c r="U70" s="4">
        <v>0.85008380945375284</v>
      </c>
      <c r="V70" s="6">
        <v>7.5721906386105292E-2</v>
      </c>
    </row>
    <row r="71" spans="2:22" x14ac:dyDescent="0.2">
      <c r="Q71" s="1">
        <f>AVERAGE(Q66:Q70)</f>
        <v>0.54314416344795446</v>
      </c>
      <c r="R71">
        <f>STDEV(Q66:Q70)</f>
        <v>5.8979440054687575E-2</v>
      </c>
      <c r="S71" s="2">
        <v>53.13</v>
      </c>
      <c r="T71" s="5" t="s">
        <v>42</v>
      </c>
      <c r="U71" s="4">
        <v>0.71328699693102549</v>
      </c>
      <c r="V71" s="6">
        <v>2.2639485562419723E-2</v>
      </c>
    </row>
    <row r="72" spans="2:22" x14ac:dyDescent="0.2">
      <c r="B72" t="s">
        <v>22</v>
      </c>
      <c r="C72">
        <v>100000</v>
      </c>
      <c r="D72">
        <v>693.891166</v>
      </c>
      <c r="E72">
        <v>-16605.168871000002</v>
      </c>
      <c r="F72">
        <v>77900.790762999997</v>
      </c>
      <c r="G72">
        <v>0.275584</v>
      </c>
      <c r="H72">
        <v>30.716812000000001</v>
      </c>
      <c r="I72">
        <v>92.309022999999996</v>
      </c>
      <c r="J72">
        <v>27.473965</v>
      </c>
      <c r="K72">
        <v>3295</v>
      </c>
      <c r="L72">
        <v>481</v>
      </c>
      <c r="M72">
        <f>L72/(L72+K72)</f>
        <v>0.12738347457627119</v>
      </c>
      <c r="N72">
        <f>-4.0791-2.6217*M72</f>
        <v>-4.4130612552966104</v>
      </c>
      <c r="O72">
        <f>E72-(SUM(K72:L72)*N72)</f>
        <v>58.550428999998985</v>
      </c>
      <c r="P72">
        <f>O72/(2*H72*J72)</f>
        <v>3.4689864664343761E-2</v>
      </c>
      <c r="Q72">
        <f>P72*16.02</f>
        <v>0.55573163192278707</v>
      </c>
      <c r="S72" s="2">
        <v>61.71</v>
      </c>
      <c r="T72" s="5" t="s">
        <v>43</v>
      </c>
      <c r="U72" s="4">
        <v>0.80983350786087749</v>
      </c>
      <c r="V72" s="6">
        <v>5.343045656999975E-2</v>
      </c>
    </row>
    <row r="73" spans="2:22" x14ac:dyDescent="0.2">
      <c r="C73">
        <v>100000</v>
      </c>
      <c r="D73">
        <v>694.37425599999995</v>
      </c>
      <c r="E73">
        <v>-16456.962312</v>
      </c>
      <c r="F73">
        <v>78404.923112000004</v>
      </c>
      <c r="G73">
        <v>0.27996399999999999</v>
      </c>
      <c r="H73">
        <v>30.782931000000001</v>
      </c>
      <c r="I73">
        <v>92.507721000000004</v>
      </c>
      <c r="J73">
        <v>27.533104000000002</v>
      </c>
      <c r="K73">
        <v>3354</v>
      </c>
      <c r="L73">
        <v>422</v>
      </c>
      <c r="M73">
        <f>L73/(L73+K73)</f>
        <v>0.11175847457627118</v>
      </c>
      <c r="N73">
        <f t="shared" ref="N73:N76" si="11">-4.0791-2.6217*M73</f>
        <v>-4.3720971927966108</v>
      </c>
      <c r="O73">
        <f>E73-(SUM(K73:L73)*N73)</f>
        <v>52.076688000001013</v>
      </c>
      <c r="P73">
        <f>O73/(2*H73*J73)</f>
        <v>3.0721910258965025E-2</v>
      </c>
      <c r="Q73">
        <f>P73*16.02</f>
        <v>0.49216500234861971</v>
      </c>
      <c r="S73" s="6">
        <v>67.724661178359398</v>
      </c>
      <c r="T73" s="5" t="s">
        <v>44</v>
      </c>
      <c r="U73" s="4">
        <v>0.7844003802747237</v>
      </c>
      <c r="V73" s="6">
        <v>9.337804673421024E-2</v>
      </c>
    </row>
    <row r="74" spans="2:22" x14ac:dyDescent="0.2">
      <c r="C74">
        <v>100000</v>
      </c>
      <c r="D74">
        <v>694.02352399999995</v>
      </c>
      <c r="E74">
        <v>-16529.785169999999</v>
      </c>
      <c r="F74">
        <v>78157.543862999999</v>
      </c>
      <c r="G74">
        <v>0.27338800000000002</v>
      </c>
      <c r="H74">
        <v>30.750520999999999</v>
      </c>
      <c r="I74">
        <v>92.410325999999998</v>
      </c>
      <c r="J74">
        <v>27.504116</v>
      </c>
      <c r="K74">
        <v>3325</v>
      </c>
      <c r="L74">
        <v>451</v>
      </c>
      <c r="M74">
        <f>L74/(L74+K74)</f>
        <v>0.1194385593220339</v>
      </c>
      <c r="N74">
        <f t="shared" si="11"/>
        <v>-4.3922320709745764</v>
      </c>
      <c r="O74">
        <f>E74-(SUM(K74:L74)*N74)</f>
        <v>55.283129999999801</v>
      </c>
      <c r="P74">
        <f>O74/(2*H74*J74)</f>
        <v>3.2682288455549477E-2</v>
      </c>
      <c r="Q74">
        <f>P74*16.02</f>
        <v>0.52357026105790261</v>
      </c>
      <c r="S74" s="6">
        <v>73.933636606903903</v>
      </c>
      <c r="T74" s="5" t="s">
        <v>45</v>
      </c>
      <c r="U74" s="4">
        <v>0.75855072038488358</v>
      </c>
      <c r="V74" s="6">
        <v>2.521566514046188E-2</v>
      </c>
    </row>
    <row r="75" spans="2:22" x14ac:dyDescent="0.2">
      <c r="C75">
        <v>100000</v>
      </c>
      <c r="D75">
        <v>694.05802300000005</v>
      </c>
      <c r="E75">
        <v>-16498.175851</v>
      </c>
      <c r="F75">
        <v>78229.886945999999</v>
      </c>
      <c r="G75">
        <v>0.39743000000000001</v>
      </c>
      <c r="H75">
        <v>30.760006000000001</v>
      </c>
      <c r="I75">
        <v>92.438828999999998</v>
      </c>
      <c r="J75">
        <v>27.512599000000002</v>
      </c>
      <c r="K75">
        <v>3337</v>
      </c>
      <c r="L75">
        <v>439</v>
      </c>
      <c r="M75">
        <f>L75/(L75+K75)</f>
        <v>0.11626059322033898</v>
      </c>
      <c r="N75">
        <f t="shared" si="11"/>
        <v>-4.3839003972457631</v>
      </c>
      <c r="O75">
        <f>E75-(SUM(K75:L75)*N75)</f>
        <v>55.432049000002735</v>
      </c>
      <c r="P75">
        <f>O75/(2*H75*J75)</f>
        <v>3.2750120511221441E-2</v>
      </c>
      <c r="Q75">
        <f>P75*16.02</f>
        <v>0.52465693058976748</v>
      </c>
      <c r="S75" s="2">
        <v>90</v>
      </c>
      <c r="U75" s="1">
        <v>0</v>
      </c>
    </row>
    <row r="76" spans="2:22" x14ac:dyDescent="0.2">
      <c r="C76">
        <v>100000</v>
      </c>
      <c r="D76">
        <v>694.204793</v>
      </c>
      <c r="E76">
        <v>-16517.026905999999</v>
      </c>
      <c r="F76">
        <v>78167.749202999999</v>
      </c>
      <c r="G76">
        <v>0.30571999999999999</v>
      </c>
      <c r="H76">
        <v>30.751860000000001</v>
      </c>
      <c r="I76">
        <v>92.414348000000004</v>
      </c>
      <c r="J76">
        <v>27.505313000000001</v>
      </c>
      <c r="K76">
        <v>3330</v>
      </c>
      <c r="L76">
        <v>446</v>
      </c>
      <c r="M76">
        <f>L76/(L76+K76)</f>
        <v>0.11811440677966102</v>
      </c>
      <c r="N76">
        <f t="shared" si="11"/>
        <v>-4.3887605402542373</v>
      </c>
      <c r="O76">
        <f>E76-(SUM(K76:L76)*N76)</f>
        <v>54.932894000001397</v>
      </c>
      <c r="P76">
        <f>O76/(2*H76*J76)</f>
        <v>3.2472408625289308E-2</v>
      </c>
      <c r="Q76">
        <f>P76*16.02</f>
        <v>0.52020798617713471</v>
      </c>
      <c r="T76" s="5" t="s">
        <v>46</v>
      </c>
      <c r="U76" s="6">
        <f>AVERAGE(U65:U74)</f>
        <v>0.77288489054365317</v>
      </c>
    </row>
    <row r="77" spans="2:22" x14ac:dyDescent="0.2">
      <c r="Q77" s="1">
        <f>AVERAGE(Q72:Q76)</f>
        <v>0.52326636241924229</v>
      </c>
      <c r="R77">
        <f>STDEV(Q72:Q76)</f>
        <v>2.254255986815859E-2</v>
      </c>
    </row>
    <row r="78" spans="2:22" x14ac:dyDescent="0.2">
      <c r="B78" t="s">
        <v>33</v>
      </c>
      <c r="C78">
        <v>100000</v>
      </c>
      <c r="D78">
        <v>743.69446700000003</v>
      </c>
      <c r="E78">
        <v>-28378.961782999999</v>
      </c>
      <c r="F78">
        <v>134427.857728</v>
      </c>
      <c r="G78">
        <v>0.31594800000000001</v>
      </c>
      <c r="H78">
        <v>40.266429000000002</v>
      </c>
      <c r="I78">
        <v>241.664568</v>
      </c>
      <c r="J78">
        <v>13.814432</v>
      </c>
      <c r="K78">
        <v>5744</v>
      </c>
      <c r="L78">
        <v>744</v>
      </c>
      <c r="M78">
        <f>L78/(L78+K78)</f>
        <v>0.11467324290998766</v>
      </c>
      <c r="N78">
        <f>-4.0791-2.6217*M78</f>
        <v>-4.3797388409371152</v>
      </c>
      <c r="O78">
        <f>E78-(SUM(K78:L78)*N78)</f>
        <v>36.783817000003182</v>
      </c>
      <c r="P78">
        <f>O78/(2*H78*J78)</f>
        <v>3.3063638841754152E-2</v>
      </c>
      <c r="Q78">
        <f>P78*16.02</f>
        <v>0.52967949424490146</v>
      </c>
      <c r="S78">
        <v>0</v>
      </c>
      <c r="T78" s="3" t="s">
        <v>66</v>
      </c>
      <c r="U78">
        <v>0</v>
      </c>
    </row>
    <row r="79" spans="2:22" x14ac:dyDescent="0.2">
      <c r="C79">
        <v>100000</v>
      </c>
      <c r="D79">
        <v>743.55819399999996</v>
      </c>
      <c r="E79">
        <v>-28369.994875</v>
      </c>
      <c r="F79">
        <v>134426.19526000001</v>
      </c>
      <c r="G79">
        <v>1.2467000000000001E-2</v>
      </c>
      <c r="H79">
        <v>40.266264</v>
      </c>
      <c r="I79">
        <v>241.66357600000001</v>
      </c>
      <c r="J79">
        <v>13.814375</v>
      </c>
      <c r="K79">
        <v>5746</v>
      </c>
      <c r="L79">
        <v>742</v>
      </c>
      <c r="M79">
        <f>L79/(L79+K79)</f>
        <v>0.11436498150431566</v>
      </c>
      <c r="N79">
        <f t="shared" ref="N79:N82" si="12">-4.0791-2.6217*M79</f>
        <v>-4.3789306720098651</v>
      </c>
      <c r="O79">
        <f>E79-(SUM(K79:L79)*N79)</f>
        <v>40.507325000005949</v>
      </c>
      <c r="P79">
        <f>O79/(2*H79*J79)</f>
        <v>3.6410864556134438E-2</v>
      </c>
      <c r="Q79">
        <f>P79*16.02</f>
        <v>0.58330205018927372</v>
      </c>
      <c r="S79" s="2">
        <v>12.68</v>
      </c>
      <c r="T79" s="3" t="s">
        <v>36</v>
      </c>
      <c r="U79" s="1">
        <v>1.0050420818008559</v>
      </c>
      <c r="V79">
        <v>0.2455090414933849</v>
      </c>
    </row>
    <row r="80" spans="2:22" x14ac:dyDescent="0.2">
      <c r="C80">
        <v>100000</v>
      </c>
      <c r="D80">
        <v>743.76934200000005</v>
      </c>
      <c r="E80">
        <v>-28492.096994</v>
      </c>
      <c r="F80">
        <v>134043.38773399999</v>
      </c>
      <c r="G80">
        <v>0.14835599999999999</v>
      </c>
      <c r="H80">
        <v>40.228005000000003</v>
      </c>
      <c r="I80">
        <v>241.43396100000001</v>
      </c>
      <c r="J80">
        <v>13.80125</v>
      </c>
      <c r="K80">
        <v>5697</v>
      </c>
      <c r="L80">
        <v>791</v>
      </c>
      <c r="M80">
        <f>L80/(L80+K80)</f>
        <v>0.1219173859432799</v>
      </c>
      <c r="N80">
        <f t="shared" si="12"/>
        <v>-4.3987308107274972</v>
      </c>
      <c r="O80">
        <f>E80-(SUM(K80:L80)*N80)</f>
        <v>46.868506000002526</v>
      </c>
      <c r="P80">
        <f>O80/(2*H80*J80)</f>
        <v>4.2208915723843478E-2</v>
      </c>
      <c r="Q80">
        <f>P80*16.02</f>
        <v>0.67618682989597245</v>
      </c>
      <c r="S80" s="6">
        <v>16.260000000000002</v>
      </c>
      <c r="T80" s="3" t="s">
        <v>37</v>
      </c>
      <c r="U80" s="1">
        <v>1.0534989546112274</v>
      </c>
      <c r="V80">
        <v>0.11319922100899207</v>
      </c>
    </row>
    <row r="81" spans="2:22" x14ac:dyDescent="0.2">
      <c r="C81">
        <v>100000</v>
      </c>
      <c r="D81">
        <v>743.90901299999996</v>
      </c>
      <c r="E81">
        <v>-28502.019910999999</v>
      </c>
      <c r="F81">
        <v>134019.550212</v>
      </c>
      <c r="G81">
        <v>0.26455499999999998</v>
      </c>
      <c r="H81">
        <v>40.225619999999999</v>
      </c>
      <c r="I81">
        <v>241.419646</v>
      </c>
      <c r="J81">
        <v>13.800431</v>
      </c>
      <c r="K81">
        <v>5695</v>
      </c>
      <c r="L81">
        <v>793</v>
      </c>
      <c r="M81">
        <f>L81/(L81+K81)</f>
        <v>0.12222564734895192</v>
      </c>
      <c r="N81">
        <f t="shared" si="12"/>
        <v>-4.3995389796547473</v>
      </c>
      <c r="O81">
        <f>E81-(SUM(K81:L81)*N81)</f>
        <v>42.188989000002039</v>
      </c>
      <c r="P81">
        <f>O81/(2*H81*J81)</f>
        <v>3.7999136342060633E-2</v>
      </c>
      <c r="Q81">
        <f>P81*16.02</f>
        <v>0.60874616419981131</v>
      </c>
      <c r="S81" s="2">
        <v>22.62</v>
      </c>
      <c r="T81" s="3" t="s">
        <v>38</v>
      </c>
      <c r="U81" s="1">
        <v>1.1958572845749351</v>
      </c>
      <c r="V81">
        <v>0.10891448973350885</v>
      </c>
    </row>
    <row r="82" spans="2:22" x14ac:dyDescent="0.2">
      <c r="C82">
        <v>100000</v>
      </c>
      <c r="D82">
        <v>743.91434000000004</v>
      </c>
      <c r="E82">
        <v>-28461.863875999999</v>
      </c>
      <c r="F82">
        <v>134140.06022000001</v>
      </c>
      <c r="G82">
        <v>0.14087</v>
      </c>
      <c r="H82">
        <v>40.237673999999998</v>
      </c>
      <c r="I82">
        <v>241.49198799999999</v>
      </c>
      <c r="J82">
        <v>13.804567</v>
      </c>
      <c r="K82">
        <v>5710</v>
      </c>
      <c r="L82">
        <v>778</v>
      </c>
      <c r="M82">
        <f>L82/(L82+K82)</f>
        <v>0.11991368680641183</v>
      </c>
      <c r="N82">
        <f t="shared" si="12"/>
        <v>-4.3934777127003706</v>
      </c>
      <c r="O82">
        <f>E82-(SUM(K82:L82)*N82)</f>
        <v>43.019524000006641</v>
      </c>
      <c r="P82">
        <f>O82/(2*H82*J82)</f>
        <v>3.8723976546389531E-2</v>
      </c>
      <c r="Q82">
        <f>P82*16.02</f>
        <v>0.62035810427316029</v>
      </c>
      <c r="S82" s="6">
        <v>27.6760219742164</v>
      </c>
      <c r="T82" s="5" t="s">
        <v>39</v>
      </c>
      <c r="U82" s="1">
        <v>1.1543292015054178</v>
      </c>
      <c r="V82">
        <v>0.10817598570140527</v>
      </c>
    </row>
    <row r="83" spans="2:22" x14ac:dyDescent="0.2">
      <c r="Q83" s="1">
        <f>AVERAGE(Q78:Q82)</f>
        <v>0.60365452856062374</v>
      </c>
      <c r="R83">
        <f>STDEV(Q78:Q82)</f>
        <v>5.3507938686556296E-2</v>
      </c>
      <c r="S83" s="2">
        <v>36.869999999999997</v>
      </c>
      <c r="T83" s="5" t="s">
        <v>40</v>
      </c>
      <c r="U83" s="1">
        <v>1.1066076615883551</v>
      </c>
      <c r="V83">
        <v>4.2644628163229857E-2</v>
      </c>
    </row>
    <row r="84" spans="2:22" x14ac:dyDescent="0.2">
      <c r="B84" t="s">
        <v>34</v>
      </c>
      <c r="C84">
        <v>100000</v>
      </c>
      <c r="D84">
        <v>743.62324599999999</v>
      </c>
      <c r="E84">
        <v>-14483.746784999999</v>
      </c>
      <c r="F84">
        <v>68083.814119999995</v>
      </c>
      <c r="G84">
        <v>0.48051500000000003</v>
      </c>
      <c r="H84">
        <v>24.845524000000001</v>
      </c>
      <c r="I84">
        <v>198.80809099999999</v>
      </c>
      <c r="J84">
        <v>13.783559</v>
      </c>
      <c r="K84">
        <v>2891</v>
      </c>
      <c r="L84">
        <v>405</v>
      </c>
      <c r="M84">
        <f>L84/(L84+K84)</f>
        <v>0.12287621359223301</v>
      </c>
      <c r="N84">
        <f>-4.0791-2.6217*M84</f>
        <v>-4.4012445691747573</v>
      </c>
      <c r="O84">
        <f>E84-(SUM(K84:L84)*N84)</f>
        <v>22.755315000000337</v>
      </c>
      <c r="P84">
        <f>O84/(2*H84*J84)</f>
        <v>3.3223342699075523E-2</v>
      </c>
      <c r="Q84">
        <f>P84*16.02</f>
        <v>0.53223795003918983</v>
      </c>
      <c r="S84" s="6">
        <v>46.145146311133402</v>
      </c>
      <c r="T84" s="5" t="s">
        <v>41</v>
      </c>
      <c r="U84" s="1">
        <v>1.2068383246113981</v>
      </c>
      <c r="V84">
        <v>0.11465386358971748</v>
      </c>
    </row>
    <row r="85" spans="2:22" x14ac:dyDescent="0.2">
      <c r="C85">
        <v>100000</v>
      </c>
      <c r="D85">
        <v>743.91612899999996</v>
      </c>
      <c r="E85">
        <v>-14417.337278999999</v>
      </c>
      <c r="F85">
        <v>68265.863251999996</v>
      </c>
      <c r="G85">
        <v>1.3833E-2</v>
      </c>
      <c r="H85">
        <v>24.867650000000001</v>
      </c>
      <c r="I85">
        <v>198.98513199999999</v>
      </c>
      <c r="J85">
        <v>13.795833999999999</v>
      </c>
      <c r="K85">
        <v>2916</v>
      </c>
      <c r="L85">
        <v>380</v>
      </c>
      <c r="M85">
        <f>L85/(L85+K85)</f>
        <v>0.11529126213592233</v>
      </c>
      <c r="N85">
        <f t="shared" ref="N85:N88" si="13">-4.0791-2.6217*M85</f>
        <v>-4.3813591019417482</v>
      </c>
      <c r="O85">
        <f>E85-(SUM(K85:L85)*N85)</f>
        <v>23.622321000002557</v>
      </c>
      <c r="P85">
        <f>O85/(2*H85*J85)</f>
        <v>3.4427847044822039E-2</v>
      </c>
      <c r="Q85">
        <f>P85*16.02</f>
        <v>0.55153410965804905</v>
      </c>
      <c r="S85" s="2">
        <v>53.13</v>
      </c>
      <c r="T85" s="5" t="s">
        <v>42</v>
      </c>
      <c r="U85" s="1">
        <v>1.1379887245477711</v>
      </c>
      <c r="V85">
        <v>8.1157063096531659E-2</v>
      </c>
    </row>
    <row r="86" spans="2:22" x14ac:dyDescent="0.2">
      <c r="C86">
        <v>100000</v>
      </c>
      <c r="D86">
        <v>743.880087</v>
      </c>
      <c r="E86">
        <v>-14467.924564000001</v>
      </c>
      <c r="F86">
        <v>68116.172820000007</v>
      </c>
      <c r="G86">
        <v>-8.6760000000000004E-2</v>
      </c>
      <c r="H86">
        <v>24.849460000000001</v>
      </c>
      <c r="I86">
        <v>198.839584</v>
      </c>
      <c r="J86">
        <v>13.785743</v>
      </c>
      <c r="K86">
        <v>2898</v>
      </c>
      <c r="L86">
        <v>398</v>
      </c>
      <c r="M86">
        <f>L86/(L86+K86)</f>
        <v>0.12075242718446602</v>
      </c>
      <c r="N86">
        <f t="shared" si="13"/>
        <v>-4.3956766383495154</v>
      </c>
      <c r="O86">
        <f>E86-(SUM(K86:L86)*N86)</f>
        <v>20.225636000001032</v>
      </c>
      <c r="P86">
        <f>O86/(2*H86*J86)</f>
        <v>2.9520591682869447E-2</v>
      </c>
      <c r="Q86">
        <f>P86*16.02</f>
        <v>0.47291987875956853</v>
      </c>
      <c r="S86" s="2">
        <v>61.71</v>
      </c>
      <c r="T86" s="5" t="s">
        <v>43</v>
      </c>
      <c r="U86" s="1">
        <v>1.2881508247173781</v>
      </c>
      <c r="V86">
        <v>0.13851771490672754</v>
      </c>
    </row>
    <row r="87" spans="2:22" x14ac:dyDescent="0.2">
      <c r="C87">
        <v>100000</v>
      </c>
      <c r="D87">
        <v>743.57790999999997</v>
      </c>
      <c r="E87">
        <v>-14500.356322</v>
      </c>
      <c r="F87">
        <v>68007.163633000004</v>
      </c>
      <c r="G87">
        <v>7.3688000000000003E-2</v>
      </c>
      <c r="H87">
        <v>24.836196999999999</v>
      </c>
      <c r="I87">
        <v>198.73345699999999</v>
      </c>
      <c r="J87">
        <v>13.778385</v>
      </c>
      <c r="K87">
        <v>2884</v>
      </c>
      <c r="L87">
        <v>412</v>
      </c>
      <c r="M87">
        <f>L87/(L87+K87)</f>
        <v>0.125</v>
      </c>
      <c r="N87">
        <f t="shared" si="13"/>
        <v>-4.4068125</v>
      </c>
      <c r="O87">
        <f>E87-(SUM(K87:L87)*N87)</f>
        <v>24.497677999999723</v>
      </c>
      <c r="P87">
        <f>O87/(2*H87*J87)</f>
        <v>3.5794105556387165E-2</v>
      </c>
      <c r="Q87">
        <f>P87*16.02</f>
        <v>0.57342157101332236</v>
      </c>
      <c r="S87" s="6">
        <v>67.724661178359398</v>
      </c>
      <c r="T87" s="5" t="s">
        <v>44</v>
      </c>
      <c r="U87" s="1">
        <v>1.2507758179712294</v>
      </c>
      <c r="V87">
        <v>0.1111305384763773</v>
      </c>
    </row>
    <row r="88" spans="2:22" x14ac:dyDescent="0.2">
      <c r="C88">
        <v>100000</v>
      </c>
      <c r="D88">
        <v>743.75752799999998</v>
      </c>
      <c r="E88">
        <v>-14432.342015</v>
      </c>
      <c r="F88">
        <v>68211.446614</v>
      </c>
      <c r="G88">
        <v>-1.5862999999999999E-2</v>
      </c>
      <c r="H88">
        <v>24.861039999999999</v>
      </c>
      <c r="I88">
        <v>198.93224699999999</v>
      </c>
      <c r="J88">
        <v>13.792166999999999</v>
      </c>
      <c r="K88">
        <v>2911</v>
      </c>
      <c r="L88">
        <v>385</v>
      </c>
      <c r="M88">
        <f>L88/(L88+K88)</f>
        <v>0.11680825242718447</v>
      </c>
      <c r="N88">
        <f t="shared" si="13"/>
        <v>-4.3853361953883496</v>
      </c>
      <c r="O88">
        <f>E88-(SUM(K88:L88)*N88)</f>
        <v>21.726085000000239</v>
      </c>
      <c r="P88">
        <f>O88/(2*H88*J88)</f>
        <v>3.1681058194514951E-2</v>
      </c>
      <c r="Q88">
        <f>P88*16.02</f>
        <v>0.50753055227612953</v>
      </c>
      <c r="S88" s="6">
        <v>73.933636606903903</v>
      </c>
      <c r="T88" s="5" t="s">
        <v>45</v>
      </c>
      <c r="U88" s="1">
        <v>1.051906446855456</v>
      </c>
      <c r="V88">
        <v>7.5691363434183742E-2</v>
      </c>
    </row>
    <row r="89" spans="2:22" x14ac:dyDescent="0.2">
      <c r="Q89" s="1">
        <f>AVERAGE(Q84:Q88)</f>
        <v>0.52752881234925186</v>
      </c>
      <c r="R89">
        <f>STDEV(Q84:Q88)</f>
        <v>3.9008465774174717E-2</v>
      </c>
      <c r="S89" s="2">
        <v>90</v>
      </c>
      <c r="U89" s="1">
        <v>0</v>
      </c>
    </row>
    <row r="90" spans="2:22" x14ac:dyDescent="0.2">
      <c r="B90" t="s">
        <v>35</v>
      </c>
      <c r="C90">
        <v>100000</v>
      </c>
      <c r="D90">
        <v>744.05906800000002</v>
      </c>
      <c r="E90">
        <v>-20770.547334999999</v>
      </c>
      <c r="F90">
        <v>98462.852178999994</v>
      </c>
      <c r="G90">
        <v>0.29048299999999999</v>
      </c>
      <c r="H90">
        <v>34.489507000000003</v>
      </c>
      <c r="I90">
        <v>206.93704399999999</v>
      </c>
      <c r="J90">
        <v>13.795802999999999</v>
      </c>
      <c r="K90">
        <v>4213</v>
      </c>
      <c r="L90">
        <v>539</v>
      </c>
      <c r="M90">
        <f>L90/(L90+K90)</f>
        <v>0.11342592592592593</v>
      </c>
      <c r="N90">
        <f>-4.0791-2.6217*M90</f>
        <v>-4.3764687500000008</v>
      </c>
      <c r="O90">
        <f>E90-(SUM(K90:L90)*N90)</f>
        <v>26.432165000005625</v>
      </c>
      <c r="P90">
        <f>O90/(2*H90*J90)</f>
        <v>2.7775940319919909E-2</v>
      </c>
      <c r="Q90">
        <f>P90*16.02</f>
        <v>0.44497056392511691</v>
      </c>
      <c r="T90" s="5" t="s">
        <v>46</v>
      </c>
      <c r="U90" s="6">
        <f>AVERAGE(U79:U88)</f>
        <v>1.1450995322784023</v>
      </c>
    </row>
    <row r="91" spans="2:22" x14ac:dyDescent="0.2">
      <c r="C91">
        <v>100000</v>
      </c>
      <c r="D91">
        <v>743.76026999999999</v>
      </c>
      <c r="E91">
        <v>-20852.490634999998</v>
      </c>
      <c r="F91">
        <v>98229.467321999997</v>
      </c>
      <c r="G91">
        <v>-0.31067600000000001</v>
      </c>
      <c r="H91">
        <v>34.462237000000002</v>
      </c>
      <c r="I91">
        <v>206.77342100000001</v>
      </c>
      <c r="J91">
        <v>13.784895000000001</v>
      </c>
      <c r="K91">
        <v>4180</v>
      </c>
      <c r="L91">
        <v>572</v>
      </c>
      <c r="M91">
        <f>L91/(L91+K91)</f>
        <v>0.12037037037037036</v>
      </c>
      <c r="N91">
        <f t="shared" ref="N91:N94" si="14">-4.0791-2.6217*M91</f>
        <v>-4.3946750000000003</v>
      </c>
      <c r="O91">
        <f>E91-(SUM(K91:L91)*N91)</f>
        <v>31.004965000003722</v>
      </c>
      <c r="P91">
        <f>O91/(2*H91*J91)</f>
        <v>3.2632798744838272E-2</v>
      </c>
      <c r="Q91">
        <f>P91*16.02</f>
        <v>0.52277743589230907</v>
      </c>
    </row>
    <row r="92" spans="2:22" x14ac:dyDescent="0.2">
      <c r="C92">
        <v>100000</v>
      </c>
      <c r="D92">
        <v>743.94275000000005</v>
      </c>
      <c r="E92">
        <v>-20843.35903</v>
      </c>
      <c r="F92">
        <v>98235.197480000003</v>
      </c>
      <c r="G92">
        <v>9.3646999999999994E-2</v>
      </c>
      <c r="H92">
        <v>34.462905999999997</v>
      </c>
      <c r="I92">
        <v>206.77743799999999</v>
      </c>
      <c r="J92">
        <v>13.785163000000001</v>
      </c>
      <c r="K92">
        <v>4184</v>
      </c>
      <c r="L92">
        <v>568</v>
      </c>
      <c r="M92">
        <f>L92/(L92+K92)</f>
        <v>0.11952861952861953</v>
      </c>
      <c r="N92">
        <f t="shared" si="14"/>
        <v>-4.3924681818181819</v>
      </c>
      <c r="O92">
        <f>E92-(SUM(K92:L92)*N92)</f>
        <v>29.64976999999999</v>
      </c>
      <c r="P92">
        <f>O92/(2*H92*J92)</f>
        <v>3.1205240348961539E-2</v>
      </c>
      <c r="Q92">
        <f>P92*16.02</f>
        <v>0.49990795039036384</v>
      </c>
    </row>
    <row r="93" spans="2:22" x14ac:dyDescent="0.2">
      <c r="C93">
        <v>100000</v>
      </c>
      <c r="D93">
        <v>743.73741500000006</v>
      </c>
      <c r="E93">
        <v>-20790.061525000001</v>
      </c>
      <c r="F93">
        <v>98388.218217000001</v>
      </c>
      <c r="G93">
        <v>0.280277</v>
      </c>
      <c r="H93">
        <v>34.480791000000004</v>
      </c>
      <c r="I93">
        <v>206.884749</v>
      </c>
      <c r="J93">
        <v>13.792317000000001</v>
      </c>
      <c r="K93">
        <v>4206</v>
      </c>
      <c r="L93">
        <v>546</v>
      </c>
      <c r="M93">
        <f>L93/(L93+K93)</f>
        <v>0.1148989898989899</v>
      </c>
      <c r="N93">
        <f t="shared" si="14"/>
        <v>-4.3803306818181822</v>
      </c>
      <c r="O93">
        <f>E93-(SUM(K93:L93)*N93)</f>
        <v>25.269875000001775</v>
      </c>
      <c r="P93">
        <f>O93/(2*H93*J93)</f>
        <v>2.6567986843400681E-2</v>
      </c>
      <c r="Q93">
        <f>P93*16.02</f>
        <v>0.42561914923127891</v>
      </c>
    </row>
    <row r="94" spans="2:22" x14ac:dyDescent="0.2">
      <c r="C94">
        <v>100000</v>
      </c>
      <c r="D94">
        <v>743.70360600000004</v>
      </c>
      <c r="E94">
        <v>-20851.773073</v>
      </c>
      <c r="F94">
        <v>98198.961282000004</v>
      </c>
      <c r="G94">
        <v>4.9912999999999999E-2</v>
      </c>
      <c r="H94">
        <v>34.458668000000003</v>
      </c>
      <c r="I94">
        <v>206.75201000000001</v>
      </c>
      <c r="J94">
        <v>13.783467</v>
      </c>
      <c r="K94">
        <v>4181</v>
      </c>
      <c r="L94">
        <v>571</v>
      </c>
      <c r="M94">
        <f>L94/(L94+K94)</f>
        <v>0.12015993265993266</v>
      </c>
      <c r="N94">
        <f t="shared" si="14"/>
        <v>-4.3941232954545457</v>
      </c>
      <c r="O94">
        <f>E94-(SUM(K94:L94)*N94)</f>
        <v>29.100827000002027</v>
      </c>
      <c r="P94">
        <f>O94/(2*H94*J94)</f>
        <v>3.0635034861539321E-2</v>
      </c>
      <c r="Q94">
        <f>P94*16.02</f>
        <v>0.49077325848185993</v>
      </c>
    </row>
    <row r="95" spans="2:22" x14ac:dyDescent="0.2">
      <c r="Q95" s="1">
        <f>AVERAGE(Q90:Q94)</f>
        <v>0.47680967158418575</v>
      </c>
      <c r="R95">
        <f>STDEV(Q90:Q94)</f>
        <v>4.0236009847005337E-2</v>
      </c>
    </row>
    <row r="96" spans="2:22" x14ac:dyDescent="0.2">
      <c r="B96" t="s">
        <v>26</v>
      </c>
      <c r="M96" t="e">
        <f>L96/(L96+K96)</f>
        <v>#DIV/0!</v>
      </c>
      <c r="N96" t="e">
        <f>-4.0791-2.6217*M96</f>
        <v>#DIV/0!</v>
      </c>
      <c r="O96" t="e">
        <f>E96-(SUM(K96:L96)*N96)</f>
        <v>#DIV/0!</v>
      </c>
      <c r="P96" t="e">
        <f>O96/(2*H96*J96)</f>
        <v>#DIV/0!</v>
      </c>
      <c r="Q96" t="e">
        <f>P96*16.02</f>
        <v>#DIV/0!</v>
      </c>
    </row>
    <row r="97" spans="2:20" x14ac:dyDescent="0.2">
      <c r="M97" t="e">
        <f>L97/(L97+K97)</f>
        <v>#DIV/0!</v>
      </c>
      <c r="N97" t="e">
        <f t="shared" ref="N97:N100" si="15">-4.0791-2.6217*M97</f>
        <v>#DIV/0!</v>
      </c>
      <c r="O97" t="e">
        <f>E97-(SUM(K97:L97)*N97)</f>
        <v>#DIV/0!</v>
      </c>
      <c r="P97" t="e">
        <f>O97/(2*H97*J97)</f>
        <v>#DIV/0!</v>
      </c>
      <c r="Q97" t="e">
        <f>P97*16.02</f>
        <v>#DIV/0!</v>
      </c>
    </row>
    <row r="98" spans="2:20" x14ac:dyDescent="0.2">
      <c r="M98" t="e">
        <f>L98/(L98+K98)</f>
        <v>#DIV/0!</v>
      </c>
      <c r="N98" t="e">
        <f t="shared" si="15"/>
        <v>#DIV/0!</v>
      </c>
      <c r="O98" t="e">
        <f>E98-(SUM(K98:L98)*N98)</f>
        <v>#DIV/0!</v>
      </c>
      <c r="P98" t="e">
        <f>O98/(2*H98*J98)</f>
        <v>#DIV/0!</v>
      </c>
      <c r="Q98" t="e">
        <f>P98*16.02</f>
        <v>#DIV/0!</v>
      </c>
    </row>
    <row r="99" spans="2:20" x14ac:dyDescent="0.2">
      <c r="M99" t="e">
        <f>L99/(L99+K99)</f>
        <v>#DIV/0!</v>
      </c>
      <c r="N99" t="e">
        <f t="shared" si="15"/>
        <v>#DIV/0!</v>
      </c>
      <c r="O99" t="e">
        <f>E99-(SUM(K99:L99)*N99)</f>
        <v>#DIV/0!</v>
      </c>
      <c r="P99" t="e">
        <f>O99/(2*H99*J99)</f>
        <v>#DIV/0!</v>
      </c>
      <c r="Q99" t="e">
        <f>P99*16.02</f>
        <v>#DIV/0!</v>
      </c>
    </row>
    <row r="100" spans="2:20" x14ac:dyDescent="0.2">
      <c r="M100" t="e">
        <f>L100/(L100+K100)</f>
        <v>#DIV/0!</v>
      </c>
      <c r="N100" t="e">
        <f t="shared" si="15"/>
        <v>#DIV/0!</v>
      </c>
      <c r="O100" t="e">
        <f>E100-(SUM(K100:L100)*N100)</f>
        <v>#DIV/0!</v>
      </c>
      <c r="P100" t="e">
        <f>O100/(2*H100*J100)</f>
        <v>#DIV/0!</v>
      </c>
      <c r="Q100" t="e">
        <f>P100*16.02</f>
        <v>#DIV/0!</v>
      </c>
    </row>
    <row r="101" spans="2:20" x14ac:dyDescent="0.2">
      <c r="Q101" s="1" t="e">
        <f>AVERAGE(Q96:Q100)</f>
        <v>#DIV/0!</v>
      </c>
      <c r="R101" t="e">
        <f>STDEV(Q96:Q100)</f>
        <v>#DIV/0!</v>
      </c>
    </row>
    <row r="102" spans="2:20" x14ac:dyDescent="0.2">
      <c r="B102" t="s">
        <v>64</v>
      </c>
    </row>
    <row r="103" spans="2:20" x14ac:dyDescent="0.2">
      <c r="C103" t="s">
        <v>52</v>
      </c>
      <c r="D103" t="s">
        <v>13</v>
      </c>
      <c r="E103" t="s">
        <v>4</v>
      </c>
      <c r="F103" t="s">
        <v>5</v>
      </c>
      <c r="G103" t="s">
        <v>14</v>
      </c>
      <c r="H103" t="s">
        <v>15</v>
      </c>
      <c r="I103" t="s">
        <v>16</v>
      </c>
      <c r="J103" t="s">
        <v>17</v>
      </c>
      <c r="K103" t="s">
        <v>18</v>
      </c>
      <c r="L103" t="s">
        <v>19</v>
      </c>
      <c r="M103" t="s">
        <v>9</v>
      </c>
      <c r="N103" t="s">
        <v>20</v>
      </c>
      <c r="O103" t="s">
        <v>8</v>
      </c>
      <c r="P103" t="s">
        <v>21</v>
      </c>
      <c r="Q103" t="s">
        <v>21</v>
      </c>
    </row>
    <row r="104" spans="2:20" x14ac:dyDescent="0.2">
      <c r="B104" t="s">
        <v>25</v>
      </c>
      <c r="C104">
        <v>100000</v>
      </c>
      <c r="D104">
        <v>694.134141</v>
      </c>
      <c r="E104">
        <v>-18276.261156</v>
      </c>
      <c r="F104">
        <v>77518.694455999997</v>
      </c>
      <c r="G104">
        <v>0.40625899999999998</v>
      </c>
      <c r="H104">
        <v>30.806815</v>
      </c>
      <c r="I104">
        <v>184.88423399999999</v>
      </c>
      <c r="J104">
        <v>13.610046000000001</v>
      </c>
      <c r="K104">
        <v>2986</v>
      </c>
      <c r="L104">
        <v>918</v>
      </c>
      <c r="M104">
        <f>L104/(L104+K104)</f>
        <v>0.23514344262295081</v>
      </c>
      <c r="N104">
        <f>-4.0874-2.556*M104</f>
        <v>-4.6884266393442617</v>
      </c>
      <c r="O104">
        <f>E104-(SUM(K104:L104)*N104)</f>
        <v>27.356443999997282</v>
      </c>
      <c r="P104">
        <f>O104/(2*H104*J104)</f>
        <v>3.2622951803616573E-2</v>
      </c>
      <c r="Q104">
        <f>P104*16.02</f>
        <v>0.52261968789393753</v>
      </c>
      <c r="T104" s="19"/>
    </row>
    <row r="105" spans="2:20" x14ac:dyDescent="0.2">
      <c r="C105">
        <v>100000</v>
      </c>
      <c r="D105">
        <v>694.04558799999995</v>
      </c>
      <c r="E105">
        <v>-18143.795961</v>
      </c>
      <c r="F105">
        <v>77844.441879999998</v>
      </c>
      <c r="G105">
        <v>0.137603</v>
      </c>
      <c r="H105">
        <v>30.849906000000001</v>
      </c>
      <c r="I105">
        <v>185.142844</v>
      </c>
      <c r="J105">
        <v>13.629083</v>
      </c>
      <c r="K105">
        <v>3038</v>
      </c>
      <c r="L105">
        <v>866</v>
      </c>
      <c r="M105">
        <f>L105/(L105+K105)</f>
        <v>0.22182377049180327</v>
      </c>
      <c r="N105">
        <f t="shared" ref="N105:N108" si="16">-4.0874-2.556*M105</f>
        <v>-4.6543815573770484</v>
      </c>
      <c r="O105">
        <f>E105-(SUM(K105:L105)*N105)</f>
        <v>26.909638999997696</v>
      </c>
      <c r="P105">
        <f>O105/(2*H105*J105)</f>
        <v>3.2000546451279283E-2</v>
      </c>
      <c r="Q105">
        <f>P105*16.02</f>
        <v>0.51264875414949407</v>
      </c>
    </row>
    <row r="106" spans="2:20" x14ac:dyDescent="0.2">
      <c r="C106">
        <v>100000</v>
      </c>
      <c r="D106">
        <v>694.01690900000006</v>
      </c>
      <c r="E106">
        <v>-18025.319224999999</v>
      </c>
      <c r="F106">
        <v>78158.737391000002</v>
      </c>
      <c r="G106">
        <v>0.33008900000000002</v>
      </c>
      <c r="H106">
        <v>30.891369000000001</v>
      </c>
      <c r="I106">
        <v>185.39168000000001</v>
      </c>
      <c r="J106">
        <v>13.647401</v>
      </c>
      <c r="K106">
        <v>3084</v>
      </c>
      <c r="L106">
        <v>820</v>
      </c>
      <c r="M106">
        <f>L106/(L106+K106)</f>
        <v>0.21004098360655737</v>
      </c>
      <c r="N106">
        <f t="shared" si="16"/>
        <v>-4.6242647540983608</v>
      </c>
      <c r="O106">
        <f>E106-(SUM(K106:L106)*N106)</f>
        <v>27.810375000000931</v>
      </c>
      <c r="P106">
        <f>O106/(2*H106*J106)</f>
        <v>3.298296862164974E-2</v>
      </c>
      <c r="Q106">
        <f>P106*16.02</f>
        <v>0.52838715731882879</v>
      </c>
    </row>
    <row r="107" spans="2:20" x14ac:dyDescent="0.2">
      <c r="C107">
        <v>100000</v>
      </c>
      <c r="D107">
        <v>693.98412800000006</v>
      </c>
      <c r="E107">
        <v>-18063.789379999998</v>
      </c>
      <c r="F107">
        <v>78090.735044999994</v>
      </c>
      <c r="G107">
        <v>0.36765900000000001</v>
      </c>
      <c r="H107">
        <v>30.882408000000002</v>
      </c>
      <c r="I107">
        <v>185.337896</v>
      </c>
      <c r="J107">
        <v>13.643440999999999</v>
      </c>
      <c r="K107">
        <v>3066</v>
      </c>
      <c r="L107">
        <v>838</v>
      </c>
      <c r="M107">
        <f>L107/(L107+K107)</f>
        <v>0.21465163934426229</v>
      </c>
      <c r="N107">
        <f t="shared" si="16"/>
        <v>-4.6360495901639345</v>
      </c>
      <c r="O107">
        <f>E107-(SUM(K107:L107)*N107)</f>
        <v>35.348220000003494</v>
      </c>
      <c r="P107">
        <f>O107/(2*H107*J107)</f>
        <v>4.1947152038140437E-2</v>
      </c>
      <c r="Q107">
        <f>P107*16.02</f>
        <v>0.67199337565100981</v>
      </c>
    </row>
    <row r="108" spans="2:20" x14ac:dyDescent="0.2">
      <c r="C108">
        <v>100000</v>
      </c>
      <c r="D108">
        <v>694.193895</v>
      </c>
      <c r="E108">
        <v>-18208.728241000001</v>
      </c>
      <c r="F108">
        <v>77701.851242999997</v>
      </c>
      <c r="G108">
        <v>0.21826799999999999</v>
      </c>
      <c r="H108">
        <v>30.831059</v>
      </c>
      <c r="I108">
        <v>185.029731</v>
      </c>
      <c r="J108">
        <v>13.620756</v>
      </c>
      <c r="K108">
        <v>3011</v>
      </c>
      <c r="L108">
        <v>893</v>
      </c>
      <c r="M108">
        <f>L108/(L108+K108)</f>
        <v>0.22873975409836064</v>
      </c>
      <c r="N108">
        <f t="shared" si="16"/>
        <v>-4.6720588114754094</v>
      </c>
      <c r="O108">
        <f>E108-(SUM(K108:L108)*N108)</f>
        <v>30.989358999995602</v>
      </c>
      <c r="P108">
        <f>O108/(2*H108*J108)</f>
        <v>3.6897160215658177E-2</v>
      </c>
      <c r="Q108">
        <f>P108*16.02</f>
        <v>0.59109250665484403</v>
      </c>
    </row>
    <row r="109" spans="2:20" x14ac:dyDescent="0.2">
      <c r="Q109" s="1">
        <f>AVERAGE(Q104:Q108)</f>
        <v>0.56534829633362282</v>
      </c>
      <c r="R109">
        <f>STDEV(Q104:Q108)</f>
        <v>6.7091427974360185E-2</v>
      </c>
    </row>
    <row r="110" spans="2:20" x14ac:dyDescent="0.2">
      <c r="B110" t="s">
        <v>30</v>
      </c>
      <c r="C110">
        <v>100000</v>
      </c>
      <c r="D110">
        <v>743.55809399999998</v>
      </c>
      <c r="E110">
        <v>-14744.333631</v>
      </c>
      <c r="F110">
        <v>63126.342260999998</v>
      </c>
      <c r="G110">
        <v>0.449355</v>
      </c>
      <c r="H110">
        <v>24.069216999999998</v>
      </c>
      <c r="I110">
        <v>192.59710799999999</v>
      </c>
      <c r="J110">
        <v>13.617539000000001</v>
      </c>
      <c r="K110">
        <v>2458</v>
      </c>
      <c r="L110">
        <v>710</v>
      </c>
      <c r="M110">
        <f>L110/(L110+K110)</f>
        <v>0.22411616161616163</v>
      </c>
      <c r="N110">
        <f>-4.0874-2.556*M110</f>
        <v>-4.6602409090909092</v>
      </c>
      <c r="O110">
        <f>E110-(SUM(K110:L110)*N110)</f>
        <v>19.30956900000092</v>
      </c>
      <c r="P110">
        <f>O110/(2*H110*J110)</f>
        <v>2.9456557745880952E-2</v>
      </c>
      <c r="Q110">
        <f>P110*16.02</f>
        <v>0.47189405508901283</v>
      </c>
    </row>
    <row r="111" spans="2:20" x14ac:dyDescent="0.2">
      <c r="C111">
        <v>100000</v>
      </c>
      <c r="D111">
        <v>743.65520600000002</v>
      </c>
      <c r="E111">
        <v>-14661.320039</v>
      </c>
      <c r="F111">
        <v>63352.261854999997</v>
      </c>
      <c r="G111">
        <v>7.4499999999999997E-2</v>
      </c>
      <c r="H111">
        <v>24.097897</v>
      </c>
      <c r="I111">
        <v>192.826595</v>
      </c>
      <c r="J111">
        <v>13.633765</v>
      </c>
      <c r="K111">
        <v>2490</v>
      </c>
      <c r="L111">
        <v>678</v>
      </c>
      <c r="M111">
        <f>L111/(L111+K111)</f>
        <v>0.21401515151515152</v>
      </c>
      <c r="N111">
        <f t="shared" ref="N111:N114" si="17">-4.0874-2.556*M111</f>
        <v>-4.6344227272727272</v>
      </c>
      <c r="O111">
        <f>E111-(SUM(K111:L111)*N111)</f>
        <v>20.531160999998974</v>
      </c>
      <c r="P111">
        <f>O111/(2*H111*J111)</f>
        <v>3.1245578166321626E-2</v>
      </c>
      <c r="Q111">
        <f>P111*16.02</f>
        <v>0.50055416222447247</v>
      </c>
    </row>
    <row r="112" spans="2:20" x14ac:dyDescent="0.2">
      <c r="C112">
        <v>100000</v>
      </c>
      <c r="D112">
        <v>743.76161400000001</v>
      </c>
      <c r="E112">
        <v>-14741.363456999999</v>
      </c>
      <c r="F112">
        <v>63158.372748000002</v>
      </c>
      <c r="G112">
        <v>0.48979699999999998</v>
      </c>
      <c r="H112">
        <v>24.073288000000002</v>
      </c>
      <c r="I112">
        <v>192.62968000000001</v>
      </c>
      <c r="J112">
        <v>13.619842</v>
      </c>
      <c r="K112">
        <v>2458</v>
      </c>
      <c r="L112">
        <v>710</v>
      </c>
      <c r="M112">
        <f>L112/(L112+K112)</f>
        <v>0.22411616161616163</v>
      </c>
      <c r="N112">
        <f t="shared" si="17"/>
        <v>-4.6602409090909092</v>
      </c>
      <c r="O112">
        <f>E112-(SUM(K112:L112)*N112)</f>
        <v>22.279743000000963</v>
      </c>
      <c r="P112">
        <f>O112/(2*H112*J112)</f>
        <v>3.3976035378669063E-2</v>
      </c>
      <c r="Q112">
        <f>P112*16.02</f>
        <v>0.54429608676627839</v>
      </c>
    </row>
    <row r="113" spans="2:18" x14ac:dyDescent="0.2">
      <c r="C113">
        <v>100000</v>
      </c>
      <c r="D113">
        <v>743.58007799999996</v>
      </c>
      <c r="E113">
        <v>-14794.419496</v>
      </c>
      <c r="F113">
        <v>62999.344357000002</v>
      </c>
      <c r="G113">
        <v>-0.105619</v>
      </c>
      <c r="H113">
        <v>24.053066999999999</v>
      </c>
      <c r="I113">
        <v>192.467872</v>
      </c>
      <c r="J113">
        <v>13.608402</v>
      </c>
      <c r="K113">
        <v>2435</v>
      </c>
      <c r="L113">
        <v>733</v>
      </c>
      <c r="M113">
        <f>L113/(L113+K113)</f>
        <v>0.23137626262626262</v>
      </c>
      <c r="N113">
        <f t="shared" si="17"/>
        <v>-4.6787977272727268</v>
      </c>
      <c r="O113">
        <f>E113-(SUM(K113:L113)*N113)</f>
        <v>28.011703999998645</v>
      </c>
      <c r="P113">
        <f>O113/(2*H113*J113)</f>
        <v>4.2788980767988156E-2</v>
      </c>
      <c r="Q113">
        <f>P113*16.02</f>
        <v>0.68547947190317027</v>
      </c>
    </row>
    <row r="114" spans="2:18" x14ac:dyDescent="0.2">
      <c r="C114">
        <v>100000</v>
      </c>
      <c r="D114">
        <v>743.31540299999995</v>
      </c>
      <c r="E114">
        <v>-14605.116356</v>
      </c>
      <c r="F114">
        <v>63499.975178000001</v>
      </c>
      <c r="G114">
        <v>7.5750999999999999E-2</v>
      </c>
      <c r="H114">
        <v>24.116612</v>
      </c>
      <c r="I114">
        <v>192.976348</v>
      </c>
      <c r="J114">
        <v>13.644353000000001</v>
      </c>
      <c r="K114">
        <v>2513</v>
      </c>
      <c r="L114">
        <v>655</v>
      </c>
      <c r="M114">
        <f>L114/(L114+K114)</f>
        <v>0.2067550505050505</v>
      </c>
      <c r="N114">
        <f t="shared" si="17"/>
        <v>-4.6158659090909087</v>
      </c>
      <c r="O114">
        <f>E114-(SUM(K114:L114)*N114)</f>
        <v>17.946843999998237</v>
      </c>
      <c r="P114">
        <f>O114/(2*H114*J114)</f>
        <v>2.7270233030384283E-2</v>
      </c>
      <c r="Q114">
        <f>P114*16.02</f>
        <v>0.43686913314675618</v>
      </c>
    </row>
    <row r="115" spans="2:18" x14ac:dyDescent="0.2">
      <c r="Q115" s="1">
        <f>AVERAGE(Q110:Q114)</f>
        <v>0.52781858182593799</v>
      </c>
      <c r="R115">
        <f>STDEV(Q110:Q114)</f>
        <v>9.6528710639639692E-2</v>
      </c>
    </row>
    <row r="116" spans="2:18" x14ac:dyDescent="0.2">
      <c r="B116" t="s">
        <v>24</v>
      </c>
      <c r="C116">
        <v>100000</v>
      </c>
      <c r="D116">
        <v>743.71655199999998</v>
      </c>
      <c r="E116">
        <v>-11500.094808</v>
      </c>
      <c r="F116">
        <v>49286.776295000003</v>
      </c>
      <c r="G116">
        <v>0.31837399999999999</v>
      </c>
      <c r="H116">
        <v>34.726225999999997</v>
      </c>
      <c r="I116">
        <v>138.926593</v>
      </c>
      <c r="J116">
        <v>10.216148</v>
      </c>
      <c r="K116">
        <v>1914</v>
      </c>
      <c r="L116">
        <v>558</v>
      </c>
      <c r="M116">
        <f>L116/(L116+K116)</f>
        <v>0.22572815533980584</v>
      </c>
      <c r="N116">
        <f>-4.0874-2.556*M116</f>
        <v>-4.6643611650485433</v>
      </c>
      <c r="O116">
        <f>E116-(SUM(K116:L116)*N116)</f>
        <v>30.205991999999242</v>
      </c>
      <c r="P116">
        <f>O116/(2*H116*J116)</f>
        <v>4.2571440345455569E-2</v>
      </c>
      <c r="Q116">
        <f>P116*16.02</f>
        <v>0.68199447433419824</v>
      </c>
    </row>
    <row r="117" spans="2:18" x14ac:dyDescent="0.2">
      <c r="C117">
        <v>100000</v>
      </c>
      <c r="D117">
        <v>743.76789499999995</v>
      </c>
      <c r="E117">
        <v>-11447.212377</v>
      </c>
      <c r="F117">
        <v>49421.126035000001</v>
      </c>
      <c r="G117">
        <v>0.312442</v>
      </c>
      <c r="H117">
        <v>34.757750000000001</v>
      </c>
      <c r="I117">
        <v>139.05270899999999</v>
      </c>
      <c r="J117">
        <v>10.225422</v>
      </c>
      <c r="K117">
        <v>1935</v>
      </c>
      <c r="L117">
        <v>537</v>
      </c>
      <c r="M117">
        <f>L117/(L117+K117)</f>
        <v>0.21723300970873785</v>
      </c>
      <c r="N117">
        <f t="shared" ref="N117:N120" si="18">-4.0874-2.556*M117</f>
        <v>-4.6426475728155339</v>
      </c>
      <c r="O117">
        <f>E117-(SUM(K117:L117)*N117)</f>
        <v>29.412422999999762</v>
      </c>
      <c r="P117">
        <f>O117/(2*H117*J117)</f>
        <v>4.1377849165769337E-2</v>
      </c>
      <c r="Q117">
        <f>P117*16.02</f>
        <v>0.66287314363562477</v>
      </c>
    </row>
    <row r="118" spans="2:18" x14ac:dyDescent="0.2">
      <c r="C118">
        <v>100000</v>
      </c>
      <c r="D118">
        <v>743.73718899999994</v>
      </c>
      <c r="E118">
        <v>-11527.448942000001</v>
      </c>
      <c r="F118">
        <v>49221.595561000002</v>
      </c>
      <c r="G118">
        <v>5.8792999999999998E-2</v>
      </c>
      <c r="H118">
        <v>34.710911000000003</v>
      </c>
      <c r="I118">
        <v>138.86532600000001</v>
      </c>
      <c r="J118">
        <v>10.211641999999999</v>
      </c>
      <c r="K118">
        <v>1904</v>
      </c>
      <c r="L118">
        <v>568</v>
      </c>
      <c r="M118">
        <f>L118/(L118+K118)</f>
        <v>0.22977346278317151</v>
      </c>
      <c r="N118">
        <f t="shared" si="18"/>
        <v>-4.6747009708737863</v>
      </c>
      <c r="O118">
        <f>E118-(SUM(K118:L118)*N118)</f>
        <v>28.411857999999484</v>
      </c>
      <c r="P118">
        <f>O118/(2*H118*J118)</f>
        <v>4.0078185112228701E-2</v>
      </c>
      <c r="Q118">
        <f>P118*16.02</f>
        <v>0.64205252549790381</v>
      </c>
    </row>
    <row r="119" spans="2:18" x14ac:dyDescent="0.2">
      <c r="C119">
        <v>100000</v>
      </c>
      <c r="D119">
        <v>743.68388200000004</v>
      </c>
      <c r="E119">
        <v>-11466.57142</v>
      </c>
      <c r="F119">
        <v>49383.977319999998</v>
      </c>
      <c r="G119">
        <v>0.234685</v>
      </c>
      <c r="H119">
        <v>34.749039000000003</v>
      </c>
      <c r="I119">
        <v>139.01786000000001</v>
      </c>
      <c r="J119">
        <v>10.222859</v>
      </c>
      <c r="K119">
        <v>1928</v>
      </c>
      <c r="L119">
        <v>544</v>
      </c>
      <c r="M119">
        <f>L119/(L119+K119)</f>
        <v>0.22006472491909385</v>
      </c>
      <c r="N119">
        <f t="shared" si="18"/>
        <v>-4.6498854368932037</v>
      </c>
      <c r="O119">
        <f>E119-(SUM(K119:L119)*N119)</f>
        <v>27.945379999999204</v>
      </c>
      <c r="P119">
        <f>O119/(2*H119*J119)</f>
        <v>3.933370484589252E-2</v>
      </c>
      <c r="Q119">
        <f>P119*16.02</f>
        <v>0.63012595163119811</v>
      </c>
    </row>
    <row r="120" spans="2:18" x14ac:dyDescent="0.2">
      <c r="C120">
        <v>100000</v>
      </c>
      <c r="D120">
        <v>743.66804200000001</v>
      </c>
      <c r="E120">
        <v>-11373.627302000001</v>
      </c>
      <c r="F120">
        <v>49607.091181999996</v>
      </c>
      <c r="G120">
        <v>0.29247000000000001</v>
      </c>
      <c r="H120">
        <v>34.801290999999999</v>
      </c>
      <c r="I120">
        <v>139.226902</v>
      </c>
      <c r="J120">
        <v>10.238231000000001</v>
      </c>
      <c r="K120">
        <v>1964</v>
      </c>
      <c r="L120">
        <v>508</v>
      </c>
      <c r="M120">
        <f>L120/(L120+K120)</f>
        <v>0.20550161812297735</v>
      </c>
      <c r="N120">
        <f t="shared" si="18"/>
        <v>-4.6126621359223297</v>
      </c>
      <c r="O120">
        <f>E120-(SUM(K120:L120)*N120)</f>
        <v>28.873497999999017</v>
      </c>
      <c r="P120">
        <f>O120/(2*H120*J120)</f>
        <v>4.0518105111910799E-2</v>
      </c>
      <c r="Q120">
        <f>P120*16.02</f>
        <v>0.64910004389281095</v>
      </c>
    </row>
    <row r="121" spans="2:18" x14ac:dyDescent="0.2">
      <c r="Q121" s="1">
        <f>AVERAGE(Q116:Q120)</f>
        <v>0.65322922779834725</v>
      </c>
      <c r="R121">
        <f>STDEV(Q116:Q120)</f>
        <v>1.9976077722108129E-2</v>
      </c>
    </row>
    <row r="122" spans="2:18" x14ac:dyDescent="0.2">
      <c r="B122" t="s">
        <v>31</v>
      </c>
      <c r="C122">
        <v>100000</v>
      </c>
      <c r="D122">
        <v>743.79672900000003</v>
      </c>
      <c r="E122">
        <v>-14947.544191999999</v>
      </c>
      <c r="F122">
        <v>64679.831213999998</v>
      </c>
      <c r="G122">
        <v>0.14543900000000001</v>
      </c>
      <c r="H122">
        <v>28.112618000000001</v>
      </c>
      <c r="I122">
        <v>168.697428</v>
      </c>
      <c r="J122">
        <v>13.638258</v>
      </c>
      <c r="K122">
        <v>2540</v>
      </c>
      <c r="L122">
        <v>692</v>
      </c>
      <c r="M122">
        <f>L122/(L122+K122)</f>
        <v>0.2141089108910891</v>
      </c>
      <c r="N122">
        <f>-4.0874-2.556*M122</f>
        <v>-4.6346623762376238</v>
      </c>
      <c r="O122">
        <f>E122-(SUM(K122:L122)*N122)</f>
        <v>31.68460800000139</v>
      </c>
      <c r="P122">
        <f>O122/(2*H122*J122)</f>
        <v>4.131979417476242E-2</v>
      </c>
      <c r="Q122">
        <f>P122*16.02</f>
        <v>0.66194310267969392</v>
      </c>
    </row>
    <row r="123" spans="2:18" x14ac:dyDescent="0.2">
      <c r="C123">
        <v>100000</v>
      </c>
      <c r="D123">
        <v>744.02802199999996</v>
      </c>
      <c r="E123">
        <v>-15029.384540999999</v>
      </c>
      <c r="F123">
        <v>64485.752842000002</v>
      </c>
      <c r="G123">
        <v>0.210286</v>
      </c>
      <c r="H123">
        <v>28.084472000000002</v>
      </c>
      <c r="I123">
        <v>168.528527</v>
      </c>
      <c r="J123">
        <v>13.624603</v>
      </c>
      <c r="K123">
        <v>2508</v>
      </c>
      <c r="L123">
        <v>724</v>
      </c>
      <c r="M123">
        <f>L123/(L123+K123)</f>
        <v>0.22400990099009901</v>
      </c>
      <c r="N123">
        <f t="shared" ref="N123:N126" si="19">-4.0874-2.556*M123</f>
        <v>-4.6599693069306927</v>
      </c>
      <c r="O123">
        <f>E123-(SUM(K123:L123)*N123)</f>
        <v>31.636258999998972</v>
      </c>
      <c r="P123">
        <f>O123/(2*H123*J123)</f>
        <v>4.1339479756791156E-2</v>
      </c>
      <c r="Q123">
        <f>P123*16.02</f>
        <v>0.66225846570379432</v>
      </c>
    </row>
    <row r="124" spans="2:18" x14ac:dyDescent="0.2">
      <c r="C124">
        <v>100000</v>
      </c>
      <c r="D124">
        <v>743.85282600000005</v>
      </c>
      <c r="E124">
        <v>-14971.272343000001</v>
      </c>
      <c r="F124">
        <v>64611.978299000002</v>
      </c>
      <c r="G124">
        <v>-0.102669</v>
      </c>
      <c r="H124">
        <v>28.102784</v>
      </c>
      <c r="I124">
        <v>168.63841500000001</v>
      </c>
      <c r="J124">
        <v>13.633487000000001</v>
      </c>
      <c r="K124">
        <v>2529</v>
      </c>
      <c r="L124">
        <v>703</v>
      </c>
      <c r="M124">
        <f>L124/(L124+K124)</f>
        <v>0.21751237623762376</v>
      </c>
      <c r="N124">
        <f t="shared" si="19"/>
        <v>-4.6433616336633659</v>
      </c>
      <c r="O124">
        <f>E124-(SUM(K124:L124)*N124)</f>
        <v>36.072456999998394</v>
      </c>
      <c r="P124">
        <f>O124/(2*H124*J124)</f>
        <v>4.7074903126702983E-2</v>
      </c>
      <c r="Q124">
        <f>P124*16.02</f>
        <v>0.7541399480897818</v>
      </c>
    </row>
    <row r="125" spans="2:18" x14ac:dyDescent="0.2">
      <c r="C125">
        <v>100000</v>
      </c>
      <c r="D125">
        <v>743.71318399999996</v>
      </c>
      <c r="E125">
        <v>-15034.86825</v>
      </c>
      <c r="F125">
        <v>64449.116105000001</v>
      </c>
      <c r="G125">
        <v>0.29119499999999998</v>
      </c>
      <c r="H125">
        <v>28.079152000000001</v>
      </c>
      <c r="I125">
        <v>168.49660600000001</v>
      </c>
      <c r="J125">
        <v>13.622021999999999</v>
      </c>
      <c r="K125">
        <v>2506</v>
      </c>
      <c r="L125">
        <v>726</v>
      </c>
      <c r="M125">
        <f>L125/(L125+K125)</f>
        <v>0.22462871287128713</v>
      </c>
      <c r="N125">
        <f t="shared" si="19"/>
        <v>-4.66155099009901</v>
      </c>
      <c r="O125">
        <f>E125-(SUM(K125:L125)*N125)</f>
        <v>31.264549999999872</v>
      </c>
      <c r="P125">
        <f>O125/(2*H125*J125)</f>
        <v>4.0869245609973667E-2</v>
      </c>
      <c r="Q125">
        <f>P125*16.02</f>
        <v>0.65472531467177808</v>
      </c>
    </row>
    <row r="126" spans="2:18" x14ac:dyDescent="0.2">
      <c r="C126">
        <v>100000</v>
      </c>
      <c r="D126">
        <v>743.83843999999999</v>
      </c>
      <c r="E126">
        <v>-14993.884448999999</v>
      </c>
      <c r="F126">
        <v>64552.395478999999</v>
      </c>
      <c r="G126">
        <v>0.346719</v>
      </c>
      <c r="H126">
        <v>28.094142999999999</v>
      </c>
      <c r="I126">
        <v>168.58656199999999</v>
      </c>
      <c r="J126">
        <v>13.629295000000001</v>
      </c>
      <c r="K126">
        <v>2523</v>
      </c>
      <c r="L126">
        <v>709</v>
      </c>
      <c r="M126">
        <f>L126/(L126+K126)</f>
        <v>0.21936881188118812</v>
      </c>
      <c r="N126">
        <f t="shared" si="19"/>
        <v>-4.6481066831683169</v>
      </c>
      <c r="O126">
        <f>E126-(SUM(K126:L126)*N126)</f>
        <v>28.796351000000868</v>
      </c>
      <c r="P126">
        <f>O126/(2*H126*J126)</f>
        <v>3.7602635290930622E-2</v>
      </c>
      <c r="Q126">
        <f>P126*16.02</f>
        <v>0.60239421736070853</v>
      </c>
    </row>
    <row r="127" spans="2:18" x14ac:dyDescent="0.2">
      <c r="Q127" s="1">
        <f>AVERAGE(Q122:Q126)</f>
        <v>0.66709220970115124</v>
      </c>
      <c r="R127">
        <f>STDEV(Q122:Q126)</f>
        <v>5.4694509432568712E-2</v>
      </c>
    </row>
    <row r="128" spans="2:18" x14ac:dyDescent="0.2">
      <c r="B128" t="s">
        <v>23</v>
      </c>
      <c r="C128">
        <v>100000</v>
      </c>
      <c r="D128">
        <v>743.69692099999997</v>
      </c>
      <c r="E128">
        <v>-13345.662797999999</v>
      </c>
      <c r="F128">
        <v>57585.818698000003</v>
      </c>
      <c r="G128">
        <v>0.62242399999999998</v>
      </c>
      <c r="H128">
        <v>32.376956999999997</v>
      </c>
      <c r="I128">
        <v>129.900274</v>
      </c>
      <c r="J128">
        <v>13.692073000000001</v>
      </c>
      <c r="K128">
        <v>2251</v>
      </c>
      <c r="L128">
        <v>629</v>
      </c>
      <c r="M128">
        <f>L128/(L128+K128)</f>
        <v>0.21840277777777778</v>
      </c>
      <c r="N128">
        <f>-4.0874-2.556*M128</f>
        <v>-4.6456374999999994</v>
      </c>
      <c r="O128">
        <f>E128-(SUM(K128:L128)*N128)</f>
        <v>33.773201999998491</v>
      </c>
      <c r="P128">
        <f>O128/(2*H128*J128)</f>
        <v>3.8092283465534497E-2</v>
      </c>
      <c r="Q128">
        <f>P128*16.02</f>
        <v>0.61023838111786266</v>
      </c>
    </row>
    <row r="129" spans="2:18" x14ac:dyDescent="0.2">
      <c r="C129">
        <v>100000</v>
      </c>
      <c r="D129">
        <v>744.00404100000003</v>
      </c>
      <c r="E129">
        <v>-13437.245102000001</v>
      </c>
      <c r="F129">
        <v>57349.965545999999</v>
      </c>
      <c r="G129">
        <v>7.6333999999999999E-2</v>
      </c>
      <c r="H129">
        <v>32.332693999999996</v>
      </c>
      <c r="I129">
        <v>129.72268800000001</v>
      </c>
      <c r="J129">
        <v>13.673355000000001</v>
      </c>
      <c r="K129">
        <v>2217</v>
      </c>
      <c r="L129">
        <v>663</v>
      </c>
      <c r="M129">
        <f>L129/(L129+K129)</f>
        <v>0.23020833333333332</v>
      </c>
      <c r="N129">
        <f t="shared" ref="N129:N132" si="20">-4.0874-2.556*M129</f>
        <v>-4.6758124999999993</v>
      </c>
      <c r="O129">
        <f>E129-(SUM(K129:L129)*N129)</f>
        <v>29.094897999997556</v>
      </c>
      <c r="P129">
        <f>O129/(2*H129*J129)</f>
        <v>3.2905603609849912E-2</v>
      </c>
      <c r="Q129">
        <f>P129*16.02</f>
        <v>0.52714776982979561</v>
      </c>
    </row>
    <row r="130" spans="2:18" x14ac:dyDescent="0.2">
      <c r="C130">
        <v>100000</v>
      </c>
      <c r="D130">
        <v>743.560518</v>
      </c>
      <c r="E130">
        <v>-13349.304568</v>
      </c>
      <c r="F130">
        <v>57563.832887999997</v>
      </c>
      <c r="G130">
        <v>-7.9278000000000001E-2</v>
      </c>
      <c r="H130">
        <v>32.372835000000002</v>
      </c>
      <c r="I130">
        <v>129.88373999999999</v>
      </c>
      <c r="J130">
        <v>13.690329999999999</v>
      </c>
      <c r="K130">
        <v>2251</v>
      </c>
      <c r="L130">
        <v>629</v>
      </c>
      <c r="M130">
        <f>L130/(L130+K130)</f>
        <v>0.21840277777777778</v>
      </c>
      <c r="N130">
        <f t="shared" si="20"/>
        <v>-4.6456374999999994</v>
      </c>
      <c r="O130">
        <f>E130-(SUM(K130:L130)*N130)</f>
        <v>30.131431999998313</v>
      </c>
      <c r="P130">
        <f>O130/(2*H130*J130)</f>
        <v>3.3993440802221324E-2</v>
      </c>
      <c r="Q130">
        <f>P130*16.02</f>
        <v>0.54457492165158561</v>
      </c>
    </row>
    <row r="131" spans="2:18" x14ac:dyDescent="0.2">
      <c r="C131">
        <v>100000</v>
      </c>
      <c r="D131">
        <v>744.026974</v>
      </c>
      <c r="E131">
        <v>-13324.346115</v>
      </c>
      <c r="F131">
        <v>57639.173247999999</v>
      </c>
      <c r="G131">
        <v>0.125109</v>
      </c>
      <c r="H131">
        <v>32.386952000000001</v>
      </c>
      <c r="I131">
        <v>129.94037900000001</v>
      </c>
      <c r="J131">
        <v>13.696300000000001</v>
      </c>
      <c r="K131">
        <v>2260</v>
      </c>
      <c r="L131">
        <v>620</v>
      </c>
      <c r="M131">
        <f>L131/(L131+K131)</f>
        <v>0.21527777777777779</v>
      </c>
      <c r="N131">
        <f t="shared" si="20"/>
        <v>-4.6376499999999998</v>
      </c>
      <c r="O131">
        <f>E131-(SUM(K131:L131)*N131)</f>
        <v>32.085884999998598</v>
      </c>
      <c r="P131">
        <f>O131/(2*H131*J131)</f>
        <v>3.6166850354465124E-2</v>
      </c>
      <c r="Q131">
        <f>P131*16.02</f>
        <v>0.57939294267853125</v>
      </c>
    </row>
    <row r="132" spans="2:18" x14ac:dyDescent="0.2">
      <c r="C132">
        <v>100000</v>
      </c>
      <c r="D132">
        <v>743.904314</v>
      </c>
      <c r="E132">
        <v>-13282.645597999999</v>
      </c>
      <c r="F132">
        <v>57765.439044999999</v>
      </c>
      <c r="G132">
        <v>4.4889999999999999E-2</v>
      </c>
      <c r="H132">
        <v>32.410584999999998</v>
      </c>
      <c r="I132">
        <v>130.03519399999999</v>
      </c>
      <c r="J132">
        <v>13.706294</v>
      </c>
      <c r="K132">
        <v>2277</v>
      </c>
      <c r="L132">
        <v>603</v>
      </c>
      <c r="M132">
        <f>L132/(L132+K132)</f>
        <v>0.20937500000000001</v>
      </c>
      <c r="N132">
        <f t="shared" si="20"/>
        <v>-4.6225624999999999</v>
      </c>
      <c r="O132">
        <f>E132-(SUM(K132:L132)*N132)</f>
        <v>30.334402000000409</v>
      </c>
      <c r="P132">
        <f>O132/(2*H132*J132)</f>
        <v>3.4142752432850997E-2</v>
      </c>
      <c r="Q132">
        <f>P132*16.02</f>
        <v>0.54696689397427301</v>
      </c>
    </row>
    <row r="133" spans="2:18" x14ac:dyDescent="0.2">
      <c r="Q133" s="1">
        <f>AVERAGE(Q128:Q132)</f>
        <v>0.56166418185040956</v>
      </c>
      <c r="R133">
        <f>STDEV(Q128:Q132)</f>
        <v>3.306507817474845E-2</v>
      </c>
    </row>
    <row r="134" spans="2:18" x14ac:dyDescent="0.2">
      <c r="B134" t="s">
        <v>32</v>
      </c>
      <c r="C134">
        <v>100000</v>
      </c>
      <c r="D134">
        <v>743.80685900000003</v>
      </c>
      <c r="E134">
        <v>-17067.985793</v>
      </c>
      <c r="F134">
        <v>73513.506959999999</v>
      </c>
      <c r="G134">
        <v>4.5589999999999999E-2</v>
      </c>
      <c r="H134">
        <v>25.957250999999999</v>
      </c>
      <c r="I134">
        <v>207.70143400000001</v>
      </c>
      <c r="J134">
        <v>13.635427999999999</v>
      </c>
      <c r="K134">
        <v>2875</v>
      </c>
      <c r="L134">
        <v>805</v>
      </c>
      <c r="M134">
        <f>L134/(L134+K134)</f>
        <v>0.21875</v>
      </c>
      <c r="N134">
        <f>-4.0874-2.556*M134</f>
        <v>-4.6465249999999996</v>
      </c>
      <c r="O134">
        <f>E134-(SUM(K134:L134)*N134)</f>
        <v>31.226206999999704</v>
      </c>
      <c r="P134">
        <f>O134/(2*H134*J134)</f>
        <v>4.4112509768827746E-2</v>
      </c>
      <c r="Q134">
        <f>P134*16.02</f>
        <v>0.70668240649662051</v>
      </c>
    </row>
    <row r="135" spans="2:18" x14ac:dyDescent="0.2">
      <c r="C135">
        <v>100000</v>
      </c>
      <c r="D135">
        <v>743.73261000000002</v>
      </c>
      <c r="E135">
        <v>-17105.965976</v>
      </c>
      <c r="F135">
        <v>73397.831995</v>
      </c>
      <c r="G135">
        <v>4.5488000000000001E-2</v>
      </c>
      <c r="H135">
        <v>25.943629000000001</v>
      </c>
      <c r="I135">
        <v>207.592432</v>
      </c>
      <c r="J135">
        <v>13.628272000000001</v>
      </c>
      <c r="K135">
        <v>2861</v>
      </c>
      <c r="L135">
        <v>819</v>
      </c>
      <c r="M135">
        <f>L135/(L135+K135)</f>
        <v>0.22255434782608696</v>
      </c>
      <c r="N135">
        <f t="shared" ref="N135:N138" si="21">-4.0874-2.556*M135</f>
        <v>-4.6562489130434779</v>
      </c>
      <c r="O135">
        <f>E135-(SUM(K135:L135)*N135)</f>
        <v>29.030023999999685</v>
      </c>
      <c r="P135">
        <f>O135/(2*H135*J135)</f>
        <v>4.105309281986376E-2</v>
      </c>
      <c r="Q135">
        <f>P135*16.02</f>
        <v>0.65767054697421745</v>
      </c>
    </row>
    <row r="136" spans="2:18" x14ac:dyDescent="0.2">
      <c r="C136">
        <v>100000</v>
      </c>
      <c r="D136">
        <v>743.57979399999999</v>
      </c>
      <c r="E136">
        <v>-17128.730030999999</v>
      </c>
      <c r="F136">
        <v>73381.445468000005</v>
      </c>
      <c r="G136">
        <v>0.29735699999999998</v>
      </c>
      <c r="H136">
        <v>25.941697999999999</v>
      </c>
      <c r="I136">
        <v>207.57698600000001</v>
      </c>
      <c r="J136">
        <v>13.627257999999999</v>
      </c>
      <c r="K136">
        <v>2851</v>
      </c>
      <c r="L136">
        <v>829</v>
      </c>
      <c r="M136">
        <f>L136/(L136+K136)</f>
        <v>0.22527173913043477</v>
      </c>
      <c r="N136">
        <f t="shared" si="21"/>
        <v>-4.663194565217391</v>
      </c>
      <c r="O136">
        <f>E136-(SUM(K136:L136)*N136)</f>
        <v>31.825969000001351</v>
      </c>
      <c r="P136">
        <f>O136/(2*H136*J136)</f>
        <v>4.5013705185415066E-2</v>
      </c>
      <c r="Q136">
        <f>P136*16.02</f>
        <v>0.72111955707034936</v>
      </c>
    </row>
    <row r="137" spans="2:18" x14ac:dyDescent="0.2">
      <c r="C137">
        <v>100000</v>
      </c>
      <c r="D137">
        <v>743.73126600000001</v>
      </c>
      <c r="E137">
        <v>-16998.754328999999</v>
      </c>
      <c r="F137">
        <v>73695.983601</v>
      </c>
      <c r="G137">
        <v>7.1557999999999997E-2</v>
      </c>
      <c r="H137">
        <v>25.97871</v>
      </c>
      <c r="I137">
        <v>207.873144</v>
      </c>
      <c r="J137">
        <v>13.646699999999999</v>
      </c>
      <c r="K137">
        <v>2900</v>
      </c>
      <c r="L137">
        <v>780</v>
      </c>
      <c r="M137">
        <f>L137/(L137+K137)</f>
        <v>0.21195652173913043</v>
      </c>
      <c r="N137">
        <f t="shared" si="21"/>
        <v>-4.6291608695652169</v>
      </c>
      <c r="O137">
        <f>E137-(SUM(K137:L137)*N137)</f>
        <v>36.557670999998663</v>
      </c>
      <c r="P137">
        <f>O137/(2*H137*J137)</f>
        <v>5.1558859031892029E-2</v>
      </c>
      <c r="Q137">
        <f>P137*16.02</f>
        <v>0.8259729216909103</v>
      </c>
    </row>
    <row r="138" spans="2:18" x14ac:dyDescent="0.2">
      <c r="C138">
        <v>100000</v>
      </c>
      <c r="D138">
        <v>743.81859199999997</v>
      </c>
      <c r="E138">
        <v>-17025.085192999999</v>
      </c>
      <c r="F138">
        <v>73612.294819000002</v>
      </c>
      <c r="G138">
        <v>0.13064300000000001</v>
      </c>
      <c r="H138">
        <v>25.968872999999999</v>
      </c>
      <c r="I138">
        <v>207.79442499999999</v>
      </c>
      <c r="J138">
        <v>13.641532</v>
      </c>
      <c r="K138">
        <v>2891</v>
      </c>
      <c r="L138">
        <v>789</v>
      </c>
      <c r="M138">
        <f>L138/(L138+K138)</f>
        <v>0.21440217391304348</v>
      </c>
      <c r="N138">
        <f t="shared" si="21"/>
        <v>-4.6354119565217387</v>
      </c>
      <c r="O138">
        <f>E138-(SUM(K138:L138)*N138)</f>
        <v>33.230806999999913</v>
      </c>
      <c r="P138">
        <f>O138/(2*H138*J138)</f>
        <v>4.6902354391984868E-2</v>
      </c>
      <c r="Q138">
        <f>P138*16.02</f>
        <v>0.75137571735959752</v>
      </c>
    </row>
    <row r="139" spans="2:18" x14ac:dyDescent="0.2">
      <c r="Q139" s="1">
        <f>AVERAGE(Q134:Q138)</f>
        <v>0.73256422991833903</v>
      </c>
      <c r="R139">
        <f>STDEV(Q134:Q138)</f>
        <v>6.2227342912061147E-2</v>
      </c>
    </row>
    <row r="140" spans="2:18" x14ac:dyDescent="0.2">
      <c r="B140" t="s">
        <v>22</v>
      </c>
      <c r="C140">
        <v>100000</v>
      </c>
      <c r="D140">
        <v>694.17145100000005</v>
      </c>
      <c r="E140">
        <v>-17549.172125000001</v>
      </c>
      <c r="F140">
        <v>75351.344136</v>
      </c>
      <c r="G140">
        <v>0.349796</v>
      </c>
      <c r="H140">
        <v>30.378001000000001</v>
      </c>
      <c r="I140">
        <v>91.290841999999998</v>
      </c>
      <c r="J140">
        <v>27.170923999999999</v>
      </c>
      <c r="K140">
        <v>2922</v>
      </c>
      <c r="L140">
        <v>854</v>
      </c>
      <c r="M140">
        <f>L140/(L140+K140)</f>
        <v>0.22616525423728814</v>
      </c>
      <c r="N140">
        <f>-4.0874-2.556*M140</f>
        <v>-4.6654783898305086</v>
      </c>
      <c r="O140">
        <f>E140-(SUM(K140:L140)*N140)</f>
        <v>67.674274999997579</v>
      </c>
      <c r="P140">
        <f>O140/(2*H140*J140)</f>
        <v>4.0994917467270985E-2</v>
      </c>
      <c r="Q140">
        <f>P140*16.02</f>
        <v>0.65673857782568112</v>
      </c>
    </row>
    <row r="141" spans="2:18" x14ac:dyDescent="0.2">
      <c r="C141">
        <v>100000</v>
      </c>
      <c r="D141">
        <v>694.08197399999995</v>
      </c>
      <c r="E141">
        <v>-17494.894946</v>
      </c>
      <c r="F141">
        <v>75496.461599000002</v>
      </c>
      <c r="G141">
        <v>0.50448300000000001</v>
      </c>
      <c r="H141">
        <v>30.397490000000001</v>
      </c>
      <c r="I141">
        <v>91.349408999999994</v>
      </c>
      <c r="J141">
        <v>27.188355000000001</v>
      </c>
      <c r="K141">
        <v>2946</v>
      </c>
      <c r="L141">
        <v>830</v>
      </c>
      <c r="M141">
        <f>L141/(L141+K141)</f>
        <v>0.2198093220338983</v>
      </c>
      <c r="N141">
        <f t="shared" ref="N141:N144" si="22">-4.0874-2.556*M141</f>
        <v>-4.6492326271186437</v>
      </c>
      <c r="O141">
        <f>E141-(SUM(K141:L141)*N141)</f>
        <v>60.607453999997233</v>
      </c>
      <c r="P141">
        <f>O141/(2*H141*J141)</f>
        <v>3.666700085790315E-2</v>
      </c>
      <c r="Q141">
        <f>P141*16.02</f>
        <v>0.58740535374360847</v>
      </c>
    </row>
    <row r="142" spans="2:18" x14ac:dyDescent="0.2">
      <c r="C142">
        <v>100000</v>
      </c>
      <c r="D142">
        <v>694.05476799999997</v>
      </c>
      <c r="E142">
        <v>-17583.435830999999</v>
      </c>
      <c r="F142">
        <v>75273.371578000006</v>
      </c>
      <c r="G142">
        <v>0.50651299999999999</v>
      </c>
      <c r="H142">
        <v>30.367519000000001</v>
      </c>
      <c r="I142">
        <v>91.259342000000004</v>
      </c>
      <c r="J142">
        <v>27.161548</v>
      </c>
      <c r="K142">
        <v>2910</v>
      </c>
      <c r="L142">
        <v>866</v>
      </c>
      <c r="M142">
        <f>L142/(L142+K142)</f>
        <v>0.22934322033898305</v>
      </c>
      <c r="N142">
        <f t="shared" si="22"/>
        <v>-4.6736012711864401</v>
      </c>
      <c r="O142">
        <f>E142-(SUM(K142:L142)*N142)</f>
        <v>64.08256899999833</v>
      </c>
      <c r="P142">
        <f>O142/(2*H142*J142)</f>
        <v>3.884598056036153E-2</v>
      </c>
      <c r="Q142">
        <f>P142*16.02</f>
        <v>0.62231260857699167</v>
      </c>
    </row>
    <row r="143" spans="2:18" x14ac:dyDescent="0.2">
      <c r="C143">
        <v>100000</v>
      </c>
      <c r="D143">
        <v>694.042193</v>
      </c>
      <c r="E143">
        <v>-17435.64284</v>
      </c>
      <c r="F143">
        <v>75616.062812999997</v>
      </c>
      <c r="G143">
        <v>0.31962099999999999</v>
      </c>
      <c r="H143">
        <v>30.413533000000001</v>
      </c>
      <c r="I143">
        <v>91.397621000000001</v>
      </c>
      <c r="J143">
        <v>27.202704000000001</v>
      </c>
      <c r="K143">
        <v>2969</v>
      </c>
      <c r="L143">
        <v>807</v>
      </c>
      <c r="M143">
        <f>L143/(L143+K143)</f>
        <v>0.21371822033898305</v>
      </c>
      <c r="N143">
        <f t="shared" si="22"/>
        <v>-4.6336637711864403</v>
      </c>
      <c r="O143">
        <f>E143-(SUM(K143:L143)*N143)</f>
        <v>61.07155999999668</v>
      </c>
      <c r="P143">
        <f>O143/(2*H143*J143)</f>
        <v>3.6908812210688598E-2</v>
      </c>
      <c r="Q143">
        <f>P143*16.02</f>
        <v>0.59127917161523136</v>
      </c>
    </row>
    <row r="144" spans="2:18" x14ac:dyDescent="0.2">
      <c r="C144">
        <v>100000</v>
      </c>
      <c r="D144">
        <v>694.27192300000002</v>
      </c>
      <c r="E144">
        <v>-17474.119148999998</v>
      </c>
      <c r="F144">
        <v>75577.208446000004</v>
      </c>
      <c r="G144">
        <v>0.41450999999999999</v>
      </c>
      <c r="H144">
        <v>30.408322999999999</v>
      </c>
      <c r="I144">
        <v>91.381964999999994</v>
      </c>
      <c r="J144">
        <v>27.198043999999999</v>
      </c>
      <c r="K144">
        <v>2953</v>
      </c>
      <c r="L144">
        <v>823</v>
      </c>
      <c r="M144">
        <f>L144/(L144+K144)</f>
        <v>0.21795550847457626</v>
      </c>
      <c r="N144">
        <f t="shared" si="22"/>
        <v>-4.6444942796610169</v>
      </c>
      <c r="O144">
        <f>E144-(SUM(K144:L144)*N144)</f>
        <v>63.491251000003103</v>
      </c>
      <c r="P144">
        <f>O144/(2*H144*J144)</f>
        <v>3.8384310774121737E-2</v>
      </c>
      <c r="Q144">
        <f>P144*16.02</f>
        <v>0.61491665860143019</v>
      </c>
    </row>
    <row r="145" spans="2:18" x14ac:dyDescent="0.2">
      <c r="Q145" s="1">
        <f>AVERAGE(Q140:Q144)</f>
        <v>0.61453047407258854</v>
      </c>
      <c r="R145">
        <f>STDEV(Q140:Q144)</f>
        <v>2.7922347668095166E-2</v>
      </c>
    </row>
    <row r="146" spans="2:18" x14ac:dyDescent="0.2">
      <c r="B146" t="s">
        <v>33</v>
      </c>
      <c r="C146">
        <v>100000</v>
      </c>
      <c r="D146">
        <v>743.69900199999995</v>
      </c>
      <c r="E146">
        <v>-30125.331081</v>
      </c>
      <c r="F146">
        <v>129496.166822</v>
      </c>
      <c r="G146">
        <v>0.302566</v>
      </c>
      <c r="H146">
        <v>39.767871</v>
      </c>
      <c r="I146">
        <v>238.672403</v>
      </c>
      <c r="J146">
        <v>13.643389000000001</v>
      </c>
      <c r="K146">
        <v>5058</v>
      </c>
      <c r="L146">
        <v>1430</v>
      </c>
      <c r="M146">
        <f>L146/(L146+K146)</f>
        <v>0.22040690505548705</v>
      </c>
      <c r="N146">
        <f>-4.0874-2.556*M146</f>
        <v>-4.6507600493218249</v>
      </c>
      <c r="O146">
        <f>E146-(SUM(K146:L146)*N146)</f>
        <v>48.80011899999954</v>
      </c>
      <c r="P146">
        <f>O146/(2*H146*J146)</f>
        <v>4.4971386989843203E-2</v>
      </c>
      <c r="Q146">
        <f>P146*16.02</f>
        <v>0.72044161957728814</v>
      </c>
    </row>
    <row r="147" spans="2:18" x14ac:dyDescent="0.2">
      <c r="C147">
        <v>100000</v>
      </c>
      <c r="D147">
        <v>743.75455299999999</v>
      </c>
      <c r="E147">
        <v>-30221.226426000001</v>
      </c>
      <c r="F147">
        <v>129210.40137000001</v>
      </c>
      <c r="G147">
        <v>-0.10324800000000001</v>
      </c>
      <c r="H147">
        <v>39.738596999999999</v>
      </c>
      <c r="I147">
        <v>238.49671000000001</v>
      </c>
      <c r="J147">
        <v>13.633346</v>
      </c>
      <c r="K147">
        <v>5022</v>
      </c>
      <c r="L147">
        <v>1466</v>
      </c>
      <c r="M147">
        <f>L147/(L147+K147)</f>
        <v>0.22595561035758324</v>
      </c>
      <c r="N147">
        <f t="shared" ref="N147:N150" si="23">-4.0874-2.556*M147</f>
        <v>-4.6649425400739828</v>
      </c>
      <c r="O147">
        <f>E147-(SUM(K147:L147)*N147)</f>
        <v>44.920773999998346</v>
      </c>
      <c r="P147">
        <f>O147/(2*H147*J147)</f>
        <v>4.145741779703787E-2</v>
      </c>
      <c r="Q147">
        <f>P147*16.02</f>
        <v>0.66414783310854664</v>
      </c>
    </row>
    <row r="148" spans="2:18" x14ac:dyDescent="0.2">
      <c r="C148">
        <v>100000</v>
      </c>
      <c r="D148">
        <v>743.79371400000002</v>
      </c>
      <c r="E148">
        <v>-29998.268724000001</v>
      </c>
      <c r="F148">
        <v>129793.40304</v>
      </c>
      <c r="G148">
        <v>-6.6237000000000004E-2</v>
      </c>
      <c r="H148">
        <v>39.798274999999997</v>
      </c>
      <c r="I148">
        <v>238.854873</v>
      </c>
      <c r="J148">
        <v>13.653819</v>
      </c>
      <c r="K148">
        <v>5108</v>
      </c>
      <c r="L148">
        <v>1380</v>
      </c>
      <c r="M148">
        <f>L148/(L148+K148)</f>
        <v>0.21270036991368679</v>
      </c>
      <c r="N148">
        <f t="shared" si="23"/>
        <v>-4.6310621454993832</v>
      </c>
      <c r="O148">
        <f>E148-(SUM(K148:L148)*N148)</f>
        <v>48.062475999995513</v>
      </c>
      <c r="P148">
        <f>O148/(2*H148*J148)</f>
        <v>4.4223972838984986E-2</v>
      </c>
      <c r="Q148">
        <f>P148*16.02</f>
        <v>0.70846804488053949</v>
      </c>
    </row>
    <row r="149" spans="2:18" x14ac:dyDescent="0.2">
      <c r="C149">
        <v>100000</v>
      </c>
      <c r="D149">
        <v>743.70088799999996</v>
      </c>
      <c r="E149">
        <v>-30097.819166000001</v>
      </c>
      <c r="F149">
        <v>129584.186382</v>
      </c>
      <c r="G149">
        <v>0.217469</v>
      </c>
      <c r="H149">
        <v>39.776879000000001</v>
      </c>
      <c r="I149">
        <v>238.72646599999999</v>
      </c>
      <c r="J149">
        <v>13.646478999999999</v>
      </c>
      <c r="K149">
        <v>5070</v>
      </c>
      <c r="L149">
        <v>1418</v>
      </c>
      <c r="M149">
        <f>L149/(L149+K149)</f>
        <v>0.21855733662145499</v>
      </c>
      <c r="N149">
        <f t="shared" si="23"/>
        <v>-4.6460325524044386</v>
      </c>
      <c r="O149">
        <f>E149-(SUM(K149:L149)*N149)</f>
        <v>45.640033999996376</v>
      </c>
      <c r="P149">
        <f>O149/(2*H149*J149)</f>
        <v>4.2040187872633139E-2</v>
      </c>
      <c r="Q149">
        <f>P149*16.02</f>
        <v>0.67348380971958288</v>
      </c>
    </row>
    <row r="150" spans="2:18" x14ac:dyDescent="0.2">
      <c r="C150">
        <v>100000</v>
      </c>
      <c r="D150">
        <v>743.43988899999999</v>
      </c>
      <c r="E150">
        <v>-29950.939044999999</v>
      </c>
      <c r="F150">
        <v>129920.960058</v>
      </c>
      <c r="G150">
        <v>2.1500999999999999E-2</v>
      </c>
      <c r="H150">
        <v>39.811307999999997</v>
      </c>
      <c r="I150">
        <v>238.93309500000001</v>
      </c>
      <c r="J150">
        <v>13.658291</v>
      </c>
      <c r="K150">
        <v>5127</v>
      </c>
      <c r="L150">
        <v>1361</v>
      </c>
      <c r="M150">
        <f>L150/(L150+K150)</f>
        <v>0.20977188655980272</v>
      </c>
      <c r="N150">
        <f t="shared" si="23"/>
        <v>-4.6235769420468555</v>
      </c>
      <c r="O150">
        <f>E150-(SUM(K150:L150)*N150)</f>
        <v>46.828154999999242</v>
      </c>
      <c r="P150">
        <f>O150/(2*H150*J150)</f>
        <v>4.3060021617783134E-2</v>
      </c>
      <c r="Q150">
        <f>P150*16.02</f>
        <v>0.68982154631688575</v>
      </c>
    </row>
    <row r="151" spans="2:18" x14ac:dyDescent="0.2">
      <c r="Q151" s="1">
        <f>AVERAGE(Q146:Q150)</f>
        <v>0.69127257072056858</v>
      </c>
      <c r="R151">
        <f>STDEV(Q146:Q150)</f>
        <v>2.3456420352875835E-2</v>
      </c>
    </row>
    <row r="152" spans="2:18" x14ac:dyDescent="0.2">
      <c r="B152" t="s">
        <v>34</v>
      </c>
      <c r="C152">
        <v>100000</v>
      </c>
      <c r="D152">
        <v>744.089474</v>
      </c>
      <c r="E152">
        <v>-15266.136485999999</v>
      </c>
      <c r="F152">
        <v>65890.235790999999</v>
      </c>
      <c r="G152">
        <v>0.12759799999999999</v>
      </c>
      <c r="H152">
        <v>24.575776000000001</v>
      </c>
      <c r="I152">
        <v>196.64963</v>
      </c>
      <c r="J152">
        <v>13.633910999999999</v>
      </c>
      <c r="K152">
        <v>2583</v>
      </c>
      <c r="L152">
        <v>713</v>
      </c>
      <c r="M152">
        <f>L152/(L152+K152)</f>
        <v>0.21632281553398058</v>
      </c>
      <c r="N152">
        <f>-4.0874-2.556*M152</f>
        <v>-4.6403211165048539</v>
      </c>
      <c r="O152">
        <f>E152-(SUM(K152:L152)*N152)</f>
        <v>28.36191399999916</v>
      </c>
      <c r="P152">
        <f>O152/(2*H152*J152)</f>
        <v>4.2323136545331895E-2</v>
      </c>
      <c r="Q152">
        <f>P152*16.02</f>
        <v>0.67801664745621693</v>
      </c>
    </row>
    <row r="153" spans="2:18" x14ac:dyDescent="0.2">
      <c r="C153">
        <v>100000</v>
      </c>
      <c r="D153">
        <v>743.62454600000001</v>
      </c>
      <c r="E153">
        <v>-15217.460046</v>
      </c>
      <c r="F153">
        <v>66015.587446000005</v>
      </c>
      <c r="G153">
        <v>-4.7960000000000003E-2</v>
      </c>
      <c r="H153">
        <v>24.591351</v>
      </c>
      <c r="I153">
        <v>196.77425600000001</v>
      </c>
      <c r="J153">
        <v>13.642552</v>
      </c>
      <c r="K153">
        <v>2601</v>
      </c>
      <c r="L153">
        <v>695</v>
      </c>
      <c r="M153">
        <f>L153/(L153+K153)</f>
        <v>0.2108616504854369</v>
      </c>
      <c r="N153">
        <f t="shared" ref="N153:N156" si="24">-4.0874-2.556*M153</f>
        <v>-4.6263623786407759</v>
      </c>
      <c r="O153">
        <f>E153-(SUM(K153:L153)*N153)</f>
        <v>31.030353999996805</v>
      </c>
      <c r="P153">
        <f>O153/(2*H153*J153)</f>
        <v>4.6246484843715581E-2</v>
      </c>
      <c r="Q153">
        <f>P153*16.02</f>
        <v>0.74086868719632359</v>
      </c>
    </row>
    <row r="154" spans="2:18" x14ac:dyDescent="0.2">
      <c r="C154">
        <v>100000</v>
      </c>
      <c r="D154">
        <v>744.01414699999998</v>
      </c>
      <c r="E154">
        <v>-15260.975366000001</v>
      </c>
      <c r="F154">
        <v>65875.017896999998</v>
      </c>
      <c r="G154">
        <v>0.60204599999999997</v>
      </c>
      <c r="H154">
        <v>24.573884</v>
      </c>
      <c r="I154">
        <v>196.63448700000001</v>
      </c>
      <c r="J154">
        <v>13.632861</v>
      </c>
      <c r="K154">
        <v>2585</v>
      </c>
      <c r="L154">
        <v>711</v>
      </c>
      <c r="M154">
        <f>L154/(L154+K154)</f>
        <v>0.21571601941747573</v>
      </c>
      <c r="N154">
        <f t="shared" si="24"/>
        <v>-4.6387701456310673</v>
      </c>
      <c r="O154">
        <f>E154-(SUM(K154:L154)*N154)</f>
        <v>28.411033999997017</v>
      </c>
      <c r="P154">
        <f>O154/(2*H154*J154)</f>
        <v>4.240296580231704E-2</v>
      </c>
      <c r="Q154">
        <f>P154*16.02</f>
        <v>0.67929551215311901</v>
      </c>
    </row>
    <row r="155" spans="2:18" x14ac:dyDescent="0.2">
      <c r="C155">
        <v>100000</v>
      </c>
      <c r="D155">
        <v>743.75555399999996</v>
      </c>
      <c r="E155">
        <v>-15330.71917</v>
      </c>
      <c r="F155">
        <v>65722.921401</v>
      </c>
      <c r="G155">
        <v>0.22370799999999999</v>
      </c>
      <c r="H155">
        <v>24.554957000000002</v>
      </c>
      <c r="I155">
        <v>196.48303999999999</v>
      </c>
      <c r="J155">
        <v>13.622361</v>
      </c>
      <c r="K155">
        <v>2557</v>
      </c>
      <c r="L155">
        <v>739</v>
      </c>
      <c r="M155">
        <f>L155/(L155+K155)</f>
        <v>0.22421116504854369</v>
      </c>
      <c r="N155">
        <f t="shared" si="24"/>
        <v>-4.6604837378640775</v>
      </c>
      <c r="O155">
        <f>E155-(SUM(K155:L155)*N155)</f>
        <v>30.23522999999841</v>
      </c>
      <c r="P155">
        <f>O155/(2*H155*J155)</f>
        <v>4.5195138112113543E-2</v>
      </c>
      <c r="Q155">
        <f>P155*16.02</f>
        <v>0.72402611255605898</v>
      </c>
    </row>
    <row r="156" spans="2:18" x14ac:dyDescent="0.2">
      <c r="C156">
        <v>100000</v>
      </c>
      <c r="D156">
        <v>743.64695200000006</v>
      </c>
      <c r="E156">
        <v>-15101.343929999999</v>
      </c>
      <c r="F156">
        <v>66303.088176000005</v>
      </c>
      <c r="G156">
        <v>0.203738</v>
      </c>
      <c r="H156">
        <v>24.626998</v>
      </c>
      <c r="I156">
        <v>197.059493</v>
      </c>
      <c r="J156">
        <v>13.662326999999999</v>
      </c>
      <c r="K156">
        <v>2649</v>
      </c>
      <c r="L156">
        <v>647</v>
      </c>
      <c r="M156">
        <f>L156/(L156+K156)</f>
        <v>0.1962985436893204</v>
      </c>
      <c r="N156">
        <f t="shared" si="24"/>
        <v>-4.5891390776699028</v>
      </c>
      <c r="O156">
        <f>E156-(SUM(K156:L156)*N156)</f>
        <v>24.458470000001398</v>
      </c>
      <c r="P156">
        <f>O156/(2*H156*J156)</f>
        <v>3.6346545452657822E-2</v>
      </c>
      <c r="Q156">
        <f>P156*16.02</f>
        <v>0.58227165815157833</v>
      </c>
    </row>
    <row r="157" spans="2:18" x14ac:dyDescent="0.2">
      <c r="Q157" s="1">
        <f>AVERAGE(Q152:Q156)</f>
        <v>0.68089572350265937</v>
      </c>
      <c r="R157">
        <f>STDEV(Q152:Q156)</f>
        <v>6.1633073215031801E-2</v>
      </c>
    </row>
    <row r="158" spans="2:18" x14ac:dyDescent="0.2">
      <c r="B158" t="s">
        <v>35</v>
      </c>
      <c r="C158">
        <v>100000</v>
      </c>
      <c r="D158">
        <v>744.017473</v>
      </c>
      <c r="E158">
        <v>-22043.507570000002</v>
      </c>
      <c r="F158">
        <v>94845.406600999995</v>
      </c>
      <c r="G158">
        <v>0.25329600000000002</v>
      </c>
      <c r="H158">
        <v>34.061855000000001</v>
      </c>
      <c r="I158">
        <v>204.37113299999999</v>
      </c>
      <c r="J158">
        <v>13.624741999999999</v>
      </c>
      <c r="K158">
        <v>3712</v>
      </c>
      <c r="L158">
        <v>1040</v>
      </c>
      <c r="M158">
        <f>L158/(L158+K158)</f>
        <v>0.21885521885521886</v>
      </c>
      <c r="N158">
        <f>-4.0874-2.556*M158</f>
        <v>-4.6467939393939393</v>
      </c>
      <c r="O158">
        <f>E158-(SUM(K158:L158)*N158)</f>
        <v>38.057229999998526</v>
      </c>
      <c r="P158">
        <f>O158/(2*H158*J158)</f>
        <v>4.1002524450230442E-2</v>
      </c>
      <c r="Q158">
        <f>P158*16.02</f>
        <v>0.65686044169269164</v>
      </c>
    </row>
    <row r="159" spans="2:18" x14ac:dyDescent="0.2">
      <c r="C159">
        <v>100000</v>
      </c>
      <c r="D159">
        <v>743.64891299999999</v>
      </c>
      <c r="E159">
        <v>-22065.049299999999</v>
      </c>
      <c r="F159">
        <v>94821.707997000005</v>
      </c>
      <c r="G159">
        <v>0.30586200000000002</v>
      </c>
      <c r="H159">
        <v>34.059018000000002</v>
      </c>
      <c r="I159">
        <v>204.35410999999999</v>
      </c>
      <c r="J159">
        <v>13.623607</v>
      </c>
      <c r="K159">
        <v>3705</v>
      </c>
      <c r="L159">
        <v>1047</v>
      </c>
      <c r="M159">
        <f>L159/(L159+K159)</f>
        <v>0.22032828282828282</v>
      </c>
      <c r="N159">
        <f t="shared" ref="N159:N162" si="25">-4.0874-2.556*M159</f>
        <v>-4.6505590909090904</v>
      </c>
      <c r="O159">
        <f>E159-(SUM(K159:L159)*N159)</f>
        <v>34.407499999997526</v>
      </c>
      <c r="P159">
        <f>O159/(2*H159*J159)</f>
        <v>3.7076513956434104E-2</v>
      </c>
      <c r="Q159">
        <f>P159*16.02</f>
        <v>0.59396575358207437</v>
      </c>
    </row>
    <row r="160" spans="2:18" x14ac:dyDescent="0.2">
      <c r="C160">
        <v>100000</v>
      </c>
      <c r="D160">
        <v>743.67587800000001</v>
      </c>
      <c r="E160">
        <v>-22079.148015999999</v>
      </c>
      <c r="F160">
        <v>94782.469364999997</v>
      </c>
      <c r="G160">
        <v>-8.4214999999999998E-2</v>
      </c>
      <c r="H160">
        <v>34.054319999999997</v>
      </c>
      <c r="I160">
        <v>204.325918</v>
      </c>
      <c r="J160">
        <v>13.621727999999999</v>
      </c>
      <c r="K160">
        <v>3701</v>
      </c>
      <c r="L160">
        <v>1051</v>
      </c>
      <c r="M160">
        <f>L160/(L160+K160)</f>
        <v>0.22117003367003368</v>
      </c>
      <c r="N160">
        <f t="shared" si="25"/>
        <v>-4.652710606060606</v>
      </c>
      <c r="O160">
        <f>E160-(SUM(K160:L160)*N160)</f>
        <v>30.532783999999083</v>
      </c>
      <c r="P160">
        <f>O160/(2*H160*J160)</f>
        <v>3.2910311505668643E-2</v>
      </c>
      <c r="Q160">
        <f>P160*16.02</f>
        <v>0.52722319032081166</v>
      </c>
    </row>
    <row r="161" spans="2:18" x14ac:dyDescent="0.2">
      <c r="C161">
        <v>100000</v>
      </c>
      <c r="D161">
        <v>743.52934700000003</v>
      </c>
      <c r="E161">
        <v>-21942.243504999999</v>
      </c>
      <c r="F161">
        <v>95129.920943999998</v>
      </c>
      <c r="G161">
        <v>-0.140316</v>
      </c>
      <c r="H161">
        <v>34.095880999999999</v>
      </c>
      <c r="I161">
        <v>204.57528400000001</v>
      </c>
      <c r="J161">
        <v>13.638351999999999</v>
      </c>
      <c r="K161">
        <v>3753</v>
      </c>
      <c r="L161">
        <v>999</v>
      </c>
      <c r="M161">
        <f>L161/(L161+K161)</f>
        <v>0.21022727272727273</v>
      </c>
      <c r="N161">
        <f t="shared" si="25"/>
        <v>-4.6247409090909084</v>
      </c>
      <c r="O161">
        <f>E161-(SUM(K161:L161)*N161)</f>
        <v>34.52529499999946</v>
      </c>
      <c r="P161">
        <f>O161/(2*H161*J161)</f>
        <v>3.7123044896210169E-2</v>
      </c>
      <c r="Q161">
        <f>P161*16.02</f>
        <v>0.59471117923728689</v>
      </c>
    </row>
    <row r="162" spans="2:18" x14ac:dyDescent="0.2">
      <c r="C162">
        <v>100000</v>
      </c>
      <c r="D162">
        <v>743.61882400000002</v>
      </c>
      <c r="E162">
        <v>-22017.400367999999</v>
      </c>
      <c r="F162">
        <v>94936.145411999998</v>
      </c>
      <c r="G162">
        <v>0.14099100000000001</v>
      </c>
      <c r="H162">
        <v>34.072713999999998</v>
      </c>
      <c r="I162">
        <v>204.43628699999999</v>
      </c>
      <c r="J162">
        <v>13.629085999999999</v>
      </c>
      <c r="K162">
        <v>3724</v>
      </c>
      <c r="L162">
        <v>1028</v>
      </c>
      <c r="M162">
        <f>L162/(L162+K162)</f>
        <v>0.21632996632996632</v>
      </c>
      <c r="N162">
        <f t="shared" si="25"/>
        <v>-4.640339393939394</v>
      </c>
      <c r="O162">
        <f>E162-(SUM(K162:L162)*N162)</f>
        <v>33.492432000002736</v>
      </c>
      <c r="P162">
        <f>O162/(2*H162*J162)</f>
        <v>3.606145360733639E-2</v>
      </c>
      <c r="Q162">
        <f>P162*16.02</f>
        <v>0.5777044867895289</v>
      </c>
    </row>
    <row r="163" spans="2:18" x14ac:dyDescent="0.2">
      <c r="Q163" s="1">
        <f>AVERAGE(Q158:Q162)</f>
        <v>0.59009301032447881</v>
      </c>
      <c r="R163">
        <f>STDEV(Q158:Q162)</f>
        <v>4.636891550010902E-2</v>
      </c>
    </row>
    <row r="165" spans="2:18" x14ac:dyDescent="0.2">
      <c r="B165" t="s">
        <v>65</v>
      </c>
    </row>
    <row r="166" spans="2:18" x14ac:dyDescent="0.2">
      <c r="C166" t="s">
        <v>52</v>
      </c>
      <c r="D166" t="s">
        <v>13</v>
      </c>
      <c r="E166" t="s">
        <v>4</v>
      </c>
      <c r="F166" t="s">
        <v>5</v>
      </c>
      <c r="G166" t="s">
        <v>14</v>
      </c>
      <c r="H166" t="s">
        <v>15</v>
      </c>
      <c r="I166" t="s">
        <v>16</v>
      </c>
      <c r="J166" t="s">
        <v>17</v>
      </c>
      <c r="K166" t="s">
        <v>18</v>
      </c>
      <c r="L166" t="s">
        <v>19</v>
      </c>
      <c r="M166" t="s">
        <v>9</v>
      </c>
      <c r="N166" t="s">
        <v>20</v>
      </c>
      <c r="O166" t="s">
        <v>8</v>
      </c>
      <c r="P166" t="s">
        <v>21</v>
      </c>
      <c r="Q166" t="s">
        <v>21</v>
      </c>
    </row>
    <row r="167" spans="2:18" x14ac:dyDescent="0.2">
      <c r="B167" t="s">
        <v>25</v>
      </c>
      <c r="C167">
        <v>100000</v>
      </c>
      <c r="D167">
        <v>693.96734100000003</v>
      </c>
      <c r="E167">
        <v>-18949.196946</v>
      </c>
      <c r="F167">
        <v>75915.728499000004</v>
      </c>
      <c r="G167">
        <v>0.28133599999999997</v>
      </c>
      <c r="H167">
        <v>30.592988999999999</v>
      </c>
      <c r="I167">
        <v>183.600979</v>
      </c>
      <c r="J167">
        <v>13.51558</v>
      </c>
      <c r="K167">
        <v>2721</v>
      </c>
      <c r="L167">
        <v>1183</v>
      </c>
      <c r="M167">
        <f>L167/(L167+K167)</f>
        <v>0.30302254098360654</v>
      </c>
      <c r="N167">
        <f>-4.1047-2.4982*M167</f>
        <v>-4.861710911885246</v>
      </c>
      <c r="O167">
        <f>E167-(SUM(K167:L167)*N167)</f>
        <v>30.922453999999561</v>
      </c>
      <c r="P167">
        <f>O167/(2*H167*J167)</f>
        <v>3.7392745908849237E-2</v>
      </c>
      <c r="Q167">
        <f>P167*16.02</f>
        <v>0.59903178945976476</v>
      </c>
    </row>
    <row r="168" spans="2:18" x14ac:dyDescent="0.2">
      <c r="C168">
        <v>100000</v>
      </c>
      <c r="D168">
        <v>694.17843300000004</v>
      </c>
      <c r="E168">
        <v>-18907.486346000002</v>
      </c>
      <c r="F168">
        <v>76036.814962999997</v>
      </c>
      <c r="G168">
        <v>0.35950300000000002</v>
      </c>
      <c r="H168">
        <v>30.609245999999999</v>
      </c>
      <c r="I168">
        <v>183.69854000000001</v>
      </c>
      <c r="J168">
        <v>13.522762</v>
      </c>
      <c r="K168">
        <v>2735</v>
      </c>
      <c r="L168">
        <v>1169</v>
      </c>
      <c r="M168">
        <f>L168/(L168+K168)</f>
        <v>0.29943647540983609</v>
      </c>
      <c r="N168">
        <f t="shared" ref="N168:N171" si="26">-4.1047-2.4982*M168</f>
        <v>-4.852752202868853</v>
      </c>
      <c r="O168">
        <f>E168-(SUM(K168:L168)*N168)</f>
        <v>37.658254000001762</v>
      </c>
      <c r="P168">
        <f>O168/(2*H168*J168)</f>
        <v>4.5489603189476022E-2</v>
      </c>
      <c r="Q168">
        <f>P168*16.02</f>
        <v>0.72874344309540584</v>
      </c>
    </row>
    <row r="169" spans="2:18" x14ac:dyDescent="0.2">
      <c r="C169">
        <v>100000</v>
      </c>
      <c r="D169">
        <v>693.90047000000004</v>
      </c>
      <c r="E169">
        <v>-18905.824951999999</v>
      </c>
      <c r="F169">
        <v>76017.826595000006</v>
      </c>
      <c r="G169">
        <v>0.32896900000000001</v>
      </c>
      <c r="H169">
        <v>30.606697</v>
      </c>
      <c r="I169">
        <v>183.68324699999999</v>
      </c>
      <c r="J169">
        <v>13.521636000000001</v>
      </c>
      <c r="K169">
        <v>2740</v>
      </c>
      <c r="L169">
        <v>1164</v>
      </c>
      <c r="M169">
        <f>L169/(L169+K169)</f>
        <v>0.29815573770491804</v>
      </c>
      <c r="N169">
        <f t="shared" si="26"/>
        <v>-4.8495526639344266</v>
      </c>
      <c r="O169">
        <f>E169-(SUM(K169:L169)*N169)</f>
        <v>26.828648000002431</v>
      </c>
      <c r="P169">
        <f>O169/(2*H169*J169)</f>
        <v>3.2413287923064381E-2</v>
      </c>
      <c r="Q169">
        <f>P169*16.02</f>
        <v>0.51926087252749131</v>
      </c>
    </row>
    <row r="170" spans="2:18" x14ac:dyDescent="0.2">
      <c r="C170">
        <v>100000</v>
      </c>
      <c r="D170">
        <v>693.94908099999998</v>
      </c>
      <c r="E170">
        <v>-18902.831506999999</v>
      </c>
      <c r="F170">
        <v>76043.663671000002</v>
      </c>
      <c r="G170">
        <v>0.399843</v>
      </c>
      <c r="H170">
        <v>30.610164999999999</v>
      </c>
      <c r="I170">
        <v>183.70405500000001</v>
      </c>
      <c r="J170">
        <v>13.523168</v>
      </c>
      <c r="K170">
        <v>2737</v>
      </c>
      <c r="L170">
        <v>1167</v>
      </c>
      <c r="M170">
        <f>L170/(L170+K170)</f>
        <v>0.29892418032786883</v>
      </c>
      <c r="N170">
        <f t="shared" si="26"/>
        <v>-4.8514723872950825</v>
      </c>
      <c r="O170">
        <f>E170-(SUM(K170:L170)*N170)</f>
        <v>37.316693000004307</v>
      </c>
      <c r="P170">
        <f>O170/(2*H170*J170)</f>
        <v>4.5074305099880543E-2</v>
      </c>
      <c r="Q170">
        <f>P170*16.02</f>
        <v>0.72209036770008628</v>
      </c>
    </row>
    <row r="171" spans="2:18" x14ac:dyDescent="0.2">
      <c r="C171">
        <v>100000</v>
      </c>
      <c r="D171">
        <v>694.05998199999999</v>
      </c>
      <c r="E171">
        <v>-18780.654166</v>
      </c>
      <c r="F171">
        <v>76332.224866000004</v>
      </c>
      <c r="G171">
        <v>0.381741</v>
      </c>
      <c r="H171">
        <v>30.648834000000001</v>
      </c>
      <c r="I171">
        <v>183.936127</v>
      </c>
      <c r="J171">
        <v>13.540252000000001</v>
      </c>
      <c r="K171">
        <v>2782</v>
      </c>
      <c r="L171">
        <v>1122</v>
      </c>
      <c r="M171">
        <f>L171/(L171+K171)</f>
        <v>0.28739754098360654</v>
      </c>
      <c r="N171">
        <f t="shared" si="26"/>
        <v>-4.822676536885246</v>
      </c>
      <c r="O171">
        <f>E171-(SUM(K171:L171)*N171)</f>
        <v>47.075034000001324</v>
      </c>
      <c r="P171">
        <f>O171/(2*H171*J171)</f>
        <v>5.6717873885909535E-2</v>
      </c>
      <c r="Q171">
        <f>P171*16.02</f>
        <v>0.90862033965227074</v>
      </c>
    </row>
    <row r="172" spans="2:18" x14ac:dyDescent="0.2">
      <c r="Q172" s="1">
        <f>AVERAGE(Q167:Q171)</f>
        <v>0.69554936248700372</v>
      </c>
      <c r="R172">
        <f>STDEV(Q167:Q171)</f>
        <v>0.14798546115294051</v>
      </c>
    </row>
    <row r="173" spans="2:18" x14ac:dyDescent="0.2">
      <c r="B173" t="s">
        <v>30</v>
      </c>
      <c r="C173">
        <v>100000</v>
      </c>
      <c r="D173">
        <v>743.62668399999995</v>
      </c>
      <c r="E173">
        <v>-15448.13675</v>
      </c>
      <c r="F173">
        <v>61459.269173000001</v>
      </c>
      <c r="G173">
        <v>-4.7944000000000001E-2</v>
      </c>
      <c r="H173">
        <v>23.855447999999999</v>
      </c>
      <c r="I173">
        <v>190.88656700000001</v>
      </c>
      <c r="J173">
        <v>13.496596</v>
      </c>
      <c r="K173">
        <v>2180</v>
      </c>
      <c r="L173">
        <v>988</v>
      </c>
      <c r="M173">
        <f>L173/(L173+K173)</f>
        <v>0.31186868686868685</v>
      </c>
      <c r="N173">
        <f>-4.1047-2.4982*M173</f>
        <v>-4.8838103535353534</v>
      </c>
      <c r="O173">
        <f>E173-(SUM(K173:L173)*N173)</f>
        <v>23.774450000000797</v>
      </c>
      <c r="P173">
        <f>O173/(2*H173*J173)</f>
        <v>3.6920592164059567E-2</v>
      </c>
      <c r="Q173">
        <f>P173*16.02</f>
        <v>0.59146788646823423</v>
      </c>
    </row>
    <row r="174" spans="2:18" x14ac:dyDescent="0.2">
      <c r="C174">
        <v>100000</v>
      </c>
      <c r="D174">
        <v>743.76358100000004</v>
      </c>
      <c r="E174">
        <v>-15302.02513</v>
      </c>
      <c r="F174">
        <v>61817.549183000003</v>
      </c>
      <c r="G174">
        <v>3.4008999999999998E-2</v>
      </c>
      <c r="H174">
        <v>23.901713999999998</v>
      </c>
      <c r="I174">
        <v>191.256775</v>
      </c>
      <c r="J174">
        <v>13.522771000000001</v>
      </c>
      <c r="K174">
        <v>2234</v>
      </c>
      <c r="L174">
        <v>934</v>
      </c>
      <c r="M174">
        <f>L174/(L174+K174)</f>
        <v>0.29482323232323232</v>
      </c>
      <c r="N174">
        <f t="shared" ref="N174:N177" si="27">-4.1047-2.4982*M174</f>
        <v>-4.8412273989898988</v>
      </c>
      <c r="O174">
        <f>E174-(SUM(K174:L174)*N174)</f>
        <v>34.983269999998811</v>
      </c>
      <c r="P174">
        <f>O174/(2*H174*J174)</f>
        <v>5.4117243481411524E-2</v>
      </c>
      <c r="Q174">
        <f>P174*16.02</f>
        <v>0.8669582405722126</v>
      </c>
    </row>
    <row r="175" spans="2:18" x14ac:dyDescent="0.2">
      <c r="C175">
        <v>100000</v>
      </c>
      <c r="D175">
        <v>743.59918200000004</v>
      </c>
      <c r="E175">
        <v>-15248.525272000001</v>
      </c>
      <c r="F175">
        <v>61918.337823000002</v>
      </c>
      <c r="G175">
        <v>-0.12990199999999999</v>
      </c>
      <c r="H175">
        <v>23.914695999999999</v>
      </c>
      <c r="I175">
        <v>191.36066</v>
      </c>
      <c r="J175">
        <v>13.530116</v>
      </c>
      <c r="K175">
        <v>2256</v>
      </c>
      <c r="L175">
        <v>912</v>
      </c>
      <c r="M175">
        <f>L175/(L175+K175)</f>
        <v>0.2878787878787879</v>
      </c>
      <c r="N175">
        <f t="shared" si="27"/>
        <v>-4.8238787878787885</v>
      </c>
      <c r="O175">
        <f>E175-(SUM(K175:L175)*N175)</f>
        <v>33.522728000001734</v>
      </c>
      <c r="P175">
        <f>O175/(2*H175*J175)</f>
        <v>5.180157602120302E-2</v>
      </c>
      <c r="Q175">
        <f>P175*16.02</f>
        <v>0.82986124785967241</v>
      </c>
    </row>
    <row r="176" spans="2:18" x14ac:dyDescent="0.2">
      <c r="C176">
        <v>100000</v>
      </c>
      <c r="D176">
        <v>743.81697799999995</v>
      </c>
      <c r="E176">
        <v>-15308.571674999999</v>
      </c>
      <c r="F176">
        <v>61789.972512</v>
      </c>
      <c r="G176">
        <v>0.48948700000000001</v>
      </c>
      <c r="H176">
        <v>23.898159</v>
      </c>
      <c r="I176">
        <v>191.22833299999999</v>
      </c>
      <c r="J176">
        <v>13.520759999999999</v>
      </c>
      <c r="K176">
        <v>2232</v>
      </c>
      <c r="L176">
        <v>936</v>
      </c>
      <c r="M176">
        <f>L176/(L176+K176)</f>
        <v>0.29545454545454547</v>
      </c>
      <c r="N176">
        <f t="shared" si="27"/>
        <v>-4.8428045454545456</v>
      </c>
      <c r="O176">
        <f>E176-(SUM(K176:L176)*N176)</f>
        <v>33.433125000001382</v>
      </c>
      <c r="P176">
        <f>O176/(2*H176*J176)</f>
        <v>5.1734639387875196E-2</v>
      </c>
      <c r="Q176">
        <f>P176*16.02</f>
        <v>0.82878892299376061</v>
      </c>
    </row>
    <row r="177" spans="2:18" x14ac:dyDescent="0.2">
      <c r="C177">
        <v>100000</v>
      </c>
      <c r="D177">
        <v>743.83714699999996</v>
      </c>
      <c r="E177">
        <v>-15399.098942000001</v>
      </c>
      <c r="F177">
        <v>61594.247663000002</v>
      </c>
      <c r="G177">
        <v>0.305844</v>
      </c>
      <c r="H177">
        <v>23.872899</v>
      </c>
      <c r="I177">
        <v>191.026206</v>
      </c>
      <c r="J177">
        <v>13.506468999999999</v>
      </c>
      <c r="K177">
        <v>2199</v>
      </c>
      <c r="L177">
        <v>969</v>
      </c>
      <c r="M177">
        <f>L177/(L177+K177)</f>
        <v>0.3058712121212121</v>
      </c>
      <c r="N177">
        <f t="shared" si="27"/>
        <v>-4.868827462121212</v>
      </c>
      <c r="O177">
        <f>E177-(SUM(K177:L177)*N177)</f>
        <v>25.346457999998165</v>
      </c>
      <c r="P177">
        <f>O177/(2*H177*J177)</f>
        <v>3.9304320785355049E-2</v>
      </c>
      <c r="Q177">
        <f>P177*16.02</f>
        <v>0.62965521898138788</v>
      </c>
    </row>
    <row r="178" spans="2:18" x14ac:dyDescent="0.2">
      <c r="Q178" s="1">
        <f>AVERAGE(Q173:Q177)</f>
        <v>0.74934630337505359</v>
      </c>
      <c r="R178">
        <f>STDEV(Q173:Q177)</f>
        <v>0.12833345635184798</v>
      </c>
    </row>
    <row r="179" spans="2:18" x14ac:dyDescent="0.2">
      <c r="B179" t="s">
        <v>24</v>
      </c>
      <c r="C179">
        <v>100000</v>
      </c>
      <c r="D179">
        <v>743.73322199999996</v>
      </c>
      <c r="E179">
        <v>-11973.238669</v>
      </c>
      <c r="F179">
        <v>48159.658863999997</v>
      </c>
      <c r="G179">
        <v>0.46151500000000001</v>
      </c>
      <c r="H179">
        <v>34.459468999999999</v>
      </c>
      <c r="I179">
        <v>137.85940099999999</v>
      </c>
      <c r="J179">
        <v>10.13767</v>
      </c>
      <c r="K179">
        <v>1726</v>
      </c>
      <c r="L179">
        <v>746</v>
      </c>
      <c r="M179">
        <f>L179/(L179+K179)</f>
        <v>0.3017799352750809</v>
      </c>
      <c r="N179">
        <f>-4.1047-2.4982*M179</f>
        <v>-4.8586066343042074</v>
      </c>
      <c r="O179">
        <f>E179-(SUM(K179:L179)*N179)</f>
        <v>37.236930999999458</v>
      </c>
      <c r="P179">
        <f>O179/(2*H179*J179)</f>
        <v>5.3296311466235896E-2</v>
      </c>
      <c r="Q179">
        <f>P179*16.02</f>
        <v>0.853806909689099</v>
      </c>
    </row>
    <row r="180" spans="2:18" x14ac:dyDescent="0.2">
      <c r="C180">
        <v>100000</v>
      </c>
      <c r="D180">
        <v>743.89012100000002</v>
      </c>
      <c r="E180">
        <v>-11944.863896999999</v>
      </c>
      <c r="F180">
        <v>48226.132455999999</v>
      </c>
      <c r="G180">
        <v>-0.113707</v>
      </c>
      <c r="H180">
        <v>34.475316999999997</v>
      </c>
      <c r="I180">
        <v>137.92280199999999</v>
      </c>
      <c r="J180">
        <v>10.142333000000001</v>
      </c>
      <c r="K180">
        <v>1738</v>
      </c>
      <c r="L180">
        <v>734</v>
      </c>
      <c r="M180">
        <f>L180/(L180+K180)</f>
        <v>0.29692556634304207</v>
      </c>
      <c r="N180">
        <f t="shared" ref="N180:N183" si="28">-4.1047-2.4982*M180</f>
        <v>-4.8464794498381885</v>
      </c>
      <c r="O180">
        <f>E180-(SUM(K180:L180)*N180)</f>
        <v>35.633303000002343</v>
      </c>
      <c r="P180">
        <f>O180/(2*H180*J180)</f>
        <v>5.0954195780568735E-2</v>
      </c>
      <c r="Q180">
        <f>P180*16.02</f>
        <v>0.81628621640471111</v>
      </c>
    </row>
    <row r="181" spans="2:18" x14ac:dyDescent="0.2">
      <c r="C181">
        <v>100000</v>
      </c>
      <c r="D181">
        <v>743.85708</v>
      </c>
      <c r="E181">
        <v>-11898.081618</v>
      </c>
      <c r="F181">
        <v>48343.525014999999</v>
      </c>
      <c r="G181">
        <v>0.32735399999999998</v>
      </c>
      <c r="H181">
        <v>34.503267000000001</v>
      </c>
      <c r="I181">
        <v>138.03461799999999</v>
      </c>
      <c r="J181">
        <v>10.150555000000001</v>
      </c>
      <c r="K181">
        <v>1758</v>
      </c>
      <c r="L181">
        <v>714</v>
      </c>
      <c r="M181">
        <f>L181/(L181+K181)</f>
        <v>0.28883495145631066</v>
      </c>
      <c r="N181">
        <f t="shared" si="28"/>
        <v>-4.8262674757281552</v>
      </c>
      <c r="O181">
        <f>E181-(SUM(K181:L181)*N181)</f>
        <v>32.451581999999689</v>
      </c>
      <c r="P181">
        <f>O181/(2*H181*J181)</f>
        <v>4.6329314037511934E-2</v>
      </c>
      <c r="Q181">
        <f>P181*16.02</f>
        <v>0.74219561088094121</v>
      </c>
    </row>
    <row r="182" spans="2:18" x14ac:dyDescent="0.2">
      <c r="C182">
        <v>100000</v>
      </c>
      <c r="D182">
        <v>743.62598400000002</v>
      </c>
      <c r="E182">
        <v>-11982.207907</v>
      </c>
      <c r="F182">
        <v>48156.500765999997</v>
      </c>
      <c r="G182">
        <v>8.5758000000000001E-2</v>
      </c>
      <c r="H182">
        <v>34.458716000000003</v>
      </c>
      <c r="I182">
        <v>137.85638900000001</v>
      </c>
      <c r="J182">
        <v>10.137449</v>
      </c>
      <c r="K182">
        <v>1723</v>
      </c>
      <c r="L182">
        <v>749</v>
      </c>
      <c r="M182">
        <f>L182/(L182+K182)</f>
        <v>0.30299352750809061</v>
      </c>
      <c r="N182">
        <f t="shared" si="28"/>
        <v>-4.8616384304207125</v>
      </c>
      <c r="O182">
        <f>E182-(SUM(K182:L182)*N182)</f>
        <v>35.762293000001591</v>
      </c>
      <c r="P182">
        <f>O182/(2*H182*J182)</f>
        <v>5.1187932462806146E-2</v>
      </c>
      <c r="Q182">
        <f>P182*16.02</f>
        <v>0.82003067805415442</v>
      </c>
    </row>
    <row r="183" spans="2:18" x14ac:dyDescent="0.2">
      <c r="C183">
        <v>100000</v>
      </c>
      <c r="D183">
        <v>743.68522399999995</v>
      </c>
      <c r="E183">
        <v>-12080.879927</v>
      </c>
      <c r="F183">
        <v>47916.078905000002</v>
      </c>
      <c r="G183">
        <v>0.38691199999999998</v>
      </c>
      <c r="H183">
        <v>34.401276000000003</v>
      </c>
      <c r="I183">
        <v>137.62659099999999</v>
      </c>
      <c r="J183">
        <v>10.12055</v>
      </c>
      <c r="K183">
        <v>1686</v>
      </c>
      <c r="L183">
        <v>786</v>
      </c>
      <c r="M183">
        <f>L183/(L183+K183)</f>
        <v>0.31796116504854371</v>
      </c>
      <c r="N183">
        <f t="shared" si="28"/>
        <v>-4.8990305825242721</v>
      </c>
      <c r="O183">
        <f>E183-(SUM(K183:L183)*N183)</f>
        <v>29.523673000001509</v>
      </c>
      <c r="P183">
        <f>O183/(2*H183*J183)</f>
        <v>4.2399596581713564E-2</v>
      </c>
      <c r="Q183">
        <f>P183*16.02</f>
        <v>0.67924153723905123</v>
      </c>
    </row>
    <row r="184" spans="2:18" x14ac:dyDescent="0.2">
      <c r="Q184" s="1">
        <f>AVERAGE(Q179:Q183)</f>
        <v>0.78231219045359146</v>
      </c>
      <c r="R184">
        <f>STDEV(Q179:Q183)</f>
        <v>7.057144099323398E-2</v>
      </c>
    </row>
    <row r="185" spans="2:18" x14ac:dyDescent="0.2">
      <c r="B185" t="s">
        <v>31</v>
      </c>
      <c r="C185">
        <v>100000</v>
      </c>
      <c r="D185">
        <v>743.649494</v>
      </c>
      <c r="E185">
        <v>-15599.443436</v>
      </c>
      <c r="F185">
        <v>63098.634897999997</v>
      </c>
      <c r="G185">
        <v>-0.13686799999999999</v>
      </c>
      <c r="H185">
        <v>27.881640999999998</v>
      </c>
      <c r="I185">
        <v>167.311386</v>
      </c>
      <c r="J185">
        <v>13.526204</v>
      </c>
      <c r="K185">
        <v>2282</v>
      </c>
      <c r="L185">
        <v>950</v>
      </c>
      <c r="M185">
        <f>L185/(L185+K185)</f>
        <v>0.29393564356435642</v>
      </c>
      <c r="N185">
        <f>-4.1047-2.4982*M185</f>
        <v>-4.8390100247524757</v>
      </c>
      <c r="O185">
        <f>E185-(SUM(K185:L185)*N185)</f>
        <v>40.236964000001535</v>
      </c>
      <c r="P185">
        <f>O185/(2*H185*J185)</f>
        <v>5.3345887494657171E-2</v>
      </c>
      <c r="Q185">
        <f>P185*16.02</f>
        <v>0.85460111766440783</v>
      </c>
    </row>
    <row r="186" spans="2:18" x14ac:dyDescent="0.2">
      <c r="C186">
        <v>100000</v>
      </c>
      <c r="D186">
        <v>743.90639999999996</v>
      </c>
      <c r="E186">
        <v>-15782.73256</v>
      </c>
      <c r="F186">
        <v>62660.971608</v>
      </c>
      <c r="G186">
        <v>0.26520500000000002</v>
      </c>
      <c r="H186">
        <v>27.817027</v>
      </c>
      <c r="I186">
        <v>166.923653</v>
      </c>
      <c r="J186">
        <v>13.494858000000001</v>
      </c>
      <c r="K186">
        <v>2210</v>
      </c>
      <c r="L186">
        <v>1022</v>
      </c>
      <c r="M186">
        <f>L186/(L186+K186)</f>
        <v>0.31621287128712872</v>
      </c>
      <c r="N186">
        <f t="shared" ref="N186:N189" si="29">-4.1047-2.4982*M186</f>
        <v>-4.8946629950495053</v>
      </c>
      <c r="O186">
        <f>E186-(SUM(K186:L186)*N186)</f>
        <v>36.818240000000515</v>
      </c>
      <c r="P186">
        <f>O186/(2*H186*J186)</f>
        <v>4.9040399291620053E-2</v>
      </c>
      <c r="Q186">
        <f>P186*16.02</f>
        <v>0.78562719665175318</v>
      </c>
    </row>
    <row r="187" spans="2:18" x14ac:dyDescent="0.2">
      <c r="C187">
        <v>100000</v>
      </c>
      <c r="D187">
        <v>743.92228499999999</v>
      </c>
      <c r="E187">
        <v>-15698.29305</v>
      </c>
      <c r="F187">
        <v>62881.370456999997</v>
      </c>
      <c r="G187">
        <v>0.29384399999999999</v>
      </c>
      <c r="H187">
        <v>27.849602999999998</v>
      </c>
      <c r="I187">
        <v>167.119134</v>
      </c>
      <c r="J187">
        <v>13.510661000000001</v>
      </c>
      <c r="K187">
        <v>2242</v>
      </c>
      <c r="L187">
        <v>990</v>
      </c>
      <c r="M187">
        <f>L187/(L187+K187)</f>
        <v>0.30631188118811881</v>
      </c>
      <c r="N187">
        <f t="shared" si="29"/>
        <v>-4.869928341584159</v>
      </c>
      <c r="O187">
        <f>E187-(SUM(K187:L187)*N187)</f>
        <v>41.315350000000763</v>
      </c>
      <c r="P187">
        <f>O187/(2*H187*J187)</f>
        <v>5.4901705368317753E-2</v>
      </c>
      <c r="Q187">
        <f>P187*16.02</f>
        <v>0.87952532000045036</v>
      </c>
    </row>
    <row r="188" spans="2:18" x14ac:dyDescent="0.2">
      <c r="C188">
        <v>100000</v>
      </c>
      <c r="D188">
        <v>743.73643200000004</v>
      </c>
      <c r="E188">
        <v>-15582.309176000001</v>
      </c>
      <c r="F188">
        <v>63127.161368000001</v>
      </c>
      <c r="G188">
        <v>0.3836</v>
      </c>
      <c r="H188">
        <v>27.885843000000001</v>
      </c>
      <c r="I188">
        <v>167.33659700000001</v>
      </c>
      <c r="J188">
        <v>13.528242000000001</v>
      </c>
      <c r="K188">
        <v>2288</v>
      </c>
      <c r="L188">
        <v>944</v>
      </c>
      <c r="M188">
        <f>L188/(L188+K188)</f>
        <v>0.29207920792079206</v>
      </c>
      <c r="N188">
        <f t="shared" si="29"/>
        <v>-4.8343722772277227</v>
      </c>
      <c r="O188">
        <f>E188-(SUM(K188:L188)*N188)</f>
        <v>42.382023999998637</v>
      </c>
      <c r="P188">
        <f>O188/(2*H188*J188)</f>
        <v>5.6172862552476971E-2</v>
      </c>
      <c r="Q188">
        <f>P188*16.02</f>
        <v>0.8998892580906811</v>
      </c>
    </row>
    <row r="189" spans="2:18" x14ac:dyDescent="0.2">
      <c r="C189">
        <v>100000</v>
      </c>
      <c r="D189">
        <v>743.81594099999995</v>
      </c>
      <c r="E189">
        <v>-15674.816151999999</v>
      </c>
      <c r="F189">
        <v>62924.143385000003</v>
      </c>
      <c r="G189">
        <v>-0.13139500000000001</v>
      </c>
      <c r="H189">
        <v>27.855917000000002</v>
      </c>
      <c r="I189">
        <v>167.15701899999999</v>
      </c>
      <c r="J189">
        <v>13.513724</v>
      </c>
      <c r="K189">
        <v>2252</v>
      </c>
      <c r="L189">
        <v>980</v>
      </c>
      <c r="M189">
        <f>L189/(L189+K189)</f>
        <v>0.30321782178217821</v>
      </c>
      <c r="N189">
        <f t="shared" si="29"/>
        <v>-4.8621987623762379</v>
      </c>
      <c r="O189">
        <f>E189-(SUM(K189:L189)*N189)</f>
        <v>39.810248000001593</v>
      </c>
      <c r="P189">
        <f>O189/(2*H189*J189)</f>
        <v>5.2877678851274937E-2</v>
      </c>
      <c r="Q189">
        <f>P189*16.02</f>
        <v>0.84710041519742452</v>
      </c>
    </row>
    <row r="190" spans="2:18" x14ac:dyDescent="0.2">
      <c r="Q190" s="1">
        <f>AVERAGE(Q185:Q189)</f>
        <v>0.85334866152094335</v>
      </c>
      <c r="R190">
        <f>STDEV(Q185:Q189)</f>
        <v>4.3237861333440909E-2</v>
      </c>
    </row>
    <row r="191" spans="2:18" x14ac:dyDescent="0.2">
      <c r="B191" t="s">
        <v>23</v>
      </c>
      <c r="C191">
        <v>100000</v>
      </c>
      <c r="D191">
        <v>743.57716100000005</v>
      </c>
      <c r="E191">
        <v>-13909.030828000001</v>
      </c>
      <c r="F191">
        <v>56219.374469000002</v>
      </c>
      <c r="G191">
        <v>7.5249999999999996E-3</v>
      </c>
      <c r="H191">
        <v>32.118814999999998</v>
      </c>
      <c r="I191">
        <v>128.86457999999999</v>
      </c>
      <c r="J191">
        <v>13.582905999999999</v>
      </c>
      <c r="K191">
        <v>2027</v>
      </c>
      <c r="L191">
        <v>853</v>
      </c>
      <c r="M191">
        <f>L191/(L191+K191)</f>
        <v>0.29618055555555556</v>
      </c>
      <c r="N191">
        <f>-4.1047-2.4982*M191</f>
        <v>-4.8446182638888891</v>
      </c>
      <c r="O191">
        <f>E191-(SUM(K191:L191)*N191)</f>
        <v>43.469772000000376</v>
      </c>
      <c r="P191">
        <f>O191/(2*H191*J191)</f>
        <v>4.9820164539839014E-2</v>
      </c>
      <c r="Q191">
        <f>P191*16.02</f>
        <v>0.79811903592822098</v>
      </c>
    </row>
    <row r="192" spans="2:18" x14ac:dyDescent="0.2">
      <c r="C192">
        <v>100000</v>
      </c>
      <c r="D192">
        <v>743.724152</v>
      </c>
      <c r="E192">
        <v>-13919.788305</v>
      </c>
      <c r="F192">
        <v>56195.817622000002</v>
      </c>
      <c r="G192">
        <v>-1.257E-2</v>
      </c>
      <c r="H192">
        <v>32.114328</v>
      </c>
      <c r="I192">
        <v>128.84657899999999</v>
      </c>
      <c r="J192">
        <v>13.581009</v>
      </c>
      <c r="K192">
        <v>2026</v>
      </c>
      <c r="L192">
        <v>854</v>
      </c>
      <c r="M192">
        <f>L192/(L192+K192)</f>
        <v>0.29652777777777778</v>
      </c>
      <c r="N192">
        <f t="shared" ref="N192:N195" si="30">-4.1047-2.4982*M192</f>
        <v>-4.8454856944444451</v>
      </c>
      <c r="O192">
        <f>E192-(SUM(K192:L192)*N192)</f>
        <v>35.210495000001174</v>
      </c>
      <c r="P192">
        <f>O192/(2*H192*J192)</f>
        <v>4.036558576691867E-2</v>
      </c>
      <c r="Q192">
        <f>P192*16.02</f>
        <v>0.64665668398603704</v>
      </c>
    </row>
    <row r="193" spans="2:18" x14ac:dyDescent="0.2">
      <c r="C193">
        <v>100000</v>
      </c>
      <c r="D193">
        <v>743.77432499999998</v>
      </c>
      <c r="E193">
        <v>-13912.02816</v>
      </c>
      <c r="F193">
        <v>56230.878741</v>
      </c>
      <c r="G193">
        <v>0.14313899999999999</v>
      </c>
      <c r="H193">
        <v>32.121006000000001</v>
      </c>
      <c r="I193">
        <v>128.873368</v>
      </c>
      <c r="J193">
        <v>13.583833</v>
      </c>
      <c r="K193">
        <v>2027</v>
      </c>
      <c r="L193">
        <v>853</v>
      </c>
      <c r="M193">
        <f>L193/(L193+K193)</f>
        <v>0.29618055555555556</v>
      </c>
      <c r="N193">
        <f t="shared" si="30"/>
        <v>-4.8446182638888891</v>
      </c>
      <c r="O193">
        <f>E193-(SUM(K193:L193)*N193)</f>
        <v>40.47244000000137</v>
      </c>
      <c r="P193">
        <f>O193/(2*H193*J193)</f>
        <v>4.6378630464410771E-2</v>
      </c>
      <c r="Q193">
        <f>P193*16.02</f>
        <v>0.74298566003986055</v>
      </c>
    </row>
    <row r="194" spans="2:18" x14ac:dyDescent="0.2">
      <c r="C194">
        <v>100000</v>
      </c>
      <c r="D194">
        <v>743.81343300000003</v>
      </c>
      <c r="E194">
        <v>-13936.686077</v>
      </c>
      <c r="F194">
        <v>56149.337942999999</v>
      </c>
      <c r="G194">
        <v>0.16817499999999999</v>
      </c>
      <c r="H194">
        <v>32.105471999999999</v>
      </c>
      <c r="I194">
        <v>128.81104500000001</v>
      </c>
      <c r="J194">
        <v>13.577264</v>
      </c>
      <c r="K194">
        <v>2017</v>
      </c>
      <c r="L194">
        <v>863</v>
      </c>
      <c r="M194">
        <f>L194/(L194+K194)</f>
        <v>0.29965277777777777</v>
      </c>
      <c r="N194">
        <f t="shared" si="30"/>
        <v>-4.8532925694444451</v>
      </c>
      <c r="O194">
        <f>E194-(SUM(K194:L194)*N194)</f>
        <v>40.796523000000889</v>
      </c>
      <c r="P194">
        <f>O194/(2*H194*J194)</f>
        <v>4.6795256625768812E-2</v>
      </c>
      <c r="Q194">
        <f>P194*16.02</f>
        <v>0.7496600111448164</v>
      </c>
    </row>
    <row r="195" spans="2:18" x14ac:dyDescent="0.2">
      <c r="C195">
        <v>100000</v>
      </c>
      <c r="D195">
        <v>743.65720899999997</v>
      </c>
      <c r="E195">
        <v>-13958.143826</v>
      </c>
      <c r="F195">
        <v>56073.074099999998</v>
      </c>
      <c r="G195">
        <v>0.18276000000000001</v>
      </c>
      <c r="H195">
        <v>32.09093</v>
      </c>
      <c r="I195">
        <v>128.752702</v>
      </c>
      <c r="J195">
        <v>13.571114</v>
      </c>
      <c r="K195">
        <v>2009</v>
      </c>
      <c r="L195">
        <v>871</v>
      </c>
      <c r="M195">
        <f>L195/(L195+K195)</f>
        <v>0.30243055555555554</v>
      </c>
      <c r="N195">
        <f t="shared" si="30"/>
        <v>-4.860232013888889</v>
      </c>
      <c r="O195">
        <f>E195-(SUM(K195:L195)*N195)</f>
        <v>39.324374000001626</v>
      </c>
      <c r="P195">
        <f>O195/(2*H195*J195)</f>
        <v>4.5147532607643405E-2</v>
      </c>
      <c r="Q195">
        <f>P195*16.02</f>
        <v>0.72326347237444732</v>
      </c>
    </row>
    <row r="196" spans="2:18" x14ac:dyDescent="0.2">
      <c r="Q196" s="1">
        <f>AVERAGE(Q191:Q195)</f>
        <v>0.73213697269467648</v>
      </c>
      <c r="R196">
        <f>STDEV(Q191:Q195)</f>
        <v>5.5145267992456892E-2</v>
      </c>
    </row>
    <row r="197" spans="2:18" x14ac:dyDescent="0.2">
      <c r="B197" t="s">
        <v>32</v>
      </c>
      <c r="C197">
        <v>100000</v>
      </c>
      <c r="D197">
        <v>743.85654599999998</v>
      </c>
      <c r="E197">
        <v>-17858.97136</v>
      </c>
      <c r="F197">
        <v>71606.915993000002</v>
      </c>
      <c r="G197">
        <v>-8.2599000000000006E-2</v>
      </c>
      <c r="H197">
        <v>25.730881</v>
      </c>
      <c r="I197">
        <v>205.89008999999999</v>
      </c>
      <c r="J197">
        <v>13.516514000000001</v>
      </c>
      <c r="K197">
        <v>2563</v>
      </c>
      <c r="L197">
        <v>1117</v>
      </c>
      <c r="M197">
        <f>L197/(L197+K197)</f>
        <v>0.30353260869565218</v>
      </c>
      <c r="N197">
        <f>-4.1047-2.4982*M197</f>
        <v>-4.8629851630434784</v>
      </c>
      <c r="O197">
        <f>E197-(SUM(K197:L197)*N197)</f>
        <v>36.814040000001114</v>
      </c>
      <c r="P197">
        <f>O197/(2*H197*J197)</f>
        <v>5.2925397602077567E-2</v>
      </c>
      <c r="Q197">
        <f>P197*16.02</f>
        <v>0.84786486958528262</v>
      </c>
    </row>
    <row r="198" spans="2:18" x14ac:dyDescent="0.2">
      <c r="C198">
        <v>100000</v>
      </c>
      <c r="D198">
        <v>744.06938100000002</v>
      </c>
      <c r="E198">
        <v>-17647.680940999999</v>
      </c>
      <c r="F198">
        <v>72094.331229999996</v>
      </c>
      <c r="G198">
        <v>4.7278000000000001E-2</v>
      </c>
      <c r="H198">
        <v>25.78913</v>
      </c>
      <c r="I198">
        <v>206.35618600000001</v>
      </c>
      <c r="J198">
        <v>13.547113</v>
      </c>
      <c r="K198">
        <v>2648</v>
      </c>
      <c r="L198">
        <v>1032</v>
      </c>
      <c r="M198">
        <f>L198/(L198+K198)</f>
        <v>0.28043478260869564</v>
      </c>
      <c r="N198">
        <f t="shared" ref="N198:N201" si="31">-4.1047-2.4982*M198</f>
        <v>-4.805282173913044</v>
      </c>
      <c r="O198">
        <f>E198-(SUM(K198:L198)*N198)</f>
        <v>35.757459000004019</v>
      </c>
      <c r="P198">
        <f>O198/(2*H198*J198)</f>
        <v>5.1174452962428771E-2</v>
      </c>
      <c r="Q198">
        <f>P198*16.02</f>
        <v>0.81981473645810887</v>
      </c>
    </row>
    <row r="199" spans="2:18" x14ac:dyDescent="0.2">
      <c r="C199">
        <v>100000</v>
      </c>
      <c r="D199">
        <v>743.80364299999997</v>
      </c>
      <c r="E199">
        <v>-17862.688452999999</v>
      </c>
      <c r="F199">
        <v>71622.10153</v>
      </c>
      <c r="G199">
        <v>-2.9199999999999999E-3</v>
      </c>
      <c r="H199">
        <v>25.732699</v>
      </c>
      <c r="I199">
        <v>205.90464</v>
      </c>
      <c r="J199">
        <v>13.517469999999999</v>
      </c>
      <c r="K199">
        <v>2563</v>
      </c>
      <c r="L199">
        <v>1117</v>
      </c>
      <c r="M199">
        <f>L199/(L199+K199)</f>
        <v>0.30353260869565218</v>
      </c>
      <c r="N199">
        <f t="shared" si="31"/>
        <v>-4.8629851630434784</v>
      </c>
      <c r="O199">
        <f>E199-(SUM(K199:L199)*N199)</f>
        <v>33.096947000001819</v>
      </c>
      <c r="P199">
        <f>O199/(2*H199*J199)</f>
        <v>4.7574823354045469E-2</v>
      </c>
      <c r="Q199">
        <f>P199*16.02</f>
        <v>0.76214867013180843</v>
      </c>
    </row>
    <row r="200" spans="2:18" x14ac:dyDescent="0.2">
      <c r="C200">
        <v>100000</v>
      </c>
      <c r="D200">
        <v>743.79812600000002</v>
      </c>
      <c r="E200">
        <v>-17771.324640999999</v>
      </c>
      <c r="F200">
        <v>71820.278174000006</v>
      </c>
      <c r="G200">
        <v>0.32496199999999997</v>
      </c>
      <c r="H200">
        <v>25.756411</v>
      </c>
      <c r="I200">
        <v>206.09437500000001</v>
      </c>
      <c r="J200">
        <v>13.529926</v>
      </c>
      <c r="K200">
        <v>2598</v>
      </c>
      <c r="L200">
        <v>1082</v>
      </c>
      <c r="M200">
        <f>L200/(L200+K200)</f>
        <v>0.29402173913043478</v>
      </c>
      <c r="N200">
        <f t="shared" si="31"/>
        <v>-4.8392251086956524</v>
      </c>
      <c r="O200">
        <f>E200-(SUM(K200:L200)*N200)</f>
        <v>37.0237589999997</v>
      </c>
      <c r="P200">
        <f>O200/(2*H200*J200)</f>
        <v>5.3121428687830992E-2</v>
      </c>
      <c r="Q200">
        <f>P200*16.02</f>
        <v>0.85100528757905247</v>
      </c>
    </row>
    <row r="201" spans="2:18" x14ac:dyDescent="0.2">
      <c r="C201">
        <v>100000</v>
      </c>
      <c r="D201">
        <v>743.66776000000004</v>
      </c>
      <c r="E201">
        <v>-17953.697867999999</v>
      </c>
      <c r="F201">
        <v>71393.777434999996</v>
      </c>
      <c r="G201">
        <v>-0.26666299999999998</v>
      </c>
      <c r="H201">
        <v>25.705325999999999</v>
      </c>
      <c r="I201">
        <v>205.685609</v>
      </c>
      <c r="J201">
        <v>13.50309</v>
      </c>
      <c r="K201">
        <v>2523</v>
      </c>
      <c r="L201">
        <v>1157</v>
      </c>
      <c r="M201">
        <f>L201/(L201+K201)</f>
        <v>0.31440217391304348</v>
      </c>
      <c r="N201">
        <f t="shared" si="31"/>
        <v>-4.8901395108695658</v>
      </c>
      <c r="O201">
        <f>E201-(SUM(K201:L201)*N201)</f>
        <v>42.015532000001258</v>
      </c>
      <c r="P201">
        <f>O201/(2*H201*J201)</f>
        <v>6.0523438421629903E-2</v>
      </c>
      <c r="Q201">
        <f>P201*16.02</f>
        <v>0.96958548351451102</v>
      </c>
    </row>
    <row r="202" spans="2:18" x14ac:dyDescent="0.2">
      <c r="Q202" s="1">
        <f>AVERAGE(Q197:Q201)</f>
        <v>0.85008380945375284</v>
      </c>
      <c r="R202">
        <f>STDEV(Q197:Q201)</f>
        <v>7.5721906386105292E-2</v>
      </c>
    </row>
    <row r="203" spans="2:18" x14ac:dyDescent="0.2">
      <c r="B203" t="s">
        <v>22</v>
      </c>
      <c r="C203">
        <v>100000</v>
      </c>
      <c r="D203">
        <v>694.03497800000002</v>
      </c>
      <c r="E203">
        <v>-18225.246057</v>
      </c>
      <c r="F203">
        <v>73752.824070000002</v>
      </c>
      <c r="G203">
        <v>0.40554499999999999</v>
      </c>
      <c r="H203">
        <v>30.161649000000001</v>
      </c>
      <c r="I203">
        <v>90.640668000000005</v>
      </c>
      <c r="J203">
        <v>26.977412000000001</v>
      </c>
      <c r="K203">
        <v>2656</v>
      </c>
      <c r="L203">
        <v>1120</v>
      </c>
      <c r="M203">
        <f>L203/(L203+K203)</f>
        <v>0.29661016949152541</v>
      </c>
      <c r="N203">
        <f>-4.1047-2.4982*M203</f>
        <v>-4.8456915254237289</v>
      </c>
      <c r="O203">
        <f>E203-(SUM(K203:L203)*N203)</f>
        <v>72.085143000000244</v>
      </c>
      <c r="P203">
        <f>O203/(2*H203*J203)</f>
        <v>4.4295581003827154E-2</v>
      </c>
      <c r="Q203">
        <f>P203*16.02</f>
        <v>0.70961520768131103</v>
      </c>
    </row>
    <row r="204" spans="2:18" x14ac:dyDescent="0.2">
      <c r="C204">
        <v>100000</v>
      </c>
      <c r="D204">
        <v>694.14249800000005</v>
      </c>
      <c r="E204">
        <v>-18263.877003000001</v>
      </c>
      <c r="F204">
        <v>73691.342317000002</v>
      </c>
      <c r="G204">
        <v>0.472468</v>
      </c>
      <c r="H204">
        <v>30.153265999999999</v>
      </c>
      <c r="I204">
        <v>90.615475000000004</v>
      </c>
      <c r="J204">
        <v>26.969913999999999</v>
      </c>
      <c r="K204">
        <v>2640</v>
      </c>
      <c r="L204">
        <v>1136</v>
      </c>
      <c r="M204">
        <f>L204/(L204+K204)</f>
        <v>0.30084745762711862</v>
      </c>
      <c r="N204">
        <f t="shared" ref="N204:N207" si="32">-4.1047-2.4982*M204</f>
        <v>-4.8562771186440683</v>
      </c>
      <c r="O204">
        <f>E204-(SUM(K204:L204)*N204)</f>
        <v>73.425396999999066</v>
      </c>
      <c r="P204">
        <f>O204/(2*H204*J204)</f>
        <v>4.514424427199696E-2</v>
      </c>
      <c r="Q204">
        <f>P204*16.02</f>
        <v>0.72321079323739124</v>
      </c>
    </row>
    <row r="205" spans="2:18" x14ac:dyDescent="0.2">
      <c r="C205">
        <v>100000</v>
      </c>
      <c r="D205">
        <v>693.96250099999997</v>
      </c>
      <c r="E205">
        <v>-18415.354748999998</v>
      </c>
      <c r="F205">
        <v>73344.756636000006</v>
      </c>
      <c r="G205">
        <v>0.46025100000000002</v>
      </c>
      <c r="H205">
        <v>30.105919</v>
      </c>
      <c r="I205">
        <v>90.473191</v>
      </c>
      <c r="J205">
        <v>26.927565999999999</v>
      </c>
      <c r="K205">
        <v>2581</v>
      </c>
      <c r="L205">
        <v>1195</v>
      </c>
      <c r="M205">
        <f>L205/(L205+K205)</f>
        <v>0.31647245762711862</v>
      </c>
      <c r="N205">
        <f t="shared" si="32"/>
        <v>-4.8953114936440683</v>
      </c>
      <c r="O205">
        <f>E205-(SUM(K205:L205)*N205)</f>
        <v>69.341451000003872</v>
      </c>
      <c r="P205">
        <f>O205/(2*H205*J205)</f>
        <v>4.2767507646042487E-2</v>
      </c>
      <c r="Q205">
        <f>P205*16.02</f>
        <v>0.68513547248960061</v>
      </c>
    </row>
    <row r="206" spans="2:18" x14ac:dyDescent="0.2">
      <c r="C206">
        <v>100000</v>
      </c>
      <c r="D206">
        <v>694.15712499999995</v>
      </c>
      <c r="E206">
        <v>-18161.530622999999</v>
      </c>
      <c r="F206">
        <v>73915.531082999994</v>
      </c>
      <c r="G206">
        <v>0.52600199999999997</v>
      </c>
      <c r="H206">
        <v>30.183813000000001</v>
      </c>
      <c r="I206">
        <v>90.707273999999998</v>
      </c>
      <c r="J206">
        <v>26.997236000000001</v>
      </c>
      <c r="K206">
        <v>2680</v>
      </c>
      <c r="L206">
        <v>1096</v>
      </c>
      <c r="M206">
        <f>L206/(L206+K206)</f>
        <v>0.2902542372881356</v>
      </c>
      <c r="N206">
        <f t="shared" si="32"/>
        <v>-4.8298131355932208</v>
      </c>
      <c r="O206">
        <f>E206-(SUM(K206:L206)*N206)</f>
        <v>75.843777000001865</v>
      </c>
      <c r="P206">
        <f>O206/(2*H206*J206)</f>
        <v>4.6536803824867676E-2</v>
      </c>
      <c r="Q206">
        <f>P206*16.02</f>
        <v>0.74551959727438011</v>
      </c>
    </row>
    <row r="207" spans="2:18" x14ac:dyDescent="0.2">
      <c r="C207">
        <v>100000</v>
      </c>
      <c r="D207">
        <v>694.07905100000005</v>
      </c>
      <c r="E207">
        <v>-18213.410742</v>
      </c>
      <c r="F207">
        <v>73785.346699000002</v>
      </c>
      <c r="G207">
        <v>0.26028600000000002</v>
      </c>
      <c r="H207">
        <v>30.166081999999999</v>
      </c>
      <c r="I207">
        <v>90.653989999999993</v>
      </c>
      <c r="J207">
        <v>26.981376999999998</v>
      </c>
      <c r="K207">
        <v>2661</v>
      </c>
      <c r="L207">
        <v>1115</v>
      </c>
      <c r="M207">
        <f>L207/(L207+K207)</f>
        <v>0.29528601694915252</v>
      </c>
      <c r="N207">
        <f t="shared" si="32"/>
        <v>-4.8423835275423732</v>
      </c>
      <c r="O207">
        <f>E207-(SUM(K207:L207)*N207)</f>
        <v>71.429458000002342</v>
      </c>
      <c r="P207">
        <f>O207/(2*H207*J207)</f>
        <v>4.3879769910889162E-2</v>
      </c>
      <c r="Q207">
        <f>P207*16.02</f>
        <v>0.70295391397244433</v>
      </c>
    </row>
    <row r="208" spans="2:18" x14ac:dyDescent="0.2">
      <c r="Q208" s="1">
        <f>AVERAGE(Q203:Q207)</f>
        <v>0.71328699693102549</v>
      </c>
      <c r="R208">
        <f>STDEV(Q203:Q207)</f>
        <v>2.2639485562419723E-2</v>
      </c>
    </row>
    <row r="209" spans="2:18" x14ac:dyDescent="0.2">
      <c r="B209" t="s">
        <v>33</v>
      </c>
      <c r="C209">
        <v>100000</v>
      </c>
      <c r="D209">
        <v>743.86703399999999</v>
      </c>
      <c r="E209">
        <v>-31373.118337</v>
      </c>
      <c r="F209">
        <v>126480.52976200001</v>
      </c>
      <c r="G209">
        <v>6.6403000000000004E-2</v>
      </c>
      <c r="H209">
        <v>39.456746000000003</v>
      </c>
      <c r="I209">
        <v>236.80514199999999</v>
      </c>
      <c r="J209">
        <v>13.536649000000001</v>
      </c>
      <c r="K209">
        <v>4567</v>
      </c>
      <c r="L209">
        <v>1921</v>
      </c>
      <c r="M209">
        <f>L209/(L209+K209)</f>
        <v>0.29608508014796547</v>
      </c>
      <c r="N209">
        <f>-4.1047-2.4982*M209</f>
        <v>-4.8443797472256476</v>
      </c>
      <c r="O209">
        <f>E209-(SUM(K209:L209)*N209)</f>
        <v>57.217463000000862</v>
      </c>
      <c r="P209">
        <f>O209/(2*H209*J209)</f>
        <v>5.3563157172350037E-2</v>
      </c>
      <c r="Q209">
        <f>P209*16.02</f>
        <v>0.85808177790104756</v>
      </c>
    </row>
    <row r="210" spans="2:18" x14ac:dyDescent="0.2">
      <c r="C210">
        <v>100000</v>
      </c>
      <c r="D210">
        <v>743.78125699999998</v>
      </c>
      <c r="E210">
        <v>-31572.215585000002</v>
      </c>
      <c r="F210">
        <v>126026.714595</v>
      </c>
      <c r="G210">
        <v>4.0141999999999997E-2</v>
      </c>
      <c r="H210">
        <v>39.409498999999997</v>
      </c>
      <c r="I210">
        <v>236.52158299999999</v>
      </c>
      <c r="J210">
        <v>13.520440000000001</v>
      </c>
      <c r="K210">
        <v>4491</v>
      </c>
      <c r="L210">
        <v>1997</v>
      </c>
      <c r="M210">
        <f>L210/(L210+K210)</f>
        <v>0.30779901356350187</v>
      </c>
      <c r="N210">
        <f t="shared" ref="N210:N213" si="33">-4.1047-2.4982*M210</f>
        <v>-4.8736434956843411</v>
      </c>
      <c r="O210">
        <f>E210-(SUM(K210:L210)*N210)</f>
        <v>47.983415000002424</v>
      </c>
      <c r="P210">
        <f>O210/(2*H210*J210)</f>
        <v>4.5026627442194517E-2</v>
      </c>
      <c r="Q210">
        <f>P210*16.02</f>
        <v>0.72132657162395619</v>
      </c>
    </row>
    <row r="211" spans="2:18" x14ac:dyDescent="0.2">
      <c r="C211">
        <v>100000</v>
      </c>
      <c r="D211">
        <v>743.61636499999997</v>
      </c>
      <c r="E211">
        <v>-31309.354908000001</v>
      </c>
      <c r="F211">
        <v>126629.089208</v>
      </c>
      <c r="G211">
        <v>0.109614</v>
      </c>
      <c r="H211">
        <v>39.472188000000003</v>
      </c>
      <c r="I211">
        <v>236.897819</v>
      </c>
      <c r="J211">
        <v>13.541947</v>
      </c>
      <c r="K211">
        <v>4594</v>
      </c>
      <c r="L211">
        <v>1894</v>
      </c>
      <c r="M211">
        <f>L211/(L211+K211)</f>
        <v>0.29192355117139335</v>
      </c>
      <c r="N211">
        <f t="shared" si="33"/>
        <v>-4.833983415536375</v>
      </c>
      <c r="O211">
        <f>E211-(SUM(K211:L211)*N211)</f>
        <v>53.529492000001483</v>
      </c>
      <c r="P211">
        <f>O211/(2*H211*J211)</f>
        <v>5.0071524678922376E-2</v>
      </c>
      <c r="Q211">
        <f>P211*16.02</f>
        <v>0.80214582535633649</v>
      </c>
    </row>
    <row r="212" spans="2:18" x14ac:dyDescent="0.2">
      <c r="C212">
        <v>100000</v>
      </c>
      <c r="D212">
        <v>743.75149399999998</v>
      </c>
      <c r="E212">
        <v>-31346.908112000001</v>
      </c>
      <c r="F212">
        <v>126539.74588</v>
      </c>
      <c r="G212">
        <v>-9.2453999999999995E-2</v>
      </c>
      <c r="H212">
        <v>39.462902999999997</v>
      </c>
      <c r="I212">
        <v>236.842094</v>
      </c>
      <c r="J212">
        <v>13.538762</v>
      </c>
      <c r="K212">
        <v>4578</v>
      </c>
      <c r="L212">
        <v>1910</v>
      </c>
      <c r="M212">
        <f>L212/(L212+K212)</f>
        <v>0.2943896424167694</v>
      </c>
      <c r="N212">
        <f t="shared" si="33"/>
        <v>-4.8401442046855738</v>
      </c>
      <c r="O212">
        <f>E212-(SUM(K212:L212)*N212)</f>
        <v>55.947488000001613</v>
      </c>
      <c r="P212">
        <f>O212/(2*H212*J212)</f>
        <v>5.2357947388430061E-2</v>
      </c>
      <c r="Q212">
        <f>P212*16.02</f>
        <v>0.83877431716264961</v>
      </c>
    </row>
    <row r="213" spans="2:18" x14ac:dyDescent="0.2">
      <c r="C213">
        <v>100000</v>
      </c>
      <c r="D213">
        <v>743.68504199999995</v>
      </c>
      <c r="E213">
        <v>-31382.576963</v>
      </c>
      <c r="F213">
        <v>126432.127154</v>
      </c>
      <c r="G213">
        <v>-0.14596700000000001</v>
      </c>
      <c r="H213">
        <v>39.451712000000001</v>
      </c>
      <c r="I213">
        <v>236.77493100000001</v>
      </c>
      <c r="J213">
        <v>13.534922</v>
      </c>
      <c r="K213">
        <v>4564</v>
      </c>
      <c r="L213">
        <v>1924</v>
      </c>
      <c r="M213">
        <f>L213/(L213+K213)</f>
        <v>0.29654747225647349</v>
      </c>
      <c r="N213">
        <f t="shared" si="33"/>
        <v>-4.8455348951911219</v>
      </c>
      <c r="O213">
        <f>E213-(SUM(K213:L213)*N213)</f>
        <v>55.253436999999394</v>
      </c>
      <c r="P213">
        <f>O213/(2*H213*J213)</f>
        <v>5.1737768243470539E-2</v>
      </c>
      <c r="Q213">
        <f>P213*16.02</f>
        <v>0.82883904726039803</v>
      </c>
    </row>
    <row r="214" spans="2:18" x14ac:dyDescent="0.2">
      <c r="Q214" s="1">
        <f>AVERAGE(Q209:Q213)</f>
        <v>0.80983350786087749</v>
      </c>
      <c r="R214">
        <f>STDEV(Q209:Q213)</f>
        <v>5.343045656999975E-2</v>
      </c>
    </row>
    <row r="215" spans="2:18" x14ac:dyDescent="0.2">
      <c r="B215" t="s">
        <v>34</v>
      </c>
      <c r="C215">
        <v>100000</v>
      </c>
      <c r="D215">
        <v>743.55382499999996</v>
      </c>
      <c r="E215">
        <v>-15965.151024999999</v>
      </c>
      <c r="F215">
        <v>64184.095807999998</v>
      </c>
      <c r="G215">
        <v>-0.144839</v>
      </c>
      <c r="H215">
        <v>24.361799999999999</v>
      </c>
      <c r="I215">
        <v>194.937443</v>
      </c>
      <c r="J215">
        <v>13.515204000000001</v>
      </c>
      <c r="K215">
        <v>2307</v>
      </c>
      <c r="L215">
        <v>989</v>
      </c>
      <c r="M215">
        <f>L215/(L215+K215)</f>
        <v>0.3000606796116505</v>
      </c>
      <c r="N215">
        <f>-4.1047-2.4982*M215</f>
        <v>-4.8543115898058256</v>
      </c>
      <c r="O215">
        <f>E215-(SUM(K215:L215)*N215)</f>
        <v>34.659975000002305</v>
      </c>
      <c r="P215">
        <f>O215/(2*H215*J215)</f>
        <v>5.2633987208234076E-2</v>
      </c>
      <c r="Q215">
        <f>P215*16.02</f>
        <v>0.84319647507590989</v>
      </c>
    </row>
    <row r="216" spans="2:18" x14ac:dyDescent="0.2">
      <c r="C216">
        <v>100000</v>
      </c>
      <c r="D216">
        <v>743.46130200000005</v>
      </c>
      <c r="E216">
        <v>-15839.444081</v>
      </c>
      <c r="F216">
        <v>64482.41001</v>
      </c>
      <c r="G216">
        <v>0.19811500000000001</v>
      </c>
      <c r="H216">
        <v>24.399484000000001</v>
      </c>
      <c r="I216">
        <v>195.23898199999999</v>
      </c>
      <c r="J216">
        <v>13.536110000000001</v>
      </c>
      <c r="K216">
        <v>2358</v>
      </c>
      <c r="L216">
        <v>938</v>
      </c>
      <c r="M216">
        <f>L216/(L216+K216)</f>
        <v>0.28458737864077671</v>
      </c>
      <c r="N216">
        <f t="shared" ref="N216:N219" si="34">-4.1047-2.4982*M216</f>
        <v>-4.8156561893203884</v>
      </c>
      <c r="O216">
        <f>E216-(SUM(K216:L216)*N216)</f>
        <v>32.958719000000201</v>
      </c>
      <c r="P216">
        <f>O216/(2*H216*J216)</f>
        <v>4.989600919833647E-2</v>
      </c>
      <c r="Q216">
        <f>P216*16.02</f>
        <v>0.79933406735735024</v>
      </c>
    </row>
    <row r="217" spans="2:18" x14ac:dyDescent="0.2">
      <c r="C217">
        <v>100000</v>
      </c>
      <c r="D217">
        <v>743.87458100000003</v>
      </c>
      <c r="E217">
        <v>-15861.132637000001</v>
      </c>
      <c r="F217">
        <v>64414.221124999996</v>
      </c>
      <c r="G217">
        <v>0.291574</v>
      </c>
      <c r="H217">
        <v>24.390881</v>
      </c>
      <c r="I217">
        <v>195.17014</v>
      </c>
      <c r="J217">
        <v>13.531337000000001</v>
      </c>
      <c r="K217">
        <v>2348</v>
      </c>
      <c r="L217">
        <v>948</v>
      </c>
      <c r="M217">
        <f>L217/(L217+K217)</f>
        <v>0.28762135922330095</v>
      </c>
      <c r="N217">
        <f t="shared" si="34"/>
        <v>-4.8232356796116509</v>
      </c>
      <c r="O217">
        <f>E217-(SUM(K217:L217)*N217)</f>
        <v>36.252163000001019</v>
      </c>
      <c r="P217">
        <f>O217/(2*H217*J217)</f>
        <v>5.4920657853744059E-2</v>
      </c>
      <c r="Q217">
        <f>P217*16.02</f>
        <v>0.87982893881697977</v>
      </c>
    </row>
    <row r="218" spans="2:18" x14ac:dyDescent="0.2">
      <c r="C218">
        <v>100000</v>
      </c>
      <c r="D218">
        <v>743.77520500000003</v>
      </c>
      <c r="E218">
        <v>-15926.117071000001</v>
      </c>
      <c r="F218">
        <v>64279.848410999999</v>
      </c>
      <c r="G218">
        <v>8.0601999999999993E-2</v>
      </c>
      <c r="H218">
        <v>24.373909000000001</v>
      </c>
      <c r="I218">
        <v>195.034333</v>
      </c>
      <c r="J218">
        <v>13.52192164</v>
      </c>
      <c r="K218">
        <v>2326</v>
      </c>
      <c r="L218">
        <v>970</v>
      </c>
      <c r="M218">
        <f>L218/(L218+K218)</f>
        <v>0.29429611650485438</v>
      </c>
      <c r="N218">
        <f t="shared" si="34"/>
        <v>-4.8399105582524271</v>
      </c>
      <c r="O218">
        <f>E218-(SUM(K218:L218)*N218)</f>
        <v>26.228128999999171</v>
      </c>
      <c r="P218">
        <f>O218/(2*H218*J218)</f>
        <v>3.9789979477183324E-2</v>
      </c>
      <c r="Q218">
        <f>P218*16.02</f>
        <v>0.63743547122447686</v>
      </c>
    </row>
    <row r="219" spans="2:18" x14ac:dyDescent="0.2">
      <c r="C219">
        <v>100000</v>
      </c>
      <c r="D219">
        <v>743.67915000000005</v>
      </c>
      <c r="E219">
        <v>-15905.983595</v>
      </c>
      <c r="F219">
        <v>64311.792838000001</v>
      </c>
      <c r="G219">
        <v>0.30621999999999999</v>
      </c>
      <c r="H219">
        <v>24.377945</v>
      </c>
      <c r="I219">
        <v>195.06663399999999</v>
      </c>
      <c r="J219">
        <v>13.524160999999999</v>
      </c>
      <c r="K219">
        <v>2332</v>
      </c>
      <c r="L219">
        <v>964</v>
      </c>
      <c r="M219">
        <f>L219/(L219+K219)</f>
        <v>0.29247572815533979</v>
      </c>
      <c r="N219">
        <f t="shared" si="34"/>
        <v>-4.8353628640776698</v>
      </c>
      <c r="O219">
        <f>E219-(SUM(K219:L219)*N219)</f>
        <v>31.372405000000072</v>
      </c>
      <c r="P219">
        <f>O219/(2*H219*J219)</f>
        <v>4.7578461229644334E-2</v>
      </c>
      <c r="Q219">
        <f>P219*16.02</f>
        <v>0.76220694889890217</v>
      </c>
    </row>
    <row r="220" spans="2:18" x14ac:dyDescent="0.2">
      <c r="Q220" s="1">
        <f>AVERAGE(Q215:Q219)</f>
        <v>0.7844003802747237</v>
      </c>
      <c r="R220">
        <f>STDEV(Q215:Q219)</f>
        <v>9.337804673421024E-2</v>
      </c>
    </row>
    <row r="221" spans="2:18" x14ac:dyDescent="0.2">
      <c r="B221" t="s">
        <v>35</v>
      </c>
      <c r="C221">
        <v>100000</v>
      </c>
      <c r="D221">
        <v>743.87623299999996</v>
      </c>
      <c r="E221">
        <v>-22852.203175999999</v>
      </c>
      <c r="F221">
        <v>92901.578416000004</v>
      </c>
      <c r="G221">
        <v>-0.15437799999999999</v>
      </c>
      <c r="H221">
        <v>33.827551999999997</v>
      </c>
      <c r="I221">
        <v>202.96531400000001</v>
      </c>
      <c r="J221">
        <v>13.531021000000001</v>
      </c>
      <c r="K221">
        <v>3394</v>
      </c>
      <c r="L221">
        <v>1358</v>
      </c>
      <c r="M221">
        <f>L221/(L221+K221)</f>
        <v>0.28577441077441079</v>
      </c>
      <c r="N221">
        <f>-4.1047-2.4982*M221</f>
        <v>-4.8186216329966332</v>
      </c>
      <c r="O221">
        <f>E221-(SUM(K221:L221)*N221)</f>
        <v>45.88682400000107</v>
      </c>
      <c r="P221">
        <f>O221/(2*H221*J221)</f>
        <v>5.0125286224182469E-2</v>
      </c>
      <c r="Q221">
        <f>P221*16.02</f>
        <v>0.80300708531140319</v>
      </c>
    </row>
    <row r="222" spans="2:18" x14ac:dyDescent="0.2">
      <c r="C222">
        <v>100000</v>
      </c>
      <c r="D222">
        <v>743.66011200000003</v>
      </c>
      <c r="E222">
        <v>-22858.121952000001</v>
      </c>
      <c r="F222">
        <v>92871.378949000005</v>
      </c>
      <c r="G222">
        <v>0.306201</v>
      </c>
      <c r="H222">
        <v>33.823886000000002</v>
      </c>
      <c r="I222">
        <v>202.94331500000001</v>
      </c>
      <c r="J222">
        <v>13.529553999999999</v>
      </c>
      <c r="K222">
        <v>3393</v>
      </c>
      <c r="L222">
        <v>1359</v>
      </c>
      <c r="M222">
        <f>L222/(L222+K222)</f>
        <v>0.28598484848484851</v>
      </c>
      <c r="N222">
        <f t="shared" ref="N222:N225" si="35">-4.1047-2.4982*M222</f>
        <v>-4.819147348484849</v>
      </c>
      <c r="O222">
        <f>E222-(SUM(K222:L222)*N222)</f>
        <v>42.466248000000633</v>
      </c>
      <c r="P222">
        <f>O222/(2*H222*J222)</f>
        <v>4.639881763862682E-2</v>
      </c>
      <c r="Q222">
        <f>P222*16.02</f>
        <v>0.74330905857080165</v>
      </c>
    </row>
    <row r="223" spans="2:18" x14ac:dyDescent="0.2">
      <c r="C223">
        <v>100000</v>
      </c>
      <c r="D223">
        <v>743.52069700000004</v>
      </c>
      <c r="E223">
        <v>-22995.609406</v>
      </c>
      <c r="F223">
        <v>92588.232239999998</v>
      </c>
      <c r="G223">
        <v>0.27530199999999999</v>
      </c>
      <c r="H223">
        <v>33.789476999999998</v>
      </c>
      <c r="I223">
        <v>202.736863</v>
      </c>
      <c r="J223">
        <v>13.515791</v>
      </c>
      <c r="K223">
        <v>3338</v>
      </c>
      <c r="L223">
        <v>1414</v>
      </c>
      <c r="M223">
        <f>L223/(L223+K223)</f>
        <v>0.29755892255892258</v>
      </c>
      <c r="N223">
        <f t="shared" si="35"/>
        <v>-4.848061700336701</v>
      </c>
      <c r="O223">
        <f>E223-(SUM(K223:L223)*N223)</f>
        <v>42.37979400000404</v>
      </c>
      <c r="P223">
        <f>O223/(2*H223*J223)</f>
        <v>4.6398710237263344E-2</v>
      </c>
      <c r="Q223">
        <f>P223*16.02</f>
        <v>0.74330733800095872</v>
      </c>
    </row>
    <row r="224" spans="2:18" x14ac:dyDescent="0.2">
      <c r="C224">
        <v>100000</v>
      </c>
      <c r="D224">
        <v>743.897963</v>
      </c>
      <c r="E224">
        <v>-23027.726025</v>
      </c>
      <c r="F224">
        <v>92511.626810000002</v>
      </c>
      <c r="G224">
        <v>0.33331699999999997</v>
      </c>
      <c r="H224">
        <v>33.780155999999998</v>
      </c>
      <c r="I224">
        <v>202.68093300000001</v>
      </c>
      <c r="J224">
        <v>13.512062</v>
      </c>
      <c r="K224">
        <v>3325</v>
      </c>
      <c r="L224">
        <v>1427</v>
      </c>
      <c r="M224">
        <f>L224/(L224+K224)</f>
        <v>0.30029461279461278</v>
      </c>
      <c r="N224">
        <f t="shared" si="35"/>
        <v>-4.8548960016835023</v>
      </c>
      <c r="O224">
        <f>E224-(SUM(K224:L224)*N224)</f>
        <v>42.739775000001828</v>
      </c>
      <c r="P224">
        <f>O224/(2*H224*J224)</f>
        <v>4.6818657425418693E-2</v>
      </c>
      <c r="Q224">
        <f>P224*16.02</f>
        <v>0.75003489195520745</v>
      </c>
    </row>
    <row r="225" spans="2:18" x14ac:dyDescent="0.2">
      <c r="C225">
        <v>100000</v>
      </c>
      <c r="D225">
        <v>743.54536700000006</v>
      </c>
      <c r="E225">
        <v>-22995.040316999999</v>
      </c>
      <c r="F225">
        <v>92623.912247999993</v>
      </c>
      <c r="G225">
        <v>0.19292400000000001</v>
      </c>
      <c r="H225">
        <v>33.793816999999997</v>
      </c>
      <c r="I225">
        <v>202.76290299999999</v>
      </c>
      <c r="J225">
        <v>13.517526999999999</v>
      </c>
      <c r="K225">
        <v>3338</v>
      </c>
      <c r="L225">
        <v>1414</v>
      </c>
      <c r="M225">
        <f>L225/(L225+K225)</f>
        <v>0.29755892255892258</v>
      </c>
      <c r="N225">
        <f t="shared" si="35"/>
        <v>-4.848061700336701</v>
      </c>
      <c r="O225">
        <f>E225-(SUM(K225:L225)*N225)</f>
        <v>42.948883000004571</v>
      </c>
      <c r="P225">
        <f>O225/(2*H225*J225)</f>
        <v>4.7009689643323811E-2</v>
      </c>
      <c r="Q225">
        <f>P225*16.02</f>
        <v>0.75309522808604745</v>
      </c>
    </row>
    <row r="226" spans="2:18" x14ac:dyDescent="0.2">
      <c r="Q226" s="1">
        <f>AVERAGE(Q221:Q225)</f>
        <v>0.75855072038488358</v>
      </c>
      <c r="R226">
        <f>STDEV(Q221:Q225)</f>
        <v>2.521566514046188E-2</v>
      </c>
    </row>
    <row r="228" spans="2:18" x14ac:dyDescent="0.2">
      <c r="B228" t="s">
        <v>66</v>
      </c>
    </row>
    <row r="229" spans="2:18" x14ac:dyDescent="0.2">
      <c r="C229" t="s">
        <v>52</v>
      </c>
      <c r="D229" t="s">
        <v>13</v>
      </c>
      <c r="E229" t="s">
        <v>4</v>
      </c>
      <c r="F229" t="s">
        <v>5</v>
      </c>
      <c r="G229" t="s">
        <v>14</v>
      </c>
      <c r="H229" t="s">
        <v>15</v>
      </c>
      <c r="I229" t="s">
        <v>16</v>
      </c>
      <c r="J229" t="s">
        <v>17</v>
      </c>
      <c r="K229" t="s">
        <v>18</v>
      </c>
      <c r="L229" t="s">
        <v>19</v>
      </c>
      <c r="M229" t="s">
        <v>9</v>
      </c>
      <c r="N229" t="s">
        <v>20</v>
      </c>
      <c r="O229" t="s">
        <v>8</v>
      </c>
      <c r="P229" t="s">
        <v>21</v>
      </c>
      <c r="Q229" t="s">
        <v>21</v>
      </c>
    </row>
    <row r="230" spans="2:18" x14ac:dyDescent="0.2">
      <c r="B230" t="s">
        <v>25</v>
      </c>
      <c r="C230">
        <v>100000</v>
      </c>
      <c r="D230">
        <v>694.06892400000004</v>
      </c>
      <c r="E230">
        <v>-23009.733999</v>
      </c>
      <c r="F230">
        <v>68255.260416000005</v>
      </c>
      <c r="G230">
        <v>0.48622700000000002</v>
      </c>
      <c r="H230">
        <v>29.527276000000001</v>
      </c>
      <c r="I230">
        <v>177.20519999999999</v>
      </c>
      <c r="J230">
        <v>13.044762</v>
      </c>
      <c r="K230">
        <v>1137</v>
      </c>
      <c r="L230">
        <v>2767</v>
      </c>
      <c r="M230">
        <f>L230/(L230+K230)</f>
        <v>0.70876024590163933</v>
      </c>
      <c r="N230">
        <f>-3.9749-2.722*M230</f>
        <v>-5.9041453893442624</v>
      </c>
      <c r="O230">
        <f>E230-(SUM(K230:L230)*N230)</f>
        <v>40.049600999998802</v>
      </c>
      <c r="P230">
        <f>O230/(2*H230*J230)</f>
        <v>5.1988663704361684E-2</v>
      </c>
      <c r="Q230">
        <f>P230*16.02</f>
        <v>0.83285839254387417</v>
      </c>
    </row>
    <row r="231" spans="2:18" x14ac:dyDescent="0.2">
      <c r="C231">
        <v>100000</v>
      </c>
      <c r="D231">
        <v>693.878378</v>
      </c>
      <c r="E231">
        <v>-23005.584458000001</v>
      </c>
      <c r="F231">
        <v>68272.910722999994</v>
      </c>
      <c r="G231">
        <v>0.56406199999999995</v>
      </c>
      <c r="H231">
        <v>29.529820999999998</v>
      </c>
      <c r="I231">
        <v>177.220472</v>
      </c>
      <c r="J231">
        <v>13.045885999999999</v>
      </c>
      <c r="K231">
        <v>1137</v>
      </c>
      <c r="L231">
        <v>2767</v>
      </c>
      <c r="M231">
        <f>L231/(L231+K231)</f>
        <v>0.70876024590163933</v>
      </c>
      <c r="N231">
        <f t="shared" ref="N231:N234" si="36">-3.9749-2.722*M231</f>
        <v>-5.9041453893442624</v>
      </c>
      <c r="O231">
        <f>E231-(SUM(K231:L231)*N231)</f>
        <v>44.199141999997664</v>
      </c>
      <c r="P231">
        <f>O231/(2*H231*J231)</f>
        <v>5.7365323836160838E-2</v>
      </c>
      <c r="Q231">
        <f>P231*16.02</f>
        <v>0.91899248785529664</v>
      </c>
    </row>
    <row r="232" spans="2:18" x14ac:dyDescent="0.2">
      <c r="C232">
        <v>100000</v>
      </c>
      <c r="D232">
        <v>693.89034200000003</v>
      </c>
      <c r="E232">
        <v>-23096.369422</v>
      </c>
      <c r="F232">
        <v>68088.424031000002</v>
      </c>
      <c r="G232">
        <v>0.39687899999999998</v>
      </c>
      <c r="H232">
        <v>29.503198000000001</v>
      </c>
      <c r="I232">
        <v>177.06070099999999</v>
      </c>
      <c r="J232">
        <v>13.034125</v>
      </c>
      <c r="K232">
        <v>1095</v>
      </c>
      <c r="L232">
        <v>2809</v>
      </c>
      <c r="M232">
        <f>L232/(L232+K232)</f>
        <v>0.71951844262295084</v>
      </c>
      <c r="N232">
        <f t="shared" si="36"/>
        <v>-5.9334292008196723</v>
      </c>
      <c r="O232">
        <f>E232-(SUM(K232:L232)*N232)</f>
        <v>67.738177999999607</v>
      </c>
      <c r="P232">
        <f>O232/(2*H232*J232)</f>
        <v>8.8074977263220319E-2</v>
      </c>
      <c r="Q232">
        <f>P232*16.02</f>
        <v>1.4109611357567895</v>
      </c>
    </row>
    <row r="233" spans="2:18" x14ac:dyDescent="0.2">
      <c r="C233">
        <v>100000</v>
      </c>
      <c r="D233">
        <v>694.02309300000002</v>
      </c>
      <c r="E233">
        <v>-23040.697796</v>
      </c>
      <c r="F233">
        <v>68193.939306</v>
      </c>
      <c r="G233">
        <v>0.51816799999999996</v>
      </c>
      <c r="H233">
        <v>29.518431</v>
      </c>
      <c r="I233">
        <v>177.15211600000001</v>
      </c>
      <c r="J233">
        <v>13.040854</v>
      </c>
      <c r="K233">
        <v>1126</v>
      </c>
      <c r="L233">
        <v>2778</v>
      </c>
      <c r="M233">
        <f>L233/(L233+K233)</f>
        <v>0.71157786885245899</v>
      </c>
      <c r="N233">
        <f t="shared" si="36"/>
        <v>-5.9118149590163931</v>
      </c>
      <c r="O233">
        <f>E233-(SUM(K233:L233)*N233)</f>
        <v>39.027803999997559</v>
      </c>
      <c r="P233">
        <f>O233/(2*H233*J233)</f>
        <v>5.0692629260687676E-2</v>
      </c>
      <c r="Q233">
        <f>P233*16.02</f>
        <v>0.8120959207562165</v>
      </c>
    </row>
    <row r="234" spans="2:18" x14ac:dyDescent="0.2">
      <c r="C234">
        <v>100000</v>
      </c>
      <c r="D234">
        <v>693.95665499999996</v>
      </c>
      <c r="E234">
        <v>-23075.556616999998</v>
      </c>
      <c r="F234">
        <v>68127.923939</v>
      </c>
      <c r="G234">
        <v>0.62020299999999995</v>
      </c>
      <c r="H234">
        <v>29.508901999999999</v>
      </c>
      <c r="I234">
        <v>177.094932</v>
      </c>
      <c r="J234">
        <v>13.036645</v>
      </c>
      <c r="K234">
        <v>1109</v>
      </c>
      <c r="L234">
        <v>2795</v>
      </c>
      <c r="M234">
        <f>L234/(L234+K234)</f>
        <v>0.71593237704918034</v>
      </c>
      <c r="N234">
        <f t="shared" si="36"/>
        <v>-5.923667930327869</v>
      </c>
      <c r="O234">
        <f>E234-(SUM(K234:L234)*N234)</f>
        <v>50.442983000000822</v>
      </c>
      <c r="P234">
        <f>O234/(2*H234*J234)</f>
        <v>6.5561952065674362E-2</v>
      </c>
      <c r="Q234">
        <f>P234*16.02</f>
        <v>1.0503024720921033</v>
      </c>
    </row>
    <row r="235" spans="2:18" x14ac:dyDescent="0.2">
      <c r="Q235" s="1">
        <f>AVERAGE(Q230:Q234)</f>
        <v>1.0050420818008559</v>
      </c>
      <c r="R235">
        <f>STDEV(Q230:Q234)</f>
        <v>0.2455090414933849</v>
      </c>
    </row>
    <row r="236" spans="2:18" x14ac:dyDescent="0.2">
      <c r="B236" t="s">
        <v>30</v>
      </c>
      <c r="C236">
        <v>100000</v>
      </c>
      <c r="D236">
        <v>744.01380800000004</v>
      </c>
      <c r="E236">
        <v>-18647.912155999999</v>
      </c>
      <c r="F236">
        <v>55450.069314</v>
      </c>
      <c r="G236">
        <v>0.34504299999999999</v>
      </c>
      <c r="H236">
        <v>23.051145000000002</v>
      </c>
      <c r="I236">
        <v>184.450692</v>
      </c>
      <c r="J236">
        <v>13.041549</v>
      </c>
      <c r="K236">
        <v>930</v>
      </c>
      <c r="L236">
        <v>2238</v>
      </c>
      <c r="M236">
        <f>L236/(L236+K236)</f>
        <v>0.70643939393939392</v>
      </c>
      <c r="N236">
        <f>-3.9749-2.722*M236</f>
        <v>-5.8978280303030299</v>
      </c>
      <c r="O236">
        <f>E236-(SUM(K236:L236)*N236)</f>
        <v>36.407043999999587</v>
      </c>
      <c r="P236">
        <f>O236/(2*H236*J236)</f>
        <v>6.0552732090399582E-2</v>
      </c>
      <c r="Q236">
        <f>P236*16.02</f>
        <v>0.97005476808820124</v>
      </c>
    </row>
    <row r="237" spans="2:18" x14ac:dyDescent="0.2">
      <c r="C237">
        <v>100000</v>
      </c>
      <c r="D237">
        <v>743.77538000000004</v>
      </c>
      <c r="E237">
        <v>-18681.656931000001</v>
      </c>
      <c r="F237">
        <v>55376.469742000001</v>
      </c>
      <c r="G237">
        <v>0.30954900000000002</v>
      </c>
      <c r="H237">
        <v>23.040942000000001</v>
      </c>
      <c r="I237">
        <v>184.36904899999999</v>
      </c>
      <c r="J237">
        <v>13.035776</v>
      </c>
      <c r="K237">
        <v>915</v>
      </c>
      <c r="L237">
        <v>2253</v>
      </c>
      <c r="M237">
        <f>L237/(L237+K237)</f>
        <v>0.71117424242424243</v>
      </c>
      <c r="N237">
        <f t="shared" ref="N237:N240" si="37">-3.9749-2.722*M237</f>
        <v>-5.9107162878787882</v>
      </c>
      <c r="O237">
        <f>E237-(SUM(K237:L237)*N237)</f>
        <v>43.492268999998487</v>
      </c>
      <c r="P237">
        <f>O237/(2*H237*J237)</f>
        <v>7.2401064225641562E-2</v>
      </c>
      <c r="Q237">
        <f>P237*16.02</f>
        <v>1.1598650488947777</v>
      </c>
    </row>
    <row r="238" spans="2:18" x14ac:dyDescent="0.2">
      <c r="C238">
        <v>100000</v>
      </c>
      <c r="D238">
        <v>743.73878000000002</v>
      </c>
      <c r="E238">
        <v>-18631.561872999999</v>
      </c>
      <c r="F238">
        <v>55463.116681</v>
      </c>
      <c r="G238">
        <v>0.47149000000000002</v>
      </c>
      <c r="H238">
        <v>23.052952999999999</v>
      </c>
      <c r="I238">
        <v>184.465158</v>
      </c>
      <c r="J238">
        <v>13.042571000000001</v>
      </c>
      <c r="K238">
        <v>935</v>
      </c>
      <c r="L238">
        <v>2233</v>
      </c>
      <c r="M238">
        <f>L238/(L238+K238)</f>
        <v>0.70486111111111116</v>
      </c>
      <c r="N238">
        <f t="shared" si="37"/>
        <v>-5.8935319444444447</v>
      </c>
      <c r="O238">
        <f>E238-(SUM(K238:L238)*N238)</f>
        <v>39.147327000002406</v>
      </c>
      <c r="P238">
        <f>O238/(2*H238*J238)</f>
        <v>6.5100203097681289E-2</v>
      </c>
      <c r="Q238">
        <f>P238*16.02</f>
        <v>1.0429052536248542</v>
      </c>
    </row>
    <row r="239" spans="2:18" x14ac:dyDescent="0.2">
      <c r="C239">
        <v>100000</v>
      </c>
      <c r="D239">
        <v>743.70589700000005</v>
      </c>
      <c r="E239">
        <v>-18779.172334999999</v>
      </c>
      <c r="F239">
        <v>55178.328604000002</v>
      </c>
      <c r="G239">
        <v>0.33921600000000002</v>
      </c>
      <c r="H239">
        <v>23.013428000000001</v>
      </c>
      <c r="I239">
        <v>184.14889099999999</v>
      </c>
      <c r="J239">
        <v>13.020210000000001</v>
      </c>
      <c r="K239">
        <v>879</v>
      </c>
      <c r="L239">
        <v>2289</v>
      </c>
      <c r="M239">
        <f>L239/(L239+K239)</f>
        <v>0.72253787878787878</v>
      </c>
      <c r="N239">
        <f t="shared" si="37"/>
        <v>-5.9416481060606063</v>
      </c>
      <c r="O239">
        <f>E239-(SUM(K239:L239)*N239)</f>
        <v>43.968865000002552</v>
      </c>
      <c r="P239">
        <f>O239/(2*H239*J239)</f>
        <v>7.3369566983495477E-2</v>
      </c>
      <c r="Q239">
        <f>P239*16.02</f>
        <v>1.1753804630755975</v>
      </c>
    </row>
    <row r="240" spans="2:18" x14ac:dyDescent="0.2">
      <c r="C240">
        <v>100000</v>
      </c>
      <c r="D240">
        <v>743.65324199999998</v>
      </c>
      <c r="E240">
        <v>-18687.964996999999</v>
      </c>
      <c r="F240">
        <v>55354.720045000002</v>
      </c>
      <c r="G240">
        <v>0.453345</v>
      </c>
      <c r="H240">
        <v>23.037925000000001</v>
      </c>
      <c r="I240">
        <v>184.344909</v>
      </c>
      <c r="J240">
        <v>13.034069000000001</v>
      </c>
      <c r="K240">
        <v>916</v>
      </c>
      <c r="L240">
        <v>2252</v>
      </c>
      <c r="M240">
        <f>L240/(L240+K240)</f>
        <v>0.71085858585858586</v>
      </c>
      <c r="N240">
        <f t="shared" si="37"/>
        <v>-5.909857070707071</v>
      </c>
      <c r="O240">
        <f>E240-(SUM(K240:L240)*N240)</f>
        <v>34.462203000002773</v>
      </c>
      <c r="P240">
        <f>O240/(2*H240*J240)</f>
        <v>5.7383847651230134E-2</v>
      </c>
      <c r="Q240">
        <f>P240*16.02</f>
        <v>0.91928923937270668</v>
      </c>
    </row>
    <row r="241" spans="2:18" x14ac:dyDescent="0.2">
      <c r="Q241" s="1">
        <f>AVERAGE(Q236:Q240)</f>
        <v>1.0534989546112274</v>
      </c>
      <c r="R241">
        <f>STDEV(Q236:Q240)</f>
        <v>0.11319922100899207</v>
      </c>
    </row>
    <row r="242" spans="2:18" x14ac:dyDescent="0.2">
      <c r="B242" t="s">
        <v>24</v>
      </c>
      <c r="C242">
        <v>100000</v>
      </c>
      <c r="D242">
        <v>743.69286399999999</v>
      </c>
      <c r="E242">
        <v>-14604.451821000001</v>
      </c>
      <c r="F242">
        <v>43169.368669000003</v>
      </c>
      <c r="G242">
        <v>2.3635E-2</v>
      </c>
      <c r="H242">
        <v>33.225591000000001</v>
      </c>
      <c r="I242">
        <v>132.92311699999999</v>
      </c>
      <c r="J242">
        <v>9.7746739999999992</v>
      </c>
      <c r="K242">
        <v>701</v>
      </c>
      <c r="L242">
        <v>1771</v>
      </c>
      <c r="M242">
        <f>L242/(L242+K242)</f>
        <v>0.71642394822006472</v>
      </c>
      <c r="N242">
        <f>-3.9749-2.722*M242</f>
        <v>-5.925005987055016</v>
      </c>
      <c r="O242">
        <f>E242-(SUM(K242:L242)*N242)</f>
        <v>42.162978999998813</v>
      </c>
      <c r="P242">
        <f>O242/(2*H242*J242)</f>
        <v>6.4912195119569943E-2</v>
      </c>
      <c r="Q242">
        <f>P242*16.02</f>
        <v>1.0398933658155105</v>
      </c>
    </row>
    <row r="243" spans="2:18" x14ac:dyDescent="0.2">
      <c r="C243">
        <v>100000</v>
      </c>
      <c r="D243">
        <v>744.15779299999997</v>
      </c>
      <c r="E243">
        <v>-14650.009468</v>
      </c>
      <c r="F243">
        <v>43094.793932</v>
      </c>
      <c r="G243">
        <v>0.39297500000000002</v>
      </c>
      <c r="H243">
        <v>33.206448000000002</v>
      </c>
      <c r="I243">
        <v>132.846532</v>
      </c>
      <c r="J243">
        <v>9.7690420000000007</v>
      </c>
      <c r="K243">
        <v>680</v>
      </c>
      <c r="L243">
        <v>1792</v>
      </c>
      <c r="M243">
        <f>L243/(L243+K243)</f>
        <v>0.72491909385113273</v>
      </c>
      <c r="N243">
        <f t="shared" ref="N243:N246" si="38">-3.9749-2.722*M243</f>
        <v>-5.9481297734627834</v>
      </c>
      <c r="O243">
        <f>E243-(SUM(K243:L243)*N243)</f>
        <v>53.767331999999442</v>
      </c>
      <c r="P243">
        <f>O243/(2*H243*J243)</f>
        <v>8.2873196730244847E-2</v>
      </c>
      <c r="Q243">
        <f>P243*16.02</f>
        <v>1.3276286116185223</v>
      </c>
    </row>
    <row r="244" spans="2:18" x14ac:dyDescent="0.2">
      <c r="C244">
        <v>100000</v>
      </c>
      <c r="D244">
        <v>743.51561000000004</v>
      </c>
      <c r="E244">
        <v>-14565.396325</v>
      </c>
      <c r="F244">
        <v>43271.747101000001</v>
      </c>
      <c r="G244">
        <v>0.35052</v>
      </c>
      <c r="H244">
        <v>33.251835999999997</v>
      </c>
      <c r="I244">
        <v>133.02811299999999</v>
      </c>
      <c r="J244">
        <v>9.7823949999999993</v>
      </c>
      <c r="K244">
        <v>712</v>
      </c>
      <c r="L244">
        <v>1760</v>
      </c>
      <c r="M244">
        <f>L244/(L244+K244)</f>
        <v>0.71197411003236244</v>
      </c>
      <c r="N244">
        <f t="shared" si="38"/>
        <v>-5.9128935275080909</v>
      </c>
      <c r="O244">
        <f>E244-(SUM(K244:L244)*N244)</f>
        <v>51.276475000000573</v>
      </c>
      <c r="P244">
        <f>O244/(2*H244*J244)</f>
        <v>7.8818350428216236E-2</v>
      </c>
      <c r="Q244">
        <f>P244*16.02</f>
        <v>1.262669973860024</v>
      </c>
    </row>
    <row r="245" spans="2:18" x14ac:dyDescent="0.2">
      <c r="C245">
        <v>100000</v>
      </c>
      <c r="D245">
        <v>743.43836799999997</v>
      </c>
      <c r="E245">
        <v>-14496.000577000001</v>
      </c>
      <c r="F245">
        <v>43335.981745999998</v>
      </c>
      <c r="G245">
        <v>0.336335</v>
      </c>
      <c r="H245">
        <v>33.268281000000002</v>
      </c>
      <c r="I245">
        <v>133.09390300000001</v>
      </c>
      <c r="J245">
        <v>9.7872330000000005</v>
      </c>
      <c r="K245">
        <v>739</v>
      </c>
      <c r="L245">
        <v>1733</v>
      </c>
      <c r="M245">
        <f>L245/(L245+K245)</f>
        <v>0.70105177993527512</v>
      </c>
      <c r="N245">
        <f t="shared" si="38"/>
        <v>-5.8831629449838188</v>
      </c>
      <c r="O245">
        <f>E245-(SUM(K245:L245)*N245)</f>
        <v>47.17822299999898</v>
      </c>
      <c r="P245">
        <f>O245/(2*H245*J245)</f>
        <v>7.2447148198360858E-2</v>
      </c>
      <c r="Q245">
        <f>P245*16.02</f>
        <v>1.160603314137741</v>
      </c>
    </row>
    <row r="246" spans="2:18" x14ac:dyDescent="0.2">
      <c r="C246">
        <v>100000</v>
      </c>
      <c r="D246">
        <v>743.89325699999995</v>
      </c>
      <c r="E246">
        <v>-14554.795951</v>
      </c>
      <c r="F246">
        <v>43275.435840999999</v>
      </c>
      <c r="G246">
        <v>0.1797</v>
      </c>
      <c r="H246">
        <v>33.252780999999999</v>
      </c>
      <c r="I246">
        <v>133.031892</v>
      </c>
      <c r="J246">
        <v>9.7826730000000008</v>
      </c>
      <c r="K246">
        <v>717</v>
      </c>
      <c r="L246">
        <v>1755</v>
      </c>
      <c r="M246">
        <f>L246/(L246+K246)</f>
        <v>0.70995145631067957</v>
      </c>
      <c r="N246">
        <f t="shared" si="38"/>
        <v>-5.9073878640776698</v>
      </c>
      <c r="O246">
        <f>E246-(SUM(K246:L246)*N246)</f>
        <v>48.266848999999638</v>
      </c>
      <c r="P246">
        <f>O246/(2*H246*J246)</f>
        <v>7.4187962387195897E-2</v>
      </c>
      <c r="Q246">
        <f>P246*16.02</f>
        <v>1.1884911574428783</v>
      </c>
    </row>
    <row r="247" spans="2:18" x14ac:dyDescent="0.2">
      <c r="Q247" s="1">
        <f>AVERAGE(Q242:Q246)</f>
        <v>1.1958572845749351</v>
      </c>
      <c r="R247">
        <f>STDEV(Q242:Q246)</f>
        <v>0.10891448973350885</v>
      </c>
    </row>
    <row r="248" spans="2:18" x14ac:dyDescent="0.2">
      <c r="B248" t="s">
        <v>31</v>
      </c>
      <c r="C248">
        <v>100000</v>
      </c>
      <c r="D248">
        <v>743.87356599999998</v>
      </c>
      <c r="E248">
        <v>-19218.704805000001</v>
      </c>
      <c r="F248">
        <v>56236.081817999999</v>
      </c>
      <c r="G248">
        <v>0.44702799999999998</v>
      </c>
      <c r="H248">
        <v>26.831814999999999</v>
      </c>
      <c r="I248">
        <v>161.01161999999999</v>
      </c>
      <c r="J248">
        <v>13.016902</v>
      </c>
      <c r="K248">
        <v>871</v>
      </c>
      <c r="L248">
        <v>2361</v>
      </c>
      <c r="M248">
        <f>L248/(L248+K248)</f>
        <v>0.73050742574257421</v>
      </c>
      <c r="N248">
        <f>-3.9749-2.722*M248</f>
        <v>-5.9633412128712866</v>
      </c>
      <c r="O248">
        <f>E248-(SUM(K248:L248)*N248)</f>
        <v>54.813994999996794</v>
      </c>
      <c r="P248">
        <f>O248/(2*H248*J248)</f>
        <v>7.8470021948026797E-2</v>
      </c>
      <c r="Q248">
        <f>P248*16.02</f>
        <v>1.2570897516073893</v>
      </c>
    </row>
    <row r="249" spans="2:18" x14ac:dyDescent="0.2">
      <c r="C249">
        <v>100000</v>
      </c>
      <c r="D249">
        <v>743.86897099999999</v>
      </c>
      <c r="E249">
        <v>-19049.763959</v>
      </c>
      <c r="F249">
        <v>56518.327314000002</v>
      </c>
      <c r="G249">
        <v>0.34126099999999998</v>
      </c>
      <c r="H249">
        <v>26.876629999999999</v>
      </c>
      <c r="I249">
        <v>161.28054</v>
      </c>
      <c r="J249">
        <v>13.038643</v>
      </c>
      <c r="K249">
        <v>937</v>
      </c>
      <c r="L249">
        <v>2295</v>
      </c>
      <c r="M249">
        <f>L249/(L249+K249)</f>
        <v>0.71008663366336633</v>
      </c>
      <c r="N249">
        <f t="shared" ref="N249:N252" si="39">-3.9749-2.722*M249</f>
        <v>-5.907755816831683</v>
      </c>
      <c r="O249">
        <f>E249-(SUM(K249:L249)*N249)</f>
        <v>44.102840999999898</v>
      </c>
      <c r="P249">
        <f>O249/(2*H249*J249)</f>
        <v>6.2925889583913583E-2</v>
      </c>
      <c r="Q249">
        <f>P249*16.02</f>
        <v>1.0080727511342955</v>
      </c>
    </row>
    <row r="250" spans="2:18" x14ac:dyDescent="0.2">
      <c r="C250">
        <v>100000</v>
      </c>
      <c r="D250">
        <v>743.61202100000003</v>
      </c>
      <c r="E250">
        <v>-18915.905673000001</v>
      </c>
      <c r="F250">
        <v>56778.377033999997</v>
      </c>
      <c r="G250">
        <v>0.34122400000000003</v>
      </c>
      <c r="H250">
        <v>26.917788000000002</v>
      </c>
      <c r="I250">
        <v>161.52752000000001</v>
      </c>
      <c r="J250">
        <v>13.05861</v>
      </c>
      <c r="K250">
        <v>982</v>
      </c>
      <c r="L250">
        <v>2250</v>
      </c>
      <c r="M250">
        <f>L250/(L250+K250)</f>
        <v>0.69616336633663367</v>
      </c>
      <c r="N250">
        <f t="shared" si="39"/>
        <v>-5.869856683168317</v>
      </c>
      <c r="O250">
        <f>E250-(SUM(K250:L250)*N250)</f>
        <v>55.471127000000706</v>
      </c>
      <c r="P250">
        <f>O250/(2*H250*J250)</f>
        <v>7.8904300433801866E-2</v>
      </c>
      <c r="Q250">
        <f>P250*16.02</f>
        <v>1.2640468929495059</v>
      </c>
    </row>
    <row r="251" spans="2:18" x14ac:dyDescent="0.2">
      <c r="C251">
        <v>100000</v>
      </c>
      <c r="D251">
        <v>743.80258900000001</v>
      </c>
      <c r="E251">
        <v>-19195.438097999999</v>
      </c>
      <c r="F251">
        <v>56273.233005000002</v>
      </c>
      <c r="G251">
        <v>6.6696000000000005E-2</v>
      </c>
      <c r="H251">
        <v>26.837723</v>
      </c>
      <c r="I251">
        <v>161.047068</v>
      </c>
      <c r="J251">
        <v>13.019767999999999</v>
      </c>
      <c r="K251">
        <v>882</v>
      </c>
      <c r="L251">
        <v>2350</v>
      </c>
      <c r="M251">
        <f>L251/(L251+K251)</f>
        <v>0.72710396039603964</v>
      </c>
      <c r="N251">
        <f t="shared" si="39"/>
        <v>-5.9540769801980193</v>
      </c>
      <c r="O251">
        <f>E251-(SUM(K251:L251)*N251)</f>
        <v>48.138702000000194</v>
      </c>
      <c r="P251">
        <f>O251/(2*H251*J251)</f>
        <v>6.8883541690513833E-2</v>
      </c>
      <c r="Q251">
        <f>P251*16.02</f>
        <v>1.1035143378820316</v>
      </c>
    </row>
    <row r="252" spans="2:18" x14ac:dyDescent="0.2">
      <c r="C252">
        <v>100000</v>
      </c>
      <c r="D252">
        <v>743.82096100000001</v>
      </c>
      <c r="E252">
        <v>-19174.81756</v>
      </c>
      <c r="F252">
        <v>56310.503009</v>
      </c>
      <c r="G252">
        <v>4.8827000000000002E-2</v>
      </c>
      <c r="H252">
        <v>26.843646</v>
      </c>
      <c r="I252">
        <v>161.082615</v>
      </c>
      <c r="J252">
        <v>13.022641999999999</v>
      </c>
      <c r="K252">
        <v>889</v>
      </c>
      <c r="L252">
        <v>2343</v>
      </c>
      <c r="M252">
        <f>L252/(L252+K252)</f>
        <v>0.72493811881188119</v>
      </c>
      <c r="N252">
        <f t="shared" si="39"/>
        <v>-5.9481815594059402</v>
      </c>
      <c r="O252">
        <f>E252-(SUM(K252:L252)*N252)</f>
        <v>49.705239999999321</v>
      </c>
      <c r="P252">
        <f>O252/(2*H252*J252)</f>
        <v>7.1093774903487353E-2</v>
      </c>
      <c r="Q252">
        <f>P252*16.02</f>
        <v>1.1389222739538674</v>
      </c>
    </row>
    <row r="253" spans="2:18" x14ac:dyDescent="0.2">
      <c r="Q253" s="1">
        <f>AVERAGE(Q248:Q252)</f>
        <v>1.1543292015054178</v>
      </c>
      <c r="R253">
        <f>STDEV(Q248:Q252)</f>
        <v>0.10817598570140527</v>
      </c>
    </row>
    <row r="254" spans="2:18" x14ac:dyDescent="0.2">
      <c r="B254" t="s">
        <v>23</v>
      </c>
      <c r="C254">
        <v>100000</v>
      </c>
      <c r="D254">
        <v>743.63905699999998</v>
      </c>
      <c r="E254">
        <v>-16897.031771999998</v>
      </c>
      <c r="F254">
        <v>50460.869953000001</v>
      </c>
      <c r="G254">
        <v>0.295269</v>
      </c>
      <c r="H254">
        <v>30.982451999999999</v>
      </c>
      <c r="I254">
        <v>124.305351</v>
      </c>
      <c r="J254">
        <v>13.102342999999999</v>
      </c>
      <c r="K254">
        <v>858</v>
      </c>
      <c r="L254">
        <v>2022</v>
      </c>
      <c r="M254">
        <f>L254/(L254+K254)</f>
        <v>0.70208333333333328</v>
      </c>
      <c r="N254">
        <f>-3.9749-2.722*M254</f>
        <v>-5.8859708333333334</v>
      </c>
      <c r="O254">
        <f>E254-(SUM(K254:L254)*N254)</f>
        <v>54.564228000002913</v>
      </c>
      <c r="P254">
        <f>O254/(2*H254*J254)</f>
        <v>6.7206808055910242E-2</v>
      </c>
      <c r="Q254">
        <f>P254*16.02</f>
        <v>1.076653065055682</v>
      </c>
    </row>
    <row r="255" spans="2:18" x14ac:dyDescent="0.2">
      <c r="C255">
        <v>100000</v>
      </c>
      <c r="D255">
        <v>743.86784399999999</v>
      </c>
      <c r="E255">
        <v>-16914.239081</v>
      </c>
      <c r="F255">
        <v>50448.655298999998</v>
      </c>
      <c r="G255">
        <v>0.163545</v>
      </c>
      <c r="H255">
        <v>30.979952000000001</v>
      </c>
      <c r="I255">
        <v>124.295321</v>
      </c>
      <c r="J255">
        <v>13.101286</v>
      </c>
      <c r="K255">
        <v>851</v>
      </c>
      <c r="L255">
        <v>2029</v>
      </c>
      <c r="M255">
        <f>L255/(L255+K255)</f>
        <v>0.70451388888888888</v>
      </c>
      <c r="N255">
        <f t="shared" ref="N255:N258" si="40">-3.9749-2.722*M255</f>
        <v>-5.8925868055555553</v>
      </c>
      <c r="O255">
        <f>E255-(SUM(K255:L255)*N255)</f>
        <v>56.410918999998103</v>
      </c>
      <c r="P255">
        <f>O255/(2*H255*J255)</f>
        <v>6.9492592110406134E-2</v>
      </c>
      <c r="Q255">
        <f>P255*16.02</f>
        <v>1.1132713256087063</v>
      </c>
    </row>
    <row r="256" spans="2:18" x14ac:dyDescent="0.2">
      <c r="C256">
        <v>100000</v>
      </c>
      <c r="D256">
        <v>743.88261999999997</v>
      </c>
      <c r="E256">
        <v>-17044.572554999999</v>
      </c>
      <c r="F256">
        <v>50225.711494000003</v>
      </c>
      <c r="G256">
        <v>0.18289900000000001</v>
      </c>
      <c r="H256">
        <v>30.934249000000001</v>
      </c>
      <c r="I256">
        <v>124.11195499999999</v>
      </c>
      <c r="J256">
        <v>13.081958</v>
      </c>
      <c r="K256">
        <v>802</v>
      </c>
      <c r="L256">
        <v>2078</v>
      </c>
      <c r="M256">
        <f>L256/(L256+K256)</f>
        <v>0.72152777777777777</v>
      </c>
      <c r="N256">
        <f t="shared" si="40"/>
        <v>-5.9388986111111111</v>
      </c>
      <c r="O256">
        <f>E256-(SUM(K256:L256)*N256)</f>
        <v>59.4554449999996</v>
      </c>
      <c r="P256">
        <f>O256/(2*H256*J256)</f>
        <v>7.3459727136996333E-2</v>
      </c>
      <c r="Q256">
        <f>P256*16.02</f>
        <v>1.1768248287346812</v>
      </c>
    </row>
    <row r="257" spans="2:18" x14ac:dyDescent="0.2">
      <c r="C257">
        <v>100000</v>
      </c>
      <c r="D257">
        <v>743.43813899999998</v>
      </c>
      <c r="E257">
        <v>-17015.982650000002</v>
      </c>
      <c r="F257">
        <v>50278.711638000001</v>
      </c>
      <c r="G257">
        <v>-9.6223000000000003E-2</v>
      </c>
      <c r="H257">
        <v>30.945125999999998</v>
      </c>
      <c r="I257">
        <v>124.15559500000001</v>
      </c>
      <c r="J257">
        <v>13.086558</v>
      </c>
      <c r="K257">
        <v>814</v>
      </c>
      <c r="L257">
        <v>2066</v>
      </c>
      <c r="M257">
        <f>L257/(L257+K257)</f>
        <v>0.71736111111111112</v>
      </c>
      <c r="N257">
        <f t="shared" si="40"/>
        <v>-5.9275569444444445</v>
      </c>
      <c r="O257">
        <f>E257-(SUM(K257:L257)*N257)</f>
        <v>55.381349999999657</v>
      </c>
      <c r="P257">
        <f>O257/(2*H257*J257)</f>
        <v>6.8377914799839457E-2</v>
      </c>
      <c r="Q257">
        <f>P257*16.02</f>
        <v>1.095414195093428</v>
      </c>
    </row>
    <row r="258" spans="2:18" x14ac:dyDescent="0.2">
      <c r="C258">
        <v>100000</v>
      </c>
      <c r="D258">
        <v>743.54404199999999</v>
      </c>
      <c r="E258">
        <v>-16891.854162</v>
      </c>
      <c r="F258">
        <v>50497.756973000003</v>
      </c>
      <c r="G258">
        <v>0.62342900000000001</v>
      </c>
      <c r="H258">
        <v>30.989999000000001</v>
      </c>
      <c r="I258">
        <v>124.335633</v>
      </c>
      <c r="J258">
        <v>13.105535</v>
      </c>
      <c r="K258">
        <v>860</v>
      </c>
      <c r="L258">
        <v>2020</v>
      </c>
      <c r="M258">
        <f>L258/(L258+K258)</f>
        <v>0.70138888888888884</v>
      </c>
      <c r="N258">
        <f t="shared" si="40"/>
        <v>-5.8840805555555553</v>
      </c>
      <c r="O258">
        <f>E258-(SUM(K258:L258)*N258)</f>
        <v>54.297837999998592</v>
      </c>
      <c r="P258">
        <f>O258/(2*H258*J258)</f>
        <v>6.6846123186596634E-2</v>
      </c>
      <c r="Q258">
        <f>P258*16.02</f>
        <v>1.070874893449278</v>
      </c>
    </row>
    <row r="259" spans="2:18" x14ac:dyDescent="0.2">
      <c r="Q259" s="1">
        <f>AVERAGE(Q254:Q258)</f>
        <v>1.1066076615883551</v>
      </c>
      <c r="R259">
        <f>STDEV(Q254:Q258)</f>
        <v>4.2644628163229857E-2</v>
      </c>
    </row>
    <row r="260" spans="2:18" x14ac:dyDescent="0.2">
      <c r="B260" t="s">
        <v>32</v>
      </c>
      <c r="C260">
        <v>100000</v>
      </c>
      <c r="D260">
        <v>743.67157199999997</v>
      </c>
      <c r="E260">
        <v>-21667.313601000002</v>
      </c>
      <c r="F260">
        <v>64393.977668</v>
      </c>
      <c r="G260">
        <v>0.28133399999999997</v>
      </c>
      <c r="H260">
        <v>24.836178</v>
      </c>
      <c r="I260">
        <v>198.73097100000001</v>
      </c>
      <c r="J260">
        <v>13.046524</v>
      </c>
      <c r="K260">
        <v>1076</v>
      </c>
      <c r="L260">
        <v>2604</v>
      </c>
      <c r="M260">
        <f>L260/(L260+K260)</f>
        <v>0.70760869565217388</v>
      </c>
      <c r="N260">
        <f>-3.9749-2.722*M260</f>
        <v>-5.9010108695652175</v>
      </c>
      <c r="O260">
        <f>E260-(SUM(K260:L260)*N260)</f>
        <v>48.40639899999951</v>
      </c>
      <c r="P260">
        <f>O260/(2*H260*J260)</f>
        <v>7.4695286831393856E-2</v>
      </c>
      <c r="Q260">
        <f>P260*16.02</f>
        <v>1.1966184950389296</v>
      </c>
    </row>
    <row r="261" spans="2:18" x14ac:dyDescent="0.2">
      <c r="C261">
        <v>100000</v>
      </c>
      <c r="D261">
        <v>743.62924599999997</v>
      </c>
      <c r="E261">
        <v>-21763.051754</v>
      </c>
      <c r="F261">
        <v>64247.360862000001</v>
      </c>
      <c r="G261">
        <v>0.30684899999999998</v>
      </c>
      <c r="H261">
        <v>24.817314</v>
      </c>
      <c r="I261">
        <v>198.580029</v>
      </c>
      <c r="J261">
        <v>13.036614999999999</v>
      </c>
      <c r="K261">
        <v>1040</v>
      </c>
      <c r="L261">
        <v>2640</v>
      </c>
      <c r="M261">
        <f>L261/(L261+K261)</f>
        <v>0.71739130434782605</v>
      </c>
      <c r="N261">
        <f t="shared" ref="N261:N264" si="41">-3.9749-2.722*M261</f>
        <v>-5.9276391304347822</v>
      </c>
      <c r="O261">
        <f>E261-(SUM(K261:L261)*N261)</f>
        <v>50.660245999999461</v>
      </c>
      <c r="P261">
        <f>O261/(2*H261*J261)</f>
        <v>7.8292053284988589E-2</v>
      </c>
      <c r="Q261">
        <f>P261*16.02</f>
        <v>1.2542386936255172</v>
      </c>
    </row>
    <row r="262" spans="2:18" x14ac:dyDescent="0.2">
      <c r="C262">
        <v>100000</v>
      </c>
      <c r="D262">
        <v>743.93966999999998</v>
      </c>
      <c r="E262">
        <v>-21557.390458999998</v>
      </c>
      <c r="F262">
        <v>64541.915299</v>
      </c>
      <c r="G262">
        <v>8.6899999999999998E-3</v>
      </c>
      <c r="H262">
        <v>24.855183</v>
      </c>
      <c r="I262">
        <v>198.88304099999999</v>
      </c>
      <c r="J262">
        <v>13.056507</v>
      </c>
      <c r="K262">
        <v>1115</v>
      </c>
      <c r="L262">
        <v>2565</v>
      </c>
      <c r="M262">
        <f>L262/(L262+K262)</f>
        <v>0.69701086956521741</v>
      </c>
      <c r="N262">
        <f t="shared" si="41"/>
        <v>-5.8721635869565212</v>
      </c>
      <c r="O262">
        <f>E262-(SUM(K262:L262)*N262)</f>
        <v>52.171540999999706</v>
      </c>
      <c r="P262">
        <f>O262/(2*H262*J262)</f>
        <v>8.0382164794076255E-2</v>
      </c>
      <c r="Q262">
        <f>P262*16.02</f>
        <v>1.2877222800011017</v>
      </c>
    </row>
    <row r="263" spans="2:18" x14ac:dyDescent="0.2">
      <c r="C263">
        <v>100000</v>
      </c>
      <c r="D263">
        <v>743.82672300000002</v>
      </c>
      <c r="E263">
        <v>-21560.372058000001</v>
      </c>
      <c r="F263">
        <v>64567.085732</v>
      </c>
      <c r="G263">
        <v>9.6100000000000005E-4</v>
      </c>
      <c r="H263">
        <v>24.858412999999999</v>
      </c>
      <c r="I263">
        <v>198.90889100000001</v>
      </c>
      <c r="J263">
        <v>13.058204</v>
      </c>
      <c r="K263">
        <v>1118</v>
      </c>
      <c r="L263">
        <v>2562</v>
      </c>
      <c r="M263">
        <f>L263/(L263+K263)</f>
        <v>0.69619565217391299</v>
      </c>
      <c r="N263">
        <f t="shared" si="41"/>
        <v>-5.8699445652173914</v>
      </c>
      <c r="O263">
        <f>E263-(SUM(K263:L263)*N263)</f>
        <v>41.023941999999806</v>
      </c>
      <c r="P263">
        <f>O263/(2*H263*J263)</f>
        <v>6.3190318688403774E-2</v>
      </c>
      <c r="Q263">
        <f>P263*16.02</f>
        <v>1.0123089053882284</v>
      </c>
    </row>
    <row r="264" spans="2:18" x14ac:dyDescent="0.2">
      <c r="C264">
        <v>100000</v>
      </c>
      <c r="D264">
        <v>743.67772500000001</v>
      </c>
      <c r="E264">
        <v>-21573.886610000001</v>
      </c>
      <c r="F264">
        <v>64569.629741999997</v>
      </c>
      <c r="G264">
        <v>0.23480500000000001</v>
      </c>
      <c r="H264">
        <v>24.858740000000001</v>
      </c>
      <c r="I264">
        <v>198.91150500000001</v>
      </c>
      <c r="J264">
        <v>13.058376000000001</v>
      </c>
      <c r="K264">
        <v>1109</v>
      </c>
      <c r="L264">
        <v>2571</v>
      </c>
      <c r="M264">
        <f>L264/(L264+K264)</f>
        <v>0.69864130434782612</v>
      </c>
      <c r="N264">
        <f t="shared" si="41"/>
        <v>-5.8766016304347826</v>
      </c>
      <c r="O264">
        <f>E264-(SUM(K264:L264)*N264)</f>
        <v>52.00738999999885</v>
      </c>
      <c r="P264">
        <f>O264/(2*H264*J264)</f>
        <v>8.0106320162497677E-2</v>
      </c>
      <c r="Q264">
        <f>P264*16.02</f>
        <v>1.2833032490032128</v>
      </c>
    </row>
    <row r="265" spans="2:18" x14ac:dyDescent="0.2">
      <c r="Q265" s="1">
        <f>AVERAGE(Q260:Q264)</f>
        <v>1.2068383246113981</v>
      </c>
      <c r="R265">
        <f>STDEV(Q260:Q264)</f>
        <v>0.11465386358971748</v>
      </c>
    </row>
    <row r="266" spans="2:18" x14ac:dyDescent="0.2">
      <c r="B266" t="s">
        <v>22</v>
      </c>
      <c r="C266">
        <v>100000</v>
      </c>
      <c r="D266">
        <v>693.98464899999999</v>
      </c>
      <c r="E266">
        <v>-22250.169553</v>
      </c>
      <c r="F266">
        <v>66128.129929999996</v>
      </c>
      <c r="G266">
        <v>0.50270899999999996</v>
      </c>
      <c r="H266">
        <v>29.084233999999999</v>
      </c>
      <c r="I266">
        <v>87.402860000000004</v>
      </c>
      <c r="J266">
        <v>26.013742000000001</v>
      </c>
      <c r="K266">
        <v>1075</v>
      </c>
      <c r="L266">
        <v>2701</v>
      </c>
      <c r="M266">
        <f>L266/(L266+K266)</f>
        <v>0.71530720338983056</v>
      </c>
      <c r="N266">
        <f>-3.9749-2.722*M266</f>
        <v>-5.9219662076271185</v>
      </c>
      <c r="O266">
        <f>E266-(SUM(K266:L266)*N266)</f>
        <v>111.17484699999841</v>
      </c>
      <c r="P266">
        <f>O266/(2*H266*J266)</f>
        <v>7.3471022834791372E-2</v>
      </c>
      <c r="Q266">
        <f>P266*16.02</f>
        <v>1.1770057858133578</v>
      </c>
    </row>
    <row r="267" spans="2:18" x14ac:dyDescent="0.2">
      <c r="C267">
        <v>100000</v>
      </c>
      <c r="D267">
        <v>693.81296499999996</v>
      </c>
      <c r="E267">
        <v>-22269.727724</v>
      </c>
      <c r="F267">
        <v>66051.083794999999</v>
      </c>
      <c r="G267">
        <v>0.74085400000000001</v>
      </c>
      <c r="H267">
        <v>29.072934</v>
      </c>
      <c r="I267">
        <v>87.368903000000003</v>
      </c>
      <c r="J267">
        <v>26.003636</v>
      </c>
      <c r="K267">
        <v>1065</v>
      </c>
      <c r="L267">
        <v>2711</v>
      </c>
      <c r="M267">
        <f>L267/(L267+K267)</f>
        <v>0.71795550847457623</v>
      </c>
      <c r="N267">
        <f t="shared" ref="N267:N270" si="42">-3.9749-2.722*M267</f>
        <v>-5.9291748940677964</v>
      </c>
      <c r="O267">
        <f>E267-(SUM(K267:L267)*N267)</f>
        <v>118.83667599999899</v>
      </c>
      <c r="P267">
        <f>O267/(2*H267*J267)</f>
        <v>7.8595477968828126E-2</v>
      </c>
      <c r="Q267">
        <f>P267*16.02</f>
        <v>1.2590995570606265</v>
      </c>
    </row>
    <row r="268" spans="2:18" x14ac:dyDescent="0.2">
      <c r="C268">
        <v>100000</v>
      </c>
      <c r="D268">
        <v>693.94687099999999</v>
      </c>
      <c r="E268">
        <v>-22327.394660999998</v>
      </c>
      <c r="F268">
        <v>65966.800799999997</v>
      </c>
      <c r="G268">
        <v>0.54374100000000003</v>
      </c>
      <c r="H268">
        <v>29.060562999999998</v>
      </c>
      <c r="I268">
        <v>87.331725000000006</v>
      </c>
      <c r="J268">
        <v>25.992570000000001</v>
      </c>
      <c r="K268">
        <v>1051</v>
      </c>
      <c r="L268">
        <v>2725</v>
      </c>
      <c r="M268">
        <f>L268/(L268+K268)</f>
        <v>0.72166313559322037</v>
      </c>
      <c r="N268">
        <f t="shared" si="42"/>
        <v>-5.9392670550847457</v>
      </c>
      <c r="O268">
        <f>E268-(SUM(K268:L268)*N268)</f>
        <v>99.27773900000102</v>
      </c>
      <c r="P268">
        <f>O268/(2*H268*J268)</f>
        <v>6.5715624002223083E-2</v>
      </c>
      <c r="Q268">
        <f>P268*16.02</f>
        <v>1.0527642965156139</v>
      </c>
    </row>
    <row r="269" spans="2:18" x14ac:dyDescent="0.2">
      <c r="C269">
        <v>100000</v>
      </c>
      <c r="D269">
        <v>693.80624899999998</v>
      </c>
      <c r="E269">
        <v>-22019.504835</v>
      </c>
      <c r="F269">
        <v>66555.211513000002</v>
      </c>
      <c r="G269">
        <v>0.69435999999999998</v>
      </c>
      <c r="H269">
        <v>29.146712000000001</v>
      </c>
      <c r="I269">
        <v>87.590616999999995</v>
      </c>
      <c r="J269">
        <v>26.069624999999998</v>
      </c>
      <c r="K269">
        <v>1162</v>
      </c>
      <c r="L269">
        <v>2614</v>
      </c>
      <c r="M269">
        <f>L269/(L269+K269)</f>
        <v>0.69226694915254239</v>
      </c>
      <c r="N269">
        <f t="shared" si="42"/>
        <v>-5.8592506355932201</v>
      </c>
      <c r="O269">
        <f>E269-(SUM(K269:L269)*N269)</f>
        <v>105.02556499999992</v>
      </c>
      <c r="P269">
        <f>O269/(2*H269*J269)</f>
        <v>6.9109965651511812E-2</v>
      </c>
      <c r="Q269">
        <f>P269*16.02</f>
        <v>1.1071416497372193</v>
      </c>
    </row>
    <row r="270" spans="2:18" x14ac:dyDescent="0.2">
      <c r="C270">
        <v>100000</v>
      </c>
      <c r="D270">
        <v>693.63477499999999</v>
      </c>
      <c r="E270">
        <v>-22020.786314000001</v>
      </c>
      <c r="F270">
        <v>66527.874179000006</v>
      </c>
      <c r="G270">
        <v>0.62753300000000001</v>
      </c>
      <c r="H270">
        <v>29.142721000000002</v>
      </c>
      <c r="I270">
        <v>87.578624000000005</v>
      </c>
      <c r="J270">
        <v>26.066054999999999</v>
      </c>
      <c r="K270">
        <v>1162</v>
      </c>
      <c r="L270">
        <v>2614</v>
      </c>
      <c r="M270">
        <f>L270/(L270+K270)</f>
        <v>0.69226694915254239</v>
      </c>
      <c r="N270">
        <f t="shared" si="42"/>
        <v>-5.8592506355932201</v>
      </c>
      <c r="O270">
        <f>E270-(SUM(K270:L270)*N270)</f>
        <v>103.74408599999879</v>
      </c>
      <c r="P270">
        <f>O270/(2*H270*J270)</f>
        <v>6.8285414083148477E-2</v>
      </c>
      <c r="Q270">
        <f>P270*16.02</f>
        <v>1.0939323336120386</v>
      </c>
    </row>
    <row r="271" spans="2:18" x14ac:dyDescent="0.2">
      <c r="Q271" s="1">
        <f>AVERAGE(Q266:Q270)</f>
        <v>1.1379887245477711</v>
      </c>
      <c r="R271">
        <f>STDEV(Q266:Q270)</f>
        <v>8.1157063096531659E-2</v>
      </c>
    </row>
    <row r="272" spans="2:18" x14ac:dyDescent="0.2">
      <c r="B272" t="s">
        <v>33</v>
      </c>
      <c r="C272">
        <v>100000</v>
      </c>
      <c r="D272">
        <v>743.68675800000005</v>
      </c>
      <c r="E272">
        <v>-38189.167700999998</v>
      </c>
      <c r="F272">
        <v>113490.673207</v>
      </c>
      <c r="G272">
        <v>0.20843100000000001</v>
      </c>
      <c r="H272">
        <v>38.056902999999998</v>
      </c>
      <c r="I272">
        <v>228.40378899999999</v>
      </c>
      <c r="J272">
        <v>13.056397</v>
      </c>
      <c r="K272">
        <v>1903</v>
      </c>
      <c r="L272">
        <v>4585</v>
      </c>
      <c r="M272">
        <f>L272/(L272+K272)</f>
        <v>0.70668927250308267</v>
      </c>
      <c r="N272">
        <f>-3.9749-2.722*M272</f>
        <v>-5.8985081997533904</v>
      </c>
      <c r="O272">
        <f>E272-(SUM(K272:L272)*N272)</f>
        <v>80.3534989999971</v>
      </c>
      <c r="P272">
        <f>O272/(2*H272*J272)</f>
        <v>8.0857071316243576E-2</v>
      </c>
      <c r="Q272">
        <f>P272*16.02</f>
        <v>1.2953302824862221</v>
      </c>
    </row>
    <row r="273" spans="2:18" x14ac:dyDescent="0.2">
      <c r="C273">
        <v>100000</v>
      </c>
      <c r="D273">
        <v>743.74982999999997</v>
      </c>
      <c r="E273">
        <v>-38161.937131999999</v>
      </c>
      <c r="F273">
        <v>113567.14635700001</v>
      </c>
      <c r="G273">
        <v>-0.110523</v>
      </c>
      <c r="H273">
        <v>38.065449000000001</v>
      </c>
      <c r="I273">
        <v>228.45508100000001</v>
      </c>
      <c r="J273">
        <v>13.059329</v>
      </c>
      <c r="K273">
        <v>1908</v>
      </c>
      <c r="L273">
        <v>4580</v>
      </c>
      <c r="M273">
        <f>L273/(L273+K273)</f>
        <v>0.70591861898890262</v>
      </c>
      <c r="N273">
        <f t="shared" ref="N273:N276" si="43">-3.9749-2.722*M273</f>
        <v>-5.8964104808877931</v>
      </c>
      <c r="O273">
        <f>E273-(SUM(K273:L273)*N273)</f>
        <v>93.974068000003172</v>
      </c>
      <c r="P273">
        <f>O273/(2*H273*J273)</f>
        <v>9.4520543812722638E-2</v>
      </c>
      <c r="Q273">
        <f>P273*16.02</f>
        <v>1.5142191118798167</v>
      </c>
    </row>
    <row r="274" spans="2:18" x14ac:dyDescent="0.2">
      <c r="C274">
        <v>100000</v>
      </c>
      <c r="D274">
        <v>743.704612</v>
      </c>
      <c r="E274">
        <v>-38351.181648999998</v>
      </c>
      <c r="F274">
        <v>113219.188941</v>
      </c>
      <c r="G274">
        <v>0.27674100000000001</v>
      </c>
      <c r="H274">
        <v>38.026533000000001</v>
      </c>
      <c r="I274">
        <v>228.22152</v>
      </c>
      <c r="J274">
        <v>13.045978</v>
      </c>
      <c r="K274">
        <v>1847</v>
      </c>
      <c r="L274">
        <v>4641</v>
      </c>
      <c r="M274">
        <f>L274/(L274+K274)</f>
        <v>0.71532059186189889</v>
      </c>
      <c r="N274">
        <f t="shared" si="43"/>
        <v>-5.9220026510480883</v>
      </c>
      <c r="O274">
        <f>E274-(SUM(K274:L274)*N274)</f>
        <v>70.771550999997999</v>
      </c>
      <c r="P274">
        <f>O274/(2*H274*J274)</f>
        <v>7.1328870148844675E-2</v>
      </c>
      <c r="Q274">
        <f>P274*16.02</f>
        <v>1.1426884997844917</v>
      </c>
    </row>
    <row r="275" spans="2:18" x14ac:dyDescent="0.2">
      <c r="C275">
        <v>100000</v>
      </c>
      <c r="D275">
        <v>743.44937000000004</v>
      </c>
      <c r="E275">
        <v>-37989.685243</v>
      </c>
      <c r="F275">
        <v>113856.96806699999</v>
      </c>
      <c r="G275">
        <v>0.25937500000000002</v>
      </c>
      <c r="H275">
        <v>38.097802000000001</v>
      </c>
      <c r="I275">
        <v>228.64925299999999</v>
      </c>
      <c r="J275">
        <v>13.070429000000001</v>
      </c>
      <c r="K275">
        <v>1977</v>
      </c>
      <c r="L275">
        <v>4511</v>
      </c>
      <c r="M275">
        <f>L275/(L275+K275)</f>
        <v>0.69528360049321825</v>
      </c>
      <c r="N275">
        <f t="shared" si="43"/>
        <v>-5.8674619605425402</v>
      </c>
      <c r="O275">
        <f>E275-(SUM(K275:L275)*N275)</f>
        <v>78.40795700000308</v>
      </c>
      <c r="P275">
        <f>O275/(2*H275*J275)</f>
        <v>7.8730023244447958E-2</v>
      </c>
      <c r="Q275">
        <f>P275*16.02</f>
        <v>1.2612549723760562</v>
      </c>
    </row>
    <row r="276" spans="2:18" x14ac:dyDescent="0.2">
      <c r="C276">
        <v>100000</v>
      </c>
      <c r="D276">
        <v>743.56627500000002</v>
      </c>
      <c r="E276">
        <v>-38228.793733999999</v>
      </c>
      <c r="F276">
        <v>113451.55809999999</v>
      </c>
      <c r="G276">
        <v>-6.2621999999999997E-2</v>
      </c>
      <c r="H276">
        <v>38.052529999999997</v>
      </c>
      <c r="I276">
        <v>228.37754699999999</v>
      </c>
      <c r="J276">
        <v>13.05489712</v>
      </c>
      <c r="K276">
        <v>1890</v>
      </c>
      <c r="L276">
        <v>4598</v>
      </c>
      <c r="M276">
        <f>L276/(L276+K276)</f>
        <v>0.70869297163995071</v>
      </c>
      <c r="N276">
        <f t="shared" si="43"/>
        <v>-5.9039622688039461</v>
      </c>
      <c r="O276">
        <f>E276-(SUM(K276:L276)*N276)</f>
        <v>76.113466000002518</v>
      </c>
      <c r="P276">
        <f>O276/(2*H276*J276)</f>
        <v>7.660806848066809E-2</v>
      </c>
      <c r="Q276">
        <f>P276*16.02</f>
        <v>1.2272612570603028</v>
      </c>
    </row>
    <row r="277" spans="2:18" x14ac:dyDescent="0.2">
      <c r="Q277" s="1">
        <f>AVERAGE(Q272:Q276)</f>
        <v>1.2881508247173781</v>
      </c>
      <c r="R277">
        <f>STDEV(Q272:Q276)</f>
        <v>0.13851771490672754</v>
      </c>
    </row>
    <row r="278" spans="2:18" x14ac:dyDescent="0.2">
      <c r="B278" t="s">
        <v>34</v>
      </c>
      <c r="C278">
        <v>100000</v>
      </c>
      <c r="D278">
        <v>743.73393899999996</v>
      </c>
      <c r="E278">
        <v>-19362.728063999999</v>
      </c>
      <c r="F278">
        <v>57743.572853999998</v>
      </c>
      <c r="G278">
        <v>0.26832299999999998</v>
      </c>
      <c r="H278">
        <v>23.518059000000001</v>
      </c>
      <c r="I278">
        <v>188.18602200000001</v>
      </c>
      <c r="J278">
        <v>13.047121000000001</v>
      </c>
      <c r="K278">
        <v>980</v>
      </c>
      <c r="L278">
        <v>2316</v>
      </c>
      <c r="M278">
        <f>L278/(L278+K278)</f>
        <v>0.70266990291262132</v>
      </c>
      <c r="N278">
        <f>-3.9749-2.722*M278</f>
        <v>-5.8875674757281553</v>
      </c>
      <c r="O278">
        <f>E278-(SUM(K278:L278)*N278)</f>
        <v>42.694336000000476</v>
      </c>
      <c r="P278">
        <f>O278/(2*H278*J278)</f>
        <v>6.9570336235046798E-2</v>
      </c>
      <c r="Q278">
        <f>P278*16.02</f>
        <v>1.1145167864854497</v>
      </c>
    </row>
    <row r="279" spans="2:18" x14ac:dyDescent="0.2">
      <c r="C279">
        <v>100000</v>
      </c>
      <c r="D279">
        <v>743.36520299999995</v>
      </c>
      <c r="E279">
        <v>-19335.544571999999</v>
      </c>
      <c r="F279">
        <v>57807.402462999999</v>
      </c>
      <c r="G279">
        <v>-0.139705</v>
      </c>
      <c r="H279">
        <v>23.526720999999998</v>
      </c>
      <c r="I279">
        <v>188.255336</v>
      </c>
      <c r="J279">
        <v>13.051926999999999</v>
      </c>
      <c r="K279">
        <v>989</v>
      </c>
      <c r="L279">
        <v>2307</v>
      </c>
      <c r="M279">
        <f>L279/(L279+K279)</f>
        <v>0.6999393203883495</v>
      </c>
      <c r="N279">
        <f t="shared" ref="N279:N282" si="44">-3.9749-2.722*M279</f>
        <v>-5.880134830097087</v>
      </c>
      <c r="O279">
        <f>E279-(SUM(K279:L279)*N279)</f>
        <v>45.379828000000998</v>
      </c>
      <c r="P279">
        <f>O279/(2*H279*J279)</f>
        <v>7.3891896192088705E-2</v>
      </c>
      <c r="Q279">
        <f>P279*16.02</f>
        <v>1.1837481769972611</v>
      </c>
    </row>
    <row r="280" spans="2:18" x14ac:dyDescent="0.2">
      <c r="C280">
        <v>100000</v>
      </c>
      <c r="D280">
        <v>743.77351399999998</v>
      </c>
      <c r="E280">
        <v>-19334.694466000001</v>
      </c>
      <c r="F280">
        <v>57815.421522999997</v>
      </c>
      <c r="G280">
        <v>0.57759199999999999</v>
      </c>
      <c r="H280">
        <v>23.527809000000001</v>
      </c>
      <c r="I280">
        <v>188.26403999999999</v>
      </c>
      <c r="J280">
        <v>13.052530000000001</v>
      </c>
      <c r="K280">
        <v>988</v>
      </c>
      <c r="L280">
        <v>2308</v>
      </c>
      <c r="M280">
        <f>L280/(L280+K280)</f>
        <v>0.70024271844660191</v>
      </c>
      <c r="N280">
        <f t="shared" si="44"/>
        <v>-5.8809606796116505</v>
      </c>
      <c r="O280">
        <f>E280-(SUM(K280:L280)*N280)</f>
        <v>48.95193400000062</v>
      </c>
      <c r="P280">
        <f>O280/(2*H280*J280)</f>
        <v>7.9700982115994856E-2</v>
      </c>
      <c r="Q280">
        <f>P280*16.02</f>
        <v>1.2768097334982376</v>
      </c>
    </row>
    <row r="281" spans="2:18" x14ac:dyDescent="0.2">
      <c r="C281">
        <v>100000</v>
      </c>
      <c r="D281">
        <v>743.57755699999996</v>
      </c>
      <c r="E281">
        <v>-19386.829496999999</v>
      </c>
      <c r="F281">
        <v>57691.137218000003</v>
      </c>
      <c r="G281">
        <v>0.28372599999999998</v>
      </c>
      <c r="H281">
        <v>23.510937999999999</v>
      </c>
      <c r="I281">
        <v>188.129042</v>
      </c>
      <c r="J281">
        <v>13.043170999999999</v>
      </c>
      <c r="K281">
        <v>967</v>
      </c>
      <c r="L281">
        <v>2329</v>
      </c>
      <c r="M281">
        <f>L281/(L281+K281)</f>
        <v>0.70661407766990292</v>
      </c>
      <c r="N281">
        <f t="shared" si="44"/>
        <v>-5.8983035194174755</v>
      </c>
      <c r="O281">
        <f>E281-(SUM(K281:L281)*N281)</f>
        <v>53.978902999999264</v>
      </c>
      <c r="P281">
        <f>O281/(2*H281*J281)</f>
        <v>8.8011802254090665E-2</v>
      </c>
      <c r="Q281">
        <f>P281*16.02</f>
        <v>1.4099490721105323</v>
      </c>
    </row>
    <row r="282" spans="2:18" x14ac:dyDescent="0.2">
      <c r="C282">
        <v>100000</v>
      </c>
      <c r="D282">
        <v>743.70682699999998</v>
      </c>
      <c r="E282">
        <v>-19394.964914</v>
      </c>
      <c r="F282">
        <v>57670.224290999999</v>
      </c>
      <c r="G282">
        <v>0.421823</v>
      </c>
      <c r="H282">
        <v>23.508096999999999</v>
      </c>
      <c r="I282">
        <v>188.10630599999999</v>
      </c>
      <c r="J282">
        <v>13.041594</v>
      </c>
      <c r="K282">
        <v>966</v>
      </c>
      <c r="L282">
        <v>2330</v>
      </c>
      <c r="M282">
        <f>L282/(L282+K282)</f>
        <v>0.70691747572815533</v>
      </c>
      <c r="N282">
        <f t="shared" si="44"/>
        <v>-5.899129368932039</v>
      </c>
      <c r="O282">
        <f>E282-(SUM(K282:L282)*N282)</f>
        <v>48.56548599999951</v>
      </c>
      <c r="P282">
        <f>O282/(2*H282*J282)</f>
        <v>7.9204451982813132E-2</v>
      </c>
      <c r="Q282">
        <f>P282*16.02</f>
        <v>1.2688553207646662</v>
      </c>
    </row>
    <row r="283" spans="2:18" x14ac:dyDescent="0.2">
      <c r="Q283" s="1">
        <f>AVERAGE(Q278:Q282)</f>
        <v>1.2507758179712294</v>
      </c>
      <c r="R283">
        <f>STDEV(Q278:Q282)</f>
        <v>0.1111305384763773</v>
      </c>
    </row>
    <row r="284" spans="2:18" x14ac:dyDescent="0.2">
      <c r="B284" t="s">
        <v>35</v>
      </c>
      <c r="C284">
        <v>100000</v>
      </c>
      <c r="D284">
        <v>743.63854000000003</v>
      </c>
      <c r="E284">
        <v>-27959.778731999999</v>
      </c>
      <c r="F284">
        <v>83112.234288000007</v>
      </c>
      <c r="G284">
        <v>7.3985999999999996E-2</v>
      </c>
      <c r="H284">
        <v>32.595016999999999</v>
      </c>
      <c r="I284">
        <v>195.57010099999999</v>
      </c>
      <c r="J284">
        <v>13.038007</v>
      </c>
      <c r="K284">
        <v>1397</v>
      </c>
      <c r="L284">
        <v>3355</v>
      </c>
      <c r="M284">
        <f>L284/(L284+K284)</f>
        <v>0.70601851851851849</v>
      </c>
      <c r="N284">
        <f>-3.9749-2.722*M284</f>
        <v>-5.8966824074074076</v>
      </c>
      <c r="O284">
        <f>E284-(SUM(K284:L284)*N284)</f>
        <v>61.256068000002415</v>
      </c>
      <c r="P284">
        <f>O284/(2*H284*J284)</f>
        <v>7.2070361220668219E-2</v>
      </c>
      <c r="Q284">
        <f>P284*16.02</f>
        <v>1.1545671867551048</v>
      </c>
    </row>
    <row r="285" spans="2:18" x14ac:dyDescent="0.2">
      <c r="C285">
        <v>100000</v>
      </c>
      <c r="D285">
        <v>743.86399800000004</v>
      </c>
      <c r="E285">
        <v>-27806.281067</v>
      </c>
      <c r="F285">
        <v>83435.002160999997</v>
      </c>
      <c r="G285">
        <v>9.1878000000000001E-2</v>
      </c>
      <c r="H285">
        <v>32.637157000000002</v>
      </c>
      <c r="I285">
        <v>195.82293899999999</v>
      </c>
      <c r="J285">
        <v>13.054862999999999</v>
      </c>
      <c r="K285">
        <v>1457</v>
      </c>
      <c r="L285">
        <v>3295</v>
      </c>
      <c r="M285">
        <f>L285/(L285+K285)</f>
        <v>0.69339225589225584</v>
      </c>
      <c r="N285">
        <f t="shared" ref="N285:N288" si="45">-3.9749-2.722*M285</f>
        <v>-5.8623137205387206</v>
      </c>
      <c r="O285">
        <f>E285-(SUM(K285:L285)*N285)</f>
        <v>51.433733000001666</v>
      </c>
      <c r="P285">
        <f>O285/(2*H285*J285)</f>
        <v>6.0357801315445728E-2</v>
      </c>
      <c r="Q285">
        <f>P285*16.02</f>
        <v>0.96693197707344059</v>
      </c>
    </row>
    <row r="286" spans="2:18" x14ac:dyDescent="0.2">
      <c r="C286">
        <v>100000</v>
      </c>
      <c r="D286">
        <v>743.54289600000004</v>
      </c>
      <c r="E286">
        <v>-27930.443660000001</v>
      </c>
      <c r="F286">
        <v>83183.646448</v>
      </c>
      <c r="G286">
        <v>0.13891200000000001</v>
      </c>
      <c r="H286">
        <v>32.604349999999997</v>
      </c>
      <c r="I286">
        <v>195.62609699999999</v>
      </c>
      <c r="J286">
        <v>13.041740000000001</v>
      </c>
      <c r="K286">
        <v>1409</v>
      </c>
      <c r="L286">
        <v>3343</v>
      </c>
      <c r="M286">
        <f>L286/(L286+K286)</f>
        <v>0.703493265993266</v>
      </c>
      <c r="N286">
        <f t="shared" si="45"/>
        <v>-5.8898086700336698</v>
      </c>
      <c r="O286">
        <f>E286-(SUM(K286:L286)*N286)</f>
        <v>57.927139999999781</v>
      </c>
      <c r="P286">
        <f>O286/(2*H286*J286)</f>
        <v>6.8114724879397556E-2</v>
      </c>
      <c r="Q286">
        <f>P286*16.02</f>
        <v>1.0911978925679489</v>
      </c>
    </row>
    <row r="287" spans="2:18" x14ac:dyDescent="0.2">
      <c r="C287">
        <v>100000</v>
      </c>
      <c r="D287">
        <v>743.64649899999995</v>
      </c>
      <c r="E287">
        <v>-27968.401991999999</v>
      </c>
      <c r="F287">
        <v>83132.172609000001</v>
      </c>
      <c r="G287">
        <v>0.24548700000000001</v>
      </c>
      <c r="H287">
        <v>32.597622999999999</v>
      </c>
      <c r="I287">
        <v>195.58573799999999</v>
      </c>
      <c r="J287">
        <v>13.039049</v>
      </c>
      <c r="K287">
        <v>1397</v>
      </c>
      <c r="L287">
        <v>3355</v>
      </c>
      <c r="M287">
        <f>L287/(L287+K287)</f>
        <v>0.70601851851851849</v>
      </c>
      <c r="N287">
        <f t="shared" si="45"/>
        <v>-5.8966824074074076</v>
      </c>
      <c r="O287">
        <f>E287-(SUM(K287:L287)*N287)</f>
        <v>52.632808000002115</v>
      </c>
      <c r="P287">
        <f>O287/(2*H287*J287)</f>
        <v>6.1914831424455308E-2</v>
      </c>
      <c r="Q287">
        <f>P287*16.02</f>
        <v>0.99187559941977399</v>
      </c>
    </row>
    <row r="288" spans="2:18" x14ac:dyDescent="0.2">
      <c r="C288">
        <v>100000</v>
      </c>
      <c r="D288">
        <v>743.67816100000005</v>
      </c>
      <c r="E288">
        <v>-27910.565710999999</v>
      </c>
      <c r="F288">
        <v>83240.891656000007</v>
      </c>
      <c r="G288">
        <v>0.15045800000000001</v>
      </c>
      <c r="H288">
        <v>32.611826999999998</v>
      </c>
      <c r="I288">
        <v>195.670962</v>
      </c>
      <c r="J288">
        <v>13.044731000000001</v>
      </c>
      <c r="K288">
        <v>1417</v>
      </c>
      <c r="L288">
        <v>3335</v>
      </c>
      <c r="M288">
        <f>L288/(L288+K288)</f>
        <v>0.70180976430976427</v>
      </c>
      <c r="N288">
        <f t="shared" si="45"/>
        <v>-5.8852261784511786</v>
      </c>
      <c r="O288">
        <f>E288-(SUM(K288:L288)*N288)</f>
        <v>56.029088999999658</v>
      </c>
      <c r="P288">
        <f>O288/(2*H288*J288)</f>
        <v>6.5852657831523886E-2</v>
      </c>
      <c r="Q288">
        <f>P288*16.02</f>
        <v>1.0549595784610126</v>
      </c>
    </row>
    <row r="289" spans="17:18" x14ac:dyDescent="0.2">
      <c r="Q289" s="1">
        <f>AVERAGE(Q284:Q288)</f>
        <v>1.051906446855456</v>
      </c>
      <c r="R289">
        <f>STDEV(Q284:Q288)</f>
        <v>7.5691363434183742E-2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C289"/>
  <sheetViews>
    <sheetView topLeftCell="A197" workbookViewId="0">
      <selection activeCell="D217" sqref="D217"/>
    </sheetView>
  </sheetViews>
  <sheetFormatPr baseColWidth="10" defaultRowHeight="16" x14ac:dyDescent="0.2"/>
  <sheetData>
    <row r="2" spans="1:23" x14ac:dyDescent="0.2">
      <c r="A2" t="s">
        <v>57</v>
      </c>
      <c r="C2" t="s">
        <v>47</v>
      </c>
    </row>
    <row r="4" spans="1:23" x14ac:dyDescent="0.2">
      <c r="A4" t="s">
        <v>1</v>
      </c>
      <c r="B4" t="s">
        <v>4</v>
      </c>
      <c r="C4" t="s">
        <v>5</v>
      </c>
      <c r="D4" t="s">
        <v>6</v>
      </c>
      <c r="E4" t="s">
        <v>7</v>
      </c>
      <c r="G4" t="s">
        <v>10</v>
      </c>
      <c r="H4" t="s">
        <v>4</v>
      </c>
      <c r="I4" t="s">
        <v>5</v>
      </c>
      <c r="J4" t="s">
        <v>6</v>
      </c>
      <c r="K4" t="s">
        <v>7</v>
      </c>
      <c r="L4" t="s">
        <v>9</v>
      </c>
      <c r="R4" t="s">
        <v>28</v>
      </c>
      <c r="S4" t="s">
        <v>4</v>
      </c>
      <c r="T4" t="s">
        <v>5</v>
      </c>
      <c r="U4" t="s">
        <v>6</v>
      </c>
      <c r="V4" t="s">
        <v>7</v>
      </c>
      <c r="W4" t="s">
        <v>9</v>
      </c>
    </row>
    <row r="5" spans="1:23" x14ac:dyDescent="0.2">
      <c r="B5">
        <v>-8134.2177009999996</v>
      </c>
      <c r="C5">
        <v>43658.870733000003</v>
      </c>
      <c r="D5">
        <f>B5/2000</f>
        <v>-4.0671088504999995</v>
      </c>
      <c r="E5">
        <f>C5/8192</f>
        <v>5.3294519937744145</v>
      </c>
      <c r="H5">
        <v>-8726.4838830000008</v>
      </c>
      <c r="I5">
        <v>41579.166454999999</v>
      </c>
      <c r="J5">
        <f>H5/2000</f>
        <v>-4.3632419415000001</v>
      </c>
      <c r="K5">
        <f>I5/2000</f>
        <v>20.7895832275</v>
      </c>
      <c r="L5">
        <f>237/2000</f>
        <v>0.11849999999999999</v>
      </c>
      <c r="S5">
        <v>-9673.6785629999995</v>
      </c>
      <c r="T5">
        <v>39089.767379999998</v>
      </c>
      <c r="U5">
        <f>S5/2000</f>
        <v>-4.8368392814999996</v>
      </c>
      <c r="V5">
        <f>T5/2000</f>
        <v>19.544883689999999</v>
      </c>
      <c r="W5">
        <f>608/2000</f>
        <v>0.30399999999999999</v>
      </c>
    </row>
    <row r="6" spans="1:23" x14ac:dyDescent="0.2">
      <c r="B6">
        <v>-8134.6371870000003</v>
      </c>
      <c r="C6">
        <v>43665.806434999999</v>
      </c>
      <c r="D6">
        <f t="shared" ref="D6:D7" si="0">B6/2000</f>
        <v>-4.0673185935000005</v>
      </c>
      <c r="E6">
        <f t="shared" ref="E6:E14" si="1">C6/8192</f>
        <v>5.3302986370849608</v>
      </c>
      <c r="H6">
        <v>-8753.4943490000005</v>
      </c>
      <c r="I6">
        <v>41477.964369000001</v>
      </c>
      <c r="J6">
        <f t="shared" ref="J6:K14" si="2">H6/2000</f>
        <v>-4.3767471745000002</v>
      </c>
      <c r="K6">
        <f t="shared" si="2"/>
        <v>20.738982184499999</v>
      </c>
      <c r="L6">
        <f>247/2000</f>
        <v>0.1235</v>
      </c>
      <c r="S6">
        <v>-9710.7695769999991</v>
      </c>
      <c r="T6">
        <v>39004.211078</v>
      </c>
      <c r="U6">
        <f t="shared" ref="U6:V14" si="3">S6/2000</f>
        <v>-4.8553847884999994</v>
      </c>
      <c r="V6">
        <f t="shared" si="3"/>
        <v>19.502105538999999</v>
      </c>
      <c r="W6">
        <f>622/2000</f>
        <v>0.311</v>
      </c>
    </row>
    <row r="7" spans="1:23" x14ac:dyDescent="0.2">
      <c r="B7">
        <v>-8133.6768160000001</v>
      </c>
      <c r="C7">
        <v>43661.798523999998</v>
      </c>
      <c r="D7">
        <f t="shared" si="0"/>
        <v>-4.0668384079999997</v>
      </c>
      <c r="E7">
        <f t="shared" si="1"/>
        <v>5.3298093901367185</v>
      </c>
      <c r="H7">
        <v>-8768.3303039999992</v>
      </c>
      <c r="I7">
        <v>41451.424276999998</v>
      </c>
      <c r="J7">
        <f t="shared" si="2"/>
        <v>-4.3841651519999996</v>
      </c>
      <c r="K7">
        <f t="shared" si="2"/>
        <v>20.7257121385</v>
      </c>
      <c r="L7">
        <f>252/2000</f>
        <v>0.126</v>
      </c>
      <c r="S7">
        <v>-9733.9863509999996</v>
      </c>
      <c r="T7">
        <v>38948.975966999998</v>
      </c>
      <c r="U7">
        <f t="shared" si="3"/>
        <v>-4.8669931755000002</v>
      </c>
      <c r="V7">
        <f t="shared" si="3"/>
        <v>19.474487983499998</v>
      </c>
      <c r="W7">
        <f>633/2000</f>
        <v>0.3165</v>
      </c>
    </row>
    <row r="8" spans="1:23" x14ac:dyDescent="0.2">
      <c r="E8">
        <f t="shared" si="1"/>
        <v>0</v>
      </c>
      <c r="H8">
        <v>-8762.2312779999993</v>
      </c>
      <c r="I8">
        <v>41459.068133000001</v>
      </c>
      <c r="J8">
        <f t="shared" si="2"/>
        <v>-4.3811156389999999</v>
      </c>
      <c r="K8">
        <f t="shared" si="2"/>
        <v>20.729534066500001</v>
      </c>
      <c r="L8">
        <f>251/2000</f>
        <v>0.1255</v>
      </c>
      <c r="S8">
        <v>-9627.6526990000002</v>
      </c>
      <c r="T8">
        <v>39224.782781000002</v>
      </c>
      <c r="U8">
        <f t="shared" si="3"/>
        <v>-4.8138263495000002</v>
      </c>
      <c r="V8">
        <f t="shared" si="3"/>
        <v>19.612391390500001</v>
      </c>
      <c r="W8">
        <f>592/2000</f>
        <v>0.29599999999999999</v>
      </c>
    </row>
    <row r="9" spans="1:23" x14ac:dyDescent="0.2">
      <c r="E9">
        <f t="shared" si="1"/>
        <v>0</v>
      </c>
      <c r="H9">
        <v>-8690.3325609999993</v>
      </c>
      <c r="I9">
        <v>41680.830590999998</v>
      </c>
      <c r="J9">
        <f t="shared" si="2"/>
        <v>-4.3451662805</v>
      </c>
      <c r="K9">
        <f t="shared" si="2"/>
        <v>20.840415295499998</v>
      </c>
      <c r="L9">
        <f>222/2000</f>
        <v>0.111</v>
      </c>
      <c r="S9">
        <v>-9798.2116210000004</v>
      </c>
      <c r="T9">
        <v>38800.288758000002</v>
      </c>
      <c r="U9">
        <f t="shared" si="3"/>
        <v>-4.8991058105</v>
      </c>
      <c r="V9">
        <f t="shared" si="3"/>
        <v>19.400144379</v>
      </c>
      <c r="W9">
        <f>655/2000</f>
        <v>0.32750000000000001</v>
      </c>
    </row>
    <row r="10" spans="1:23" x14ac:dyDescent="0.2">
      <c r="E10">
        <f t="shared" si="1"/>
        <v>0</v>
      </c>
      <c r="H10">
        <v>-8717.0928820000008</v>
      </c>
      <c r="I10">
        <v>41595.921517000002</v>
      </c>
      <c r="J10">
        <f t="shared" si="2"/>
        <v>-4.3585464410000005</v>
      </c>
      <c r="K10">
        <f t="shared" si="2"/>
        <v>20.7979607585</v>
      </c>
      <c r="L10">
        <f>233/2000</f>
        <v>0.11650000000000001</v>
      </c>
      <c r="S10">
        <v>-9746.8257520000006</v>
      </c>
      <c r="T10">
        <v>38933.588101000001</v>
      </c>
      <c r="U10">
        <f t="shared" si="3"/>
        <v>-4.8734128760000006</v>
      </c>
      <c r="V10">
        <f t="shared" si="3"/>
        <v>19.466794050499999</v>
      </c>
      <c r="W10">
        <f>637/2000</f>
        <v>0.31850000000000001</v>
      </c>
    </row>
    <row r="11" spans="1:23" x14ac:dyDescent="0.2">
      <c r="E11">
        <f t="shared" si="1"/>
        <v>0</v>
      </c>
      <c r="H11">
        <v>-8770.2409509999998</v>
      </c>
      <c r="I11">
        <v>41428.409853999998</v>
      </c>
      <c r="J11">
        <f t="shared" si="2"/>
        <v>-4.3851204754999999</v>
      </c>
      <c r="K11">
        <f t="shared" si="2"/>
        <v>20.714204926999997</v>
      </c>
      <c r="L11">
        <f>253/2000</f>
        <v>0.1265</v>
      </c>
      <c r="S11">
        <v>-9689.4015359999994</v>
      </c>
      <c r="T11">
        <v>39051.964847000003</v>
      </c>
      <c r="U11">
        <f t="shared" si="3"/>
        <v>-4.844700768</v>
      </c>
      <c r="V11">
        <f t="shared" si="3"/>
        <v>19.5259824235</v>
      </c>
      <c r="W11">
        <f>614/2000</f>
        <v>0.307</v>
      </c>
    </row>
    <row r="12" spans="1:23" x14ac:dyDescent="0.2">
      <c r="E12">
        <f t="shared" si="1"/>
        <v>0</v>
      </c>
      <c r="H12">
        <v>-8783.8134360000004</v>
      </c>
      <c r="I12">
        <v>41398.113319999997</v>
      </c>
      <c r="J12">
        <f t="shared" si="2"/>
        <v>-4.3919067180000004</v>
      </c>
      <c r="K12">
        <f t="shared" si="2"/>
        <v>20.69905666</v>
      </c>
      <c r="L12">
        <f>257/2000</f>
        <v>0.1285</v>
      </c>
      <c r="S12">
        <v>-9698.2411179999999</v>
      </c>
      <c r="T12">
        <v>39042.652114999997</v>
      </c>
      <c r="U12">
        <f t="shared" si="3"/>
        <v>-4.8491205590000002</v>
      </c>
      <c r="V12">
        <f t="shared" si="3"/>
        <v>19.521326057499998</v>
      </c>
      <c r="W12">
        <f>619/2000</f>
        <v>0.3095</v>
      </c>
    </row>
    <row r="13" spans="1:23" x14ac:dyDescent="0.2">
      <c r="E13">
        <f t="shared" si="1"/>
        <v>0</v>
      </c>
      <c r="H13">
        <v>-8686.2177780000002</v>
      </c>
      <c r="I13">
        <v>41693.789387999997</v>
      </c>
      <c r="J13">
        <f t="shared" si="2"/>
        <v>-4.3431088889999998</v>
      </c>
      <c r="K13">
        <f t="shared" si="2"/>
        <v>20.846894694</v>
      </c>
      <c r="L13">
        <f>220/2000</f>
        <v>0.11</v>
      </c>
      <c r="S13">
        <v>-9726.8432300000004</v>
      </c>
      <c r="T13">
        <v>38991.673874</v>
      </c>
      <c r="U13">
        <f t="shared" si="3"/>
        <v>-4.863421615</v>
      </c>
      <c r="V13">
        <f t="shared" si="3"/>
        <v>19.495836937</v>
      </c>
      <c r="W13">
        <f>629/2000</f>
        <v>0.3145</v>
      </c>
    </row>
    <row r="14" spans="1:23" x14ac:dyDescent="0.2">
      <c r="E14">
        <f t="shared" si="1"/>
        <v>0</v>
      </c>
      <c r="H14">
        <v>-8784.8368900000005</v>
      </c>
      <c r="I14">
        <v>41394.234317000002</v>
      </c>
      <c r="J14">
        <f t="shared" si="2"/>
        <v>-4.3924184450000006</v>
      </c>
      <c r="K14">
        <f t="shared" si="2"/>
        <v>20.697117158499999</v>
      </c>
      <c r="L14">
        <f>259/2000</f>
        <v>0.1295</v>
      </c>
      <c r="S14">
        <v>-9706.0200530000002</v>
      </c>
      <c r="T14">
        <v>39021.146491</v>
      </c>
      <c r="U14">
        <f t="shared" si="3"/>
        <v>-4.8530100264999998</v>
      </c>
      <c r="V14">
        <f t="shared" si="3"/>
        <v>19.510573245499998</v>
      </c>
      <c r="W14">
        <f>621/2000</f>
        <v>0.3105</v>
      </c>
    </row>
    <row r="15" spans="1:23" x14ac:dyDescent="0.2">
      <c r="D15">
        <f>AVERAGE(D5:D14)</f>
        <v>-4.0670886173333329</v>
      </c>
    </row>
    <row r="16" spans="1:23" x14ac:dyDescent="0.2">
      <c r="G16" t="s">
        <v>27</v>
      </c>
      <c r="R16" t="s">
        <v>29</v>
      </c>
      <c r="S16" t="s">
        <v>4</v>
      </c>
      <c r="T16" t="s">
        <v>5</v>
      </c>
      <c r="U16" t="s">
        <v>6</v>
      </c>
      <c r="V16" t="s">
        <v>7</v>
      </c>
      <c r="W16" t="s">
        <v>9</v>
      </c>
    </row>
    <row r="17" spans="1:23" x14ac:dyDescent="0.2">
      <c r="H17">
        <v>-9169.7239559999998</v>
      </c>
      <c r="I17">
        <v>40320.012511000001</v>
      </c>
      <c r="J17">
        <f t="shared" ref="J17:K26" si="4">H17/2000</f>
        <v>-4.5848619780000002</v>
      </c>
      <c r="K17">
        <f t="shared" si="4"/>
        <v>20.160006255500001</v>
      </c>
      <c r="L17">
        <f>410/2000</f>
        <v>0.20499999999999999</v>
      </c>
      <c r="S17">
        <v>-11899.82357</v>
      </c>
      <c r="T17">
        <v>34814.775631999997</v>
      </c>
      <c r="U17">
        <f>S17/2000</f>
        <v>-5.9499117850000003</v>
      </c>
      <c r="V17">
        <f>T17/2000</f>
        <v>17.407387816</v>
      </c>
      <c r="W17">
        <f>1473/2000</f>
        <v>0.73650000000000004</v>
      </c>
    </row>
    <row r="18" spans="1:23" x14ac:dyDescent="0.2">
      <c r="H18">
        <v>-9214.1061609999997</v>
      </c>
      <c r="I18">
        <v>40224.100353000002</v>
      </c>
      <c r="J18">
        <f t="shared" si="4"/>
        <v>-4.6070530805000001</v>
      </c>
      <c r="K18">
        <f t="shared" si="4"/>
        <v>20.112050176500002</v>
      </c>
      <c r="L18">
        <f>427/2000</f>
        <v>0.2135</v>
      </c>
      <c r="S18">
        <v>-11863.881173</v>
      </c>
      <c r="T18">
        <v>34898.297236999999</v>
      </c>
      <c r="U18">
        <f t="shared" ref="U18:V26" si="5">S18/2000</f>
        <v>-5.9319405864999997</v>
      </c>
      <c r="V18">
        <f t="shared" si="5"/>
        <v>17.449148618500001</v>
      </c>
      <c r="W18">
        <f>1458/2000</f>
        <v>0.72899999999999998</v>
      </c>
    </row>
    <row r="19" spans="1:23" x14ac:dyDescent="0.2">
      <c r="A19" t="s">
        <v>2</v>
      </c>
      <c r="B19" t="s">
        <v>4</v>
      </c>
      <c r="C19" t="s">
        <v>5</v>
      </c>
      <c r="D19" t="s">
        <v>6</v>
      </c>
      <c r="E19" t="s">
        <v>7</v>
      </c>
      <c r="H19">
        <v>-9212.2577650000003</v>
      </c>
      <c r="I19">
        <v>40209.974495000002</v>
      </c>
      <c r="J19">
        <f t="shared" si="4"/>
        <v>-4.6061288825000002</v>
      </c>
      <c r="K19">
        <f t="shared" si="4"/>
        <v>20.104987247500002</v>
      </c>
      <c r="L19">
        <f>428/2000</f>
        <v>0.214</v>
      </c>
      <c r="S19">
        <v>-11788.654957999999</v>
      </c>
      <c r="T19">
        <v>35028.409163999997</v>
      </c>
      <c r="U19">
        <f t="shared" si="5"/>
        <v>-5.8943274789999993</v>
      </c>
      <c r="V19">
        <f t="shared" si="5"/>
        <v>17.514204581999998</v>
      </c>
      <c r="W19">
        <f>1433/2000</f>
        <v>0.71650000000000003</v>
      </c>
    </row>
    <row r="20" spans="1:23" x14ac:dyDescent="0.2">
      <c r="B20">
        <v>-13510.180001999999</v>
      </c>
      <c r="C20">
        <v>31939.27174</v>
      </c>
      <c r="D20">
        <f>B20/2000</f>
        <v>-6.7550900009999992</v>
      </c>
      <c r="E20">
        <f>C20/8192</f>
        <v>3.8988368823242188</v>
      </c>
      <c r="H20">
        <v>-9203.8367330000001</v>
      </c>
      <c r="I20">
        <v>40240.105541999998</v>
      </c>
      <c r="J20">
        <f t="shared" si="4"/>
        <v>-4.6019183664999996</v>
      </c>
      <c r="K20">
        <f t="shared" si="4"/>
        <v>20.120052770999997</v>
      </c>
      <c r="L20">
        <f>425/2000</f>
        <v>0.21249999999999999</v>
      </c>
      <c r="S20">
        <v>-11793.812322</v>
      </c>
      <c r="T20">
        <v>35042.086616000001</v>
      </c>
      <c r="U20">
        <f t="shared" si="5"/>
        <v>-5.8969061609999995</v>
      </c>
      <c r="V20">
        <f t="shared" si="5"/>
        <v>17.521043307999999</v>
      </c>
      <c r="W20">
        <f>1431/2000</f>
        <v>0.71550000000000002</v>
      </c>
    </row>
    <row r="21" spans="1:23" x14ac:dyDescent="0.2">
      <c r="B21">
        <v>-13510.288654</v>
      </c>
      <c r="C21">
        <v>31938.829690999999</v>
      </c>
      <c r="D21">
        <f t="shared" ref="D21:D22" si="6">B21/2000</f>
        <v>-6.755144327</v>
      </c>
      <c r="E21">
        <f t="shared" ref="E21:E29" si="7">C21/8192</f>
        <v>3.8987829212646483</v>
      </c>
      <c r="H21">
        <v>-9196.9397250000002</v>
      </c>
      <c r="I21">
        <v>40250.145035000001</v>
      </c>
      <c r="J21">
        <f t="shared" si="4"/>
        <v>-4.5984698625</v>
      </c>
      <c r="K21">
        <f t="shared" si="4"/>
        <v>20.125072517500001</v>
      </c>
      <c r="L21">
        <f>420/2000</f>
        <v>0.21</v>
      </c>
      <c r="R21" t="s">
        <v>51</v>
      </c>
      <c r="S21">
        <v>-11693.262581999999</v>
      </c>
      <c r="T21">
        <v>35214.776596999996</v>
      </c>
      <c r="U21">
        <f t="shared" si="5"/>
        <v>-5.8466312909999996</v>
      </c>
      <c r="V21">
        <f t="shared" si="5"/>
        <v>17.607388298499998</v>
      </c>
      <c r="W21">
        <f>1396/2000</f>
        <v>0.69799999999999995</v>
      </c>
    </row>
    <row r="22" spans="1:23" x14ac:dyDescent="0.2">
      <c r="B22">
        <v>-13510.238255</v>
      </c>
      <c r="C22">
        <v>31938.901206999999</v>
      </c>
      <c r="D22">
        <f t="shared" si="6"/>
        <v>-6.7551191275000004</v>
      </c>
      <c r="E22">
        <f t="shared" si="7"/>
        <v>3.8987916512451171</v>
      </c>
      <c r="H22">
        <v>-9226.3292619999993</v>
      </c>
      <c r="I22">
        <v>40186.074759000003</v>
      </c>
      <c r="J22">
        <f t="shared" si="4"/>
        <v>-4.6131646310000001</v>
      </c>
      <c r="K22">
        <f t="shared" si="4"/>
        <v>20.0930373795</v>
      </c>
      <c r="L22">
        <f>432/2000</f>
        <v>0.216</v>
      </c>
      <c r="S22">
        <v>-11758.615471999999</v>
      </c>
      <c r="T22">
        <v>35102.877167999999</v>
      </c>
      <c r="U22">
        <f t="shared" si="5"/>
        <v>-5.8793077359999995</v>
      </c>
      <c r="V22">
        <f t="shared" si="5"/>
        <v>17.551438584</v>
      </c>
      <c r="W22">
        <f>1418/2000</f>
        <v>0.70899999999999996</v>
      </c>
    </row>
    <row r="23" spans="1:23" x14ac:dyDescent="0.2">
      <c r="E23">
        <f t="shared" si="7"/>
        <v>0</v>
      </c>
      <c r="H23">
        <v>-9217.5978930000001</v>
      </c>
      <c r="I23">
        <v>40193.541807000001</v>
      </c>
      <c r="J23">
        <f t="shared" si="4"/>
        <v>-4.6087989465000003</v>
      </c>
      <c r="K23">
        <f t="shared" si="4"/>
        <v>20.096770903500001</v>
      </c>
      <c r="L23">
        <f>428/2000</f>
        <v>0.214</v>
      </c>
      <c r="S23">
        <v>-11757.145401</v>
      </c>
      <c r="T23">
        <v>35080.538262000002</v>
      </c>
      <c r="U23">
        <f t="shared" si="5"/>
        <v>-5.8785727004999995</v>
      </c>
      <c r="V23">
        <f t="shared" si="5"/>
        <v>17.540269131000002</v>
      </c>
      <c r="W23">
        <f>1422/2000</f>
        <v>0.71099999999999997</v>
      </c>
    </row>
    <row r="24" spans="1:23" x14ac:dyDescent="0.2">
      <c r="E24">
        <f t="shared" si="7"/>
        <v>0</v>
      </c>
      <c r="H24">
        <v>-9177.8218730000008</v>
      </c>
      <c r="I24">
        <v>40296.596020999998</v>
      </c>
      <c r="J24">
        <f t="shared" si="4"/>
        <v>-4.5889109365000005</v>
      </c>
      <c r="K24">
        <f t="shared" si="4"/>
        <v>20.1482980105</v>
      </c>
      <c r="L24">
        <f>413/2000</f>
        <v>0.20649999999999999</v>
      </c>
      <c r="S24">
        <v>-11818.075262</v>
      </c>
      <c r="T24">
        <v>34964.237751000001</v>
      </c>
      <c r="U24">
        <f t="shared" si="5"/>
        <v>-5.9090376310000003</v>
      </c>
      <c r="V24">
        <f t="shared" si="5"/>
        <v>17.482118875499999</v>
      </c>
      <c r="W24">
        <f>1443/2000</f>
        <v>0.72150000000000003</v>
      </c>
    </row>
    <row r="25" spans="1:23" x14ac:dyDescent="0.2">
      <c r="E25">
        <f t="shared" si="7"/>
        <v>0</v>
      </c>
      <c r="H25">
        <v>-9206.5120499999994</v>
      </c>
      <c r="I25">
        <v>40235.041492999997</v>
      </c>
      <c r="J25">
        <f t="shared" si="4"/>
        <v>-4.6032560249999994</v>
      </c>
      <c r="K25">
        <f t="shared" si="4"/>
        <v>20.117520746499999</v>
      </c>
      <c r="L25">
        <f>424/2000</f>
        <v>0.21199999999999999</v>
      </c>
      <c r="S25">
        <v>-11829.190629999999</v>
      </c>
      <c r="T25">
        <v>34942.412174999998</v>
      </c>
      <c r="U25">
        <f t="shared" si="5"/>
        <v>-5.9145953149999997</v>
      </c>
      <c r="V25">
        <f t="shared" si="5"/>
        <v>17.471206087500001</v>
      </c>
      <c r="W25">
        <f>1445/2000</f>
        <v>0.72250000000000003</v>
      </c>
    </row>
    <row r="26" spans="1:23" x14ac:dyDescent="0.2">
      <c r="E26">
        <f t="shared" si="7"/>
        <v>0</v>
      </c>
      <c r="H26">
        <v>-9185.4136080000007</v>
      </c>
      <c r="I26">
        <v>40300.121290000003</v>
      </c>
      <c r="J26">
        <f t="shared" si="4"/>
        <v>-4.5927068040000005</v>
      </c>
      <c r="K26">
        <f t="shared" si="4"/>
        <v>20.150060645</v>
      </c>
      <c r="L26">
        <f>418/2000</f>
        <v>0.20899999999999999</v>
      </c>
      <c r="S26">
        <v>-11687.343645999999</v>
      </c>
      <c r="T26">
        <v>35212.776646999999</v>
      </c>
      <c r="U26">
        <f t="shared" si="5"/>
        <v>-5.8436718229999993</v>
      </c>
      <c r="V26">
        <f t="shared" si="5"/>
        <v>17.606388323499999</v>
      </c>
      <c r="W26">
        <f>1396/2000</f>
        <v>0.69799999999999995</v>
      </c>
    </row>
    <row r="27" spans="1:23" x14ac:dyDescent="0.2">
      <c r="E27">
        <f t="shared" si="7"/>
        <v>0</v>
      </c>
    </row>
    <row r="28" spans="1:23" x14ac:dyDescent="0.2">
      <c r="E28">
        <f t="shared" si="7"/>
        <v>0</v>
      </c>
      <c r="U28">
        <v>-4.0670886173333329</v>
      </c>
      <c r="W28">
        <v>0</v>
      </c>
    </row>
    <row r="29" spans="1:23" x14ac:dyDescent="0.2">
      <c r="E29">
        <f t="shared" si="7"/>
        <v>0</v>
      </c>
      <c r="U29">
        <v>-6.7551178184999996</v>
      </c>
      <c r="W29">
        <v>1</v>
      </c>
    </row>
    <row r="30" spans="1:23" x14ac:dyDescent="0.2">
      <c r="D30">
        <f>AVERAGE(D20:D29)</f>
        <v>-6.7551178184999996</v>
      </c>
    </row>
    <row r="32" spans="1:23" ht="19" x14ac:dyDescent="0.2">
      <c r="N32" t="s">
        <v>70</v>
      </c>
    </row>
    <row r="33" spans="2:29" ht="19" x14ac:dyDescent="0.2">
      <c r="N33" t="s">
        <v>69</v>
      </c>
    </row>
    <row r="34" spans="2:29" x14ac:dyDescent="0.2">
      <c r="S34" t="s">
        <v>53</v>
      </c>
      <c r="T34" t="s">
        <v>54</v>
      </c>
      <c r="U34" t="s">
        <v>4</v>
      </c>
      <c r="V34" t="s">
        <v>55</v>
      </c>
    </row>
    <row r="35" spans="2:29" x14ac:dyDescent="0.2">
      <c r="C35" t="s">
        <v>52</v>
      </c>
      <c r="D35" t="s">
        <v>13</v>
      </c>
      <c r="E35" t="s">
        <v>4</v>
      </c>
      <c r="F35" t="s">
        <v>5</v>
      </c>
      <c r="G35" t="s">
        <v>14</v>
      </c>
      <c r="H35" t="s">
        <v>15</v>
      </c>
      <c r="I35" t="s">
        <v>16</v>
      </c>
      <c r="J35" t="s">
        <v>17</v>
      </c>
      <c r="K35" t="s">
        <v>18</v>
      </c>
      <c r="L35" t="s">
        <v>19</v>
      </c>
      <c r="M35" t="s">
        <v>9</v>
      </c>
      <c r="N35" t="s">
        <v>20</v>
      </c>
      <c r="O35" t="s">
        <v>68</v>
      </c>
      <c r="P35" t="s">
        <v>8</v>
      </c>
      <c r="Q35" t="s">
        <v>21</v>
      </c>
      <c r="R35" t="s">
        <v>21</v>
      </c>
      <c r="T35">
        <v>0</v>
      </c>
      <c r="U35" s="3"/>
      <c r="V35">
        <v>0</v>
      </c>
      <c r="Y35">
        <v>0</v>
      </c>
    </row>
    <row r="36" spans="2:29" x14ac:dyDescent="0.2">
      <c r="B36" t="s">
        <v>25</v>
      </c>
      <c r="C36">
        <v>100000</v>
      </c>
      <c r="D36">
        <v>867.47209099999998</v>
      </c>
      <c r="E36">
        <v>-17011.708339000001</v>
      </c>
      <c r="F36">
        <v>81164.317630000005</v>
      </c>
      <c r="G36">
        <v>0.43837700000000002</v>
      </c>
      <c r="H36">
        <v>31.282371999999999</v>
      </c>
      <c r="I36">
        <v>187.73824200000001</v>
      </c>
      <c r="J36">
        <v>13.82014</v>
      </c>
      <c r="K36">
        <v>3441</v>
      </c>
      <c r="L36">
        <v>463</v>
      </c>
      <c r="M36">
        <f>L36/(L36+K36)</f>
        <v>0.11859631147540983</v>
      </c>
      <c r="N36">
        <f>-4.0577-2.5872*M36</f>
        <v>-4.36453237704918</v>
      </c>
      <c r="O36">
        <f>-0.6094*M36^3+0.5993*(M36^2) - 2.6874*M36 - 4.0553</f>
        <v>-4.3666030421207944</v>
      </c>
      <c r="P36">
        <f>E36-(SUM(K36:L36)*N36)</f>
        <v>27.426060999998299</v>
      </c>
      <c r="Q36">
        <f>P36/(2*H36*J36)</f>
        <v>3.1719134114791478E-2</v>
      </c>
      <c r="R36">
        <f>Q36*16.02</f>
        <v>0.50814052851895941</v>
      </c>
      <c r="T36" s="2">
        <v>12.68</v>
      </c>
      <c r="U36" s="3" t="s">
        <v>36</v>
      </c>
      <c r="V36" s="4">
        <v>0.50446922548649664</v>
      </c>
      <c r="W36" s="6">
        <v>2.0741941050602973E-2</v>
      </c>
      <c r="X36" s="6"/>
      <c r="Y36">
        <v>0.65464060353501696</v>
      </c>
      <c r="AA36" s="21">
        <f>O36-N36</f>
        <v>-2.0706650716144637E-3</v>
      </c>
      <c r="AB36">
        <f>(E36-(SUM(K36:L36)*O36))/(2*H36*J36)*16.02</f>
        <v>0.65791578230006265</v>
      </c>
    </row>
    <row r="37" spans="2:29" x14ac:dyDescent="0.2">
      <c r="C37">
        <v>100000</v>
      </c>
      <c r="D37">
        <v>867.67904699999997</v>
      </c>
      <c r="E37">
        <v>-17032.353716000001</v>
      </c>
      <c r="F37">
        <v>81107.099166</v>
      </c>
      <c r="G37">
        <v>0.35108499999999998</v>
      </c>
      <c r="H37">
        <v>31.275019</v>
      </c>
      <c r="I37">
        <v>187.69411600000001</v>
      </c>
      <c r="J37">
        <v>13.816891999999999</v>
      </c>
      <c r="K37">
        <v>3433</v>
      </c>
      <c r="L37">
        <v>471</v>
      </c>
      <c r="M37">
        <f>L37/(L37+K37)</f>
        <v>0.12064549180327869</v>
      </c>
      <c r="N37">
        <f t="shared" ref="N37:N40" si="8">-4.0577-2.5872*M37</f>
        <v>-4.3698340163934422</v>
      </c>
      <c r="O37">
        <f t="shared" ref="O37:O40" si="9">-0.6094*M37^3+0.5993*(M37^2) - 2.6874*M37 - 4.0553</f>
        <v>-4.3718698106321581</v>
      </c>
      <c r="P37">
        <f>E37-(SUM(K37:L37)*N37)</f>
        <v>27.478283999997075</v>
      </c>
      <c r="Q37">
        <f>P37/(2*H37*J37)</f>
        <v>3.1794475648796845E-2</v>
      </c>
      <c r="R37">
        <f>Q37*16.02</f>
        <v>0.50934749989372541</v>
      </c>
      <c r="T37" s="6">
        <v>16.260000000000002</v>
      </c>
      <c r="U37" s="3" t="s">
        <v>37</v>
      </c>
      <c r="V37" s="4">
        <v>0.53511984262444745</v>
      </c>
      <c r="W37" s="6">
        <v>5.0358529075259305E-2</v>
      </c>
      <c r="X37" s="6"/>
      <c r="Y37">
        <v>0.69034206643459939</v>
      </c>
      <c r="AA37" s="21">
        <f t="shared" ref="AA37:AA94" si="10">O37-N37</f>
        <v>-2.0357942387159156E-3</v>
      </c>
      <c r="AB37">
        <f t="shared" ref="AB37:AB40" si="11">(E37-(SUM(K37:L37)*O37))/(2*H37*J37)*16.02</f>
        <v>0.6566697220309099</v>
      </c>
    </row>
    <row r="38" spans="2:29" x14ac:dyDescent="0.2">
      <c r="C38">
        <v>100000</v>
      </c>
      <c r="D38">
        <v>867.60554200000001</v>
      </c>
      <c r="E38">
        <v>-17044.126978</v>
      </c>
      <c r="F38">
        <v>81090.742178999993</v>
      </c>
      <c r="G38">
        <v>4.8286000000000003E-2</v>
      </c>
      <c r="H38">
        <v>31.272915999999999</v>
      </c>
      <c r="I38">
        <v>187.681498</v>
      </c>
      <c r="J38">
        <v>13.815963</v>
      </c>
      <c r="K38">
        <v>3428</v>
      </c>
      <c r="L38">
        <v>476</v>
      </c>
      <c r="M38">
        <f>L38/(L38+K38)</f>
        <v>0.12192622950819672</v>
      </c>
      <c r="N38">
        <f t="shared" si="8"/>
        <v>-4.3731475409836058</v>
      </c>
      <c r="O38">
        <f t="shared" si="9"/>
        <v>-4.3751599237400463</v>
      </c>
      <c r="P38">
        <f>E38-(SUM(K38:L38)*N38)</f>
        <v>28.641021999996156</v>
      </c>
      <c r="Q38">
        <f>P38/(2*H38*J38)</f>
        <v>3.314430947470768E-2</v>
      </c>
      <c r="R38">
        <f>Q38*16.02</f>
        <v>0.53097183778481705</v>
      </c>
      <c r="T38" s="2">
        <v>22.62</v>
      </c>
      <c r="U38" s="3" t="s">
        <v>38</v>
      </c>
      <c r="V38" s="4">
        <v>0.56877451174685079</v>
      </c>
      <c r="W38" s="6">
        <v>4.7048404166924365E-2</v>
      </c>
      <c r="X38" s="6"/>
      <c r="Y38">
        <v>0.68101768992490752</v>
      </c>
      <c r="AA38" s="21">
        <f t="shared" si="10"/>
        <v>-2.0123827564404451E-3</v>
      </c>
      <c r="AB38">
        <f t="shared" si="11"/>
        <v>0.67661945117260358</v>
      </c>
    </row>
    <row r="39" spans="2:29" x14ac:dyDescent="0.2">
      <c r="C39">
        <v>100000</v>
      </c>
      <c r="D39">
        <v>867.71706500000005</v>
      </c>
      <c r="E39">
        <v>-16970.691751999999</v>
      </c>
      <c r="F39">
        <v>81319.528072000001</v>
      </c>
      <c r="G39">
        <v>0.37690899999999999</v>
      </c>
      <c r="H39">
        <v>31.302299000000001</v>
      </c>
      <c r="I39">
        <v>187.85783599999999</v>
      </c>
      <c r="J39">
        <v>13.828944</v>
      </c>
      <c r="K39">
        <v>3457</v>
      </c>
      <c r="L39">
        <v>447</v>
      </c>
      <c r="M39">
        <f>L39/(L39+K39)</f>
        <v>0.11449795081967214</v>
      </c>
      <c r="N39">
        <f t="shared" si="8"/>
        <v>-4.3539290983606556</v>
      </c>
      <c r="O39">
        <f t="shared" si="9"/>
        <v>-4.356059837057038</v>
      </c>
      <c r="P39">
        <f>E39-(SUM(K39:L39)*N39)</f>
        <v>27.047448000001168</v>
      </c>
      <c r="Q39">
        <f>P39/(2*H39*J39)</f>
        <v>3.1241440139205563E-2</v>
      </c>
      <c r="R39">
        <f>Q39*16.02</f>
        <v>0.50048787103007308</v>
      </c>
      <c r="T39" s="6">
        <v>27.6760219742164</v>
      </c>
      <c r="U39" s="5" t="s">
        <v>39</v>
      </c>
      <c r="V39" s="4">
        <v>0.62263936366465433</v>
      </c>
      <c r="W39" s="6">
        <v>4.4767418352776332E-2</v>
      </c>
      <c r="X39" s="6"/>
      <c r="Y39">
        <v>0.75616610172580345</v>
      </c>
      <c r="AA39" s="21">
        <f t="shared" si="10"/>
        <v>-2.1307386963824726E-3</v>
      </c>
      <c r="AB39">
        <f t="shared" si="11"/>
        <v>0.65441219851569199</v>
      </c>
    </row>
    <row r="40" spans="2:29" x14ac:dyDescent="0.2">
      <c r="C40">
        <v>100000</v>
      </c>
      <c r="D40">
        <v>867.34217799999999</v>
      </c>
      <c r="E40">
        <v>-16969.572367000001</v>
      </c>
      <c r="F40">
        <v>81301.213634</v>
      </c>
      <c r="G40">
        <v>0.28208</v>
      </c>
      <c r="H40">
        <v>31.299949000000002</v>
      </c>
      <c r="I40">
        <v>187.84373400000001</v>
      </c>
      <c r="J40">
        <v>13.827906</v>
      </c>
      <c r="K40">
        <v>3458</v>
      </c>
      <c r="L40">
        <v>446</v>
      </c>
      <c r="M40">
        <f>L40/(L40+K40)</f>
        <v>0.11424180327868852</v>
      </c>
      <c r="N40">
        <f t="shared" si="8"/>
        <v>-4.353266393442623</v>
      </c>
      <c r="O40">
        <f t="shared" si="9"/>
        <v>-4.3554004543755873</v>
      </c>
      <c r="P40">
        <f>E40-(SUM(K40:L40)*N40)</f>
        <v>25.579633000001195</v>
      </c>
      <c r="Q40">
        <f>P40/(2*H40*J40)</f>
        <v>2.955046131116781E-2</v>
      </c>
      <c r="R40">
        <f>Q40*16.02</f>
        <v>0.47339839020490831</v>
      </c>
      <c r="T40" s="2">
        <v>36.869999999999997</v>
      </c>
      <c r="U40" s="5" t="s">
        <v>40</v>
      </c>
      <c r="V40" s="4">
        <v>0.50253919410053327</v>
      </c>
      <c r="W40" s="6">
        <v>5.1701935593729285E-2</v>
      </c>
      <c r="X40" s="6"/>
      <c r="Y40">
        <v>0.60892974371114605</v>
      </c>
      <c r="AA40" s="21">
        <f t="shared" si="10"/>
        <v>-2.1340609329643101E-3</v>
      </c>
      <c r="AB40">
        <f t="shared" si="11"/>
        <v>0.62758586365581714</v>
      </c>
      <c r="AC40">
        <f>AVERAGE(AB36:AB40)</f>
        <v>0.65464060353501696</v>
      </c>
    </row>
    <row r="41" spans="2:29" x14ac:dyDescent="0.2">
      <c r="R41" s="1">
        <f>AVERAGE(R36:R40)</f>
        <v>0.50446922548649664</v>
      </c>
      <c r="S41">
        <f>STDEV(R36:R40)</f>
        <v>2.0741941050602973E-2</v>
      </c>
      <c r="T41" s="6">
        <v>46.145146311133402</v>
      </c>
      <c r="U41" s="5" t="s">
        <v>41</v>
      </c>
      <c r="V41" s="4">
        <v>0.70851657833975368</v>
      </c>
      <c r="W41" s="6">
        <v>5.0025695267800166E-2</v>
      </c>
      <c r="X41" s="6"/>
      <c r="Y41">
        <v>0.87015016510529897</v>
      </c>
      <c r="AA41" s="21"/>
    </row>
    <row r="42" spans="2:29" x14ac:dyDescent="0.2">
      <c r="B42" t="s">
        <v>30</v>
      </c>
      <c r="C42">
        <v>100000</v>
      </c>
      <c r="D42">
        <v>929.87312899999995</v>
      </c>
      <c r="E42">
        <v>-13745.716651000001</v>
      </c>
      <c r="F42">
        <v>66066.936575999993</v>
      </c>
      <c r="G42">
        <v>2.4785999999999999E-2</v>
      </c>
      <c r="H42">
        <v>24.437294999999999</v>
      </c>
      <c r="I42">
        <v>195.542394</v>
      </c>
      <c r="J42">
        <v>13.825785</v>
      </c>
      <c r="K42">
        <v>2816</v>
      </c>
      <c r="L42">
        <v>352</v>
      </c>
      <c r="M42">
        <f>L42/(L42+K42)</f>
        <v>0.1111111111111111</v>
      </c>
      <c r="N42">
        <f>-4.0577-2.5872*M42</f>
        <v>-4.3451666666666666</v>
      </c>
      <c r="O42">
        <f>-0.6094*M42^3+0.5993*(M42^2) - 2.6874*M42 - 4.0553</f>
        <v>-4.3473371742112485</v>
      </c>
      <c r="P42">
        <f>E42-(SUM(K42:L42)*N42)</f>
        <v>19.771348999998736</v>
      </c>
      <c r="Q42">
        <f>P42/(2*H42*J42)</f>
        <v>2.9259262552844924E-2</v>
      </c>
      <c r="R42">
        <f>Q42*16.02</f>
        <v>0.46873338609657567</v>
      </c>
      <c r="T42" s="2">
        <v>53.13</v>
      </c>
      <c r="U42" s="5" t="s">
        <v>42</v>
      </c>
      <c r="V42" s="4">
        <v>0.61238738983812624</v>
      </c>
      <c r="W42" s="6">
        <v>1.4357153813707205E-2</v>
      </c>
      <c r="X42" s="6"/>
      <c r="Y42">
        <v>0.68283402560775153</v>
      </c>
      <c r="AA42" s="21">
        <f t="shared" si="10"/>
        <v>-2.1705075445819233E-3</v>
      </c>
      <c r="AB42">
        <f>(E42-(SUM(K42:L42)*O42))/(2*H42*J42)*16.02</f>
        <v>0.63175157285335859</v>
      </c>
    </row>
    <row r="43" spans="2:29" x14ac:dyDescent="0.2">
      <c r="C43">
        <v>100000</v>
      </c>
      <c r="D43">
        <v>929.73795299999995</v>
      </c>
      <c r="E43">
        <v>-13823.644663999999</v>
      </c>
      <c r="F43">
        <v>65848.155085999999</v>
      </c>
      <c r="G43">
        <v>0.62500500000000003</v>
      </c>
      <c r="H43">
        <v>24.41029</v>
      </c>
      <c r="I43">
        <v>195.326302</v>
      </c>
      <c r="J43">
        <v>13.810506</v>
      </c>
      <c r="K43">
        <v>2785</v>
      </c>
      <c r="L43">
        <v>383</v>
      </c>
      <c r="M43">
        <f>L43/(L43+K43)</f>
        <v>0.12089646464646464</v>
      </c>
      <c r="N43">
        <f t="shared" ref="N43:N46" si="12">-4.0577-2.5872*M43</f>
        <v>-4.3704833333333326</v>
      </c>
      <c r="O43">
        <f t="shared" ref="O43:O46" si="13">-0.6094*M43^3+0.5993*(M43^2) - 2.6874*M43 - 4.0553</f>
        <v>-4.3725146375078552</v>
      </c>
      <c r="P43">
        <f>E43-(SUM(K43:L43)*N43)</f>
        <v>22.046535999998014</v>
      </c>
      <c r="Q43">
        <f>P43/(2*H43*J43)</f>
        <v>3.2698500444690477E-2</v>
      </c>
      <c r="R43">
        <f>Q43*16.02</f>
        <v>0.52382997712394141</v>
      </c>
      <c r="T43" s="2">
        <v>61.71</v>
      </c>
      <c r="U43" s="5" t="s">
        <v>43</v>
      </c>
      <c r="V43" s="4">
        <v>0.70364504632698477</v>
      </c>
      <c r="W43" s="6">
        <v>3.6825995774503691E-2</v>
      </c>
      <c r="X43" s="6"/>
      <c r="Y43">
        <v>0.8985343718976182</v>
      </c>
      <c r="AA43" s="21">
        <f t="shared" si="10"/>
        <v>-2.0313041745225746E-3</v>
      </c>
      <c r="AB43">
        <f t="shared" ref="AB43:AB46" si="14">(E43-(SUM(K43:L43)*O43))/(2*H43*J43)*16.02</f>
        <v>0.67673090473695829</v>
      </c>
    </row>
    <row r="44" spans="2:29" x14ac:dyDescent="0.2">
      <c r="C44">
        <v>100000</v>
      </c>
      <c r="D44">
        <v>929.67380300000002</v>
      </c>
      <c r="E44">
        <v>-13767.129884</v>
      </c>
      <c r="F44">
        <v>66017.494223000002</v>
      </c>
      <c r="G44">
        <v>-4.9579999999999997E-3</v>
      </c>
      <c r="H44">
        <v>24.431197999999998</v>
      </c>
      <c r="I44">
        <v>195.49360200000001</v>
      </c>
      <c r="J44">
        <v>13.822335000000001</v>
      </c>
      <c r="K44">
        <v>2807</v>
      </c>
      <c r="L44">
        <v>361</v>
      </c>
      <c r="M44">
        <f>L44/(L44+K44)</f>
        <v>0.11395202020202021</v>
      </c>
      <c r="N44">
        <f t="shared" si="12"/>
        <v>-4.3525166666666664</v>
      </c>
      <c r="O44">
        <f t="shared" si="13"/>
        <v>-4.3546544243175882</v>
      </c>
      <c r="P44">
        <f>E44-(SUM(K44:L44)*N44)</f>
        <v>21.642915999998877</v>
      </c>
      <c r="Q44">
        <f>P44/(2*H44*J44)</f>
        <v>3.204495015703674E-2</v>
      </c>
      <c r="R44">
        <f>Q44*16.02</f>
        <v>0.51336010151572853</v>
      </c>
      <c r="T44" s="6">
        <v>67.724661178359398</v>
      </c>
      <c r="U44" s="5" t="s">
        <v>44</v>
      </c>
      <c r="V44" s="4">
        <v>0.6190754251139341</v>
      </c>
      <c r="W44" s="6">
        <v>4.2266030598793851E-2</v>
      </c>
      <c r="X44" s="6"/>
      <c r="Y44">
        <v>0.77864899291860712</v>
      </c>
      <c r="AA44" s="21">
        <f t="shared" si="10"/>
        <v>-2.1377576509218343E-3</v>
      </c>
      <c r="AB44">
        <f t="shared" si="14"/>
        <v>0.67399872745265221</v>
      </c>
    </row>
    <row r="45" spans="2:29" x14ac:dyDescent="0.2">
      <c r="C45">
        <v>100000</v>
      </c>
      <c r="D45">
        <v>929.51175699999999</v>
      </c>
      <c r="E45">
        <v>-13810.304741</v>
      </c>
      <c r="F45">
        <v>65891.759313999995</v>
      </c>
      <c r="G45">
        <v>0.41257300000000002</v>
      </c>
      <c r="H45">
        <v>24.415676999999999</v>
      </c>
      <c r="I45">
        <v>195.36941100000001</v>
      </c>
      <c r="J45">
        <v>13.813554</v>
      </c>
      <c r="K45">
        <v>2789</v>
      </c>
      <c r="L45">
        <v>379</v>
      </c>
      <c r="M45">
        <f>L45/(L45+K45)</f>
        <v>0.11963383838383838</v>
      </c>
      <c r="N45">
        <f t="shared" si="12"/>
        <v>-4.3672166666666659</v>
      </c>
      <c r="O45">
        <f t="shared" si="13"/>
        <v>-4.3692700756634029</v>
      </c>
      <c r="P45">
        <f>E45-(SUM(K45:L45)*N45)</f>
        <v>25.037658999997802</v>
      </c>
      <c r="Q45">
        <f>P45/(2*H45*J45)</f>
        <v>3.7118423617852579E-2</v>
      </c>
      <c r="R45">
        <f>Q45*16.02</f>
        <v>0.59463714635799836</v>
      </c>
      <c r="T45" s="6">
        <v>73.933636606903903</v>
      </c>
      <c r="U45" s="5" t="s">
        <v>45</v>
      </c>
      <c r="V45" s="4">
        <v>0.57864632619839051</v>
      </c>
      <c r="W45" s="6">
        <v>4.7233345686767118E-2</v>
      </c>
      <c r="X45" s="6"/>
      <c r="Y45">
        <v>0.74294602113505559</v>
      </c>
      <c r="AA45" s="21">
        <f t="shared" si="10"/>
        <v>-2.0534089967370051E-3</v>
      </c>
      <c r="AB45">
        <f t="shared" si="14"/>
        <v>0.74913375433102614</v>
      </c>
    </row>
    <row r="46" spans="2:29" x14ac:dyDescent="0.2">
      <c r="C46">
        <v>100000</v>
      </c>
      <c r="D46">
        <v>929.93730800000003</v>
      </c>
      <c r="E46">
        <v>-13865.510791999999</v>
      </c>
      <c r="F46">
        <v>65689.222727</v>
      </c>
      <c r="G46">
        <v>0.10223400000000001</v>
      </c>
      <c r="H46">
        <v>24.390636000000001</v>
      </c>
      <c r="I46">
        <v>195.16903199999999</v>
      </c>
      <c r="J46">
        <v>13.799386999999999</v>
      </c>
      <c r="K46">
        <v>2768</v>
      </c>
      <c r="L46">
        <v>400</v>
      </c>
      <c r="M46">
        <f>L46/(L46+K46)</f>
        <v>0.12626262626262627</v>
      </c>
      <c r="N46">
        <f t="shared" si="12"/>
        <v>-4.3843666666666667</v>
      </c>
      <c r="O46">
        <f t="shared" si="13"/>
        <v>-4.3862906585495809</v>
      </c>
      <c r="P46">
        <f>E46-(SUM(K46:L46)*N46)</f>
        <v>24.16280800000095</v>
      </c>
      <c r="Q46">
        <f>P46/(2*H46*J46)</f>
        <v>3.5895043821972131E-2</v>
      </c>
      <c r="R46">
        <f>Q46*16.02</f>
        <v>0.57503860202799351</v>
      </c>
      <c r="T46" s="2">
        <v>90</v>
      </c>
      <c r="V46" s="1">
        <v>0</v>
      </c>
      <c r="Y46">
        <v>0</v>
      </c>
      <c r="AA46" s="21">
        <f t="shared" si="10"/>
        <v>-1.9239918829141445E-3</v>
      </c>
      <c r="AB46">
        <f t="shared" si="14"/>
        <v>0.72009537279900215</v>
      </c>
      <c r="AC46">
        <f>AVERAGE(AB42:AB46)</f>
        <v>0.69034206643459939</v>
      </c>
    </row>
    <row r="47" spans="2:29" x14ac:dyDescent="0.2">
      <c r="R47" s="1">
        <f>AVERAGE(R42:R46)</f>
        <v>0.53511984262444745</v>
      </c>
      <c r="S47">
        <f>STDEV(R42:R46)</f>
        <v>5.0358529075259305E-2</v>
      </c>
      <c r="U47" s="5" t="s">
        <v>46</v>
      </c>
      <c r="V47" s="6">
        <f>AVERAGE(V36:V45)</f>
        <v>0.59558129034401708</v>
      </c>
      <c r="AA47" s="21"/>
    </row>
    <row r="48" spans="2:29" x14ac:dyDescent="0.2">
      <c r="B48" t="s">
        <v>24</v>
      </c>
      <c r="C48">
        <v>100000</v>
      </c>
      <c r="D48">
        <v>929.71086300000002</v>
      </c>
      <c r="E48">
        <v>-10756.984924</v>
      </c>
      <c r="F48">
        <v>51473.440543999997</v>
      </c>
      <c r="G48">
        <v>0.43012600000000001</v>
      </c>
      <c r="H48">
        <v>35.232365999999999</v>
      </c>
      <c r="I48">
        <v>140.951469</v>
      </c>
      <c r="J48">
        <v>10.365049000000001</v>
      </c>
      <c r="K48">
        <v>2180</v>
      </c>
      <c r="L48">
        <v>292</v>
      </c>
      <c r="M48">
        <f>L48/(L48+K48)</f>
        <v>0.11812297734627832</v>
      </c>
      <c r="N48">
        <f>-4.0577-2.5872*M48</f>
        <v>-4.3633077669902907</v>
      </c>
      <c r="O48">
        <f>-0.6094*M48^3+0.5993*(M48^2) - 2.6874*M48 - 4.0553</f>
        <v>-4.3653860312387334</v>
      </c>
      <c r="P48">
        <f>E48-(SUM(K48:L48)*N48)</f>
        <v>29.111875999999029</v>
      </c>
      <c r="Q48">
        <f>P48/(2*H48*J48)</f>
        <v>3.9859057817673772E-2</v>
      </c>
      <c r="R48">
        <f>Q48*16.02</f>
        <v>0.63854210623913377</v>
      </c>
      <c r="W48" s="5"/>
      <c r="X48" s="5"/>
      <c r="Y48" s="5"/>
      <c r="AA48" s="21">
        <f t="shared" si="10"/>
        <v>-2.0782642484427072E-3</v>
      </c>
      <c r="AB48">
        <f>(E48-(SUM(K48:L48)*O48))/(2*H48*J48)*16.02</f>
        <v>0.75122774758528998</v>
      </c>
    </row>
    <row r="49" spans="2:29" x14ac:dyDescent="0.2">
      <c r="C49">
        <v>100000</v>
      </c>
      <c r="D49">
        <v>929.550342</v>
      </c>
      <c r="E49">
        <v>-10797.497046</v>
      </c>
      <c r="F49">
        <v>51348.712622999999</v>
      </c>
      <c r="G49">
        <v>0.33554600000000001</v>
      </c>
      <c r="H49">
        <v>35.203885</v>
      </c>
      <c r="I49">
        <v>140.83752899999999</v>
      </c>
      <c r="J49">
        <v>10.356671</v>
      </c>
      <c r="K49">
        <v>2166</v>
      </c>
      <c r="L49">
        <v>306</v>
      </c>
      <c r="M49">
        <f>L49/(L49+K49)</f>
        <v>0.12378640776699029</v>
      </c>
      <c r="N49">
        <f t="shared" ref="N49:N52" si="15">-4.0577-2.5872*M49</f>
        <v>-4.377960194174757</v>
      </c>
      <c r="O49">
        <f t="shared" ref="O49:O52" si="16">-0.6094*M49^3+0.5993*(M49^2) - 2.6874*M49 - 4.0553</f>
        <v>-4.3799363763747712</v>
      </c>
      <c r="P49">
        <f>E49-(SUM(K49:L49)*N49)</f>
        <v>24.820553999998083</v>
      </c>
      <c r="Q49">
        <f>P49/(2*H49*J49)</f>
        <v>3.4038522559039594E-2</v>
      </c>
      <c r="R49">
        <f>Q49*16.02</f>
        <v>0.54529713139581426</v>
      </c>
      <c r="V49" t="s">
        <v>64</v>
      </c>
      <c r="W49" s="5"/>
      <c r="X49" s="5"/>
      <c r="Y49" s="5"/>
      <c r="AA49" s="21">
        <f t="shared" si="10"/>
        <v>-1.9761822000141649E-3</v>
      </c>
      <c r="AB49">
        <f t="shared" ref="AB49:AB52" si="17">(E49-(SUM(K49:L49)*O49))/(2*H49*J49)*16.02</f>
        <v>0.65262121571661991</v>
      </c>
    </row>
    <row r="50" spans="2:29" x14ac:dyDescent="0.2">
      <c r="C50">
        <v>100000</v>
      </c>
      <c r="D50">
        <v>929.84944900000005</v>
      </c>
      <c r="E50">
        <v>-10749.861518</v>
      </c>
      <c r="F50">
        <v>51518.310140000001</v>
      </c>
      <c r="G50">
        <v>-0.25017600000000001</v>
      </c>
      <c r="H50">
        <v>35.242598999999998</v>
      </c>
      <c r="I50">
        <v>140.99240900000001</v>
      </c>
      <c r="J50">
        <v>10.36806</v>
      </c>
      <c r="K50">
        <v>2185</v>
      </c>
      <c r="L50">
        <v>287</v>
      </c>
      <c r="M50">
        <f>L50/(L50+K50)</f>
        <v>0.11610032362459546</v>
      </c>
      <c r="N50">
        <f t="shared" si="15"/>
        <v>-4.3580747572815532</v>
      </c>
      <c r="O50">
        <f t="shared" si="16"/>
        <v>-4.3601835542655429</v>
      </c>
      <c r="P50">
        <f>E50-(SUM(K50:L50)*N50)</f>
        <v>23.299281999999948</v>
      </c>
      <c r="Q50">
        <f>P50/(2*H50*J50)</f>
        <v>3.1882114120529159E-2</v>
      </c>
      <c r="R50">
        <f>Q50*16.02</f>
        <v>0.51075146821087714</v>
      </c>
      <c r="T50">
        <v>0</v>
      </c>
      <c r="U50" s="3"/>
      <c r="V50">
        <v>0</v>
      </c>
      <c r="W50" s="5"/>
      <c r="X50" s="5"/>
      <c r="Y50" s="5" t="s">
        <v>71</v>
      </c>
      <c r="AA50" s="21">
        <f t="shared" si="10"/>
        <v>-2.1087969839896914E-3</v>
      </c>
      <c r="AB50">
        <f t="shared" si="17"/>
        <v>0.62502622985236234</v>
      </c>
    </row>
    <row r="51" spans="2:29" x14ac:dyDescent="0.2">
      <c r="C51">
        <v>100000</v>
      </c>
      <c r="D51">
        <v>929.40505900000005</v>
      </c>
      <c r="E51">
        <v>-10744.35968</v>
      </c>
      <c r="F51">
        <v>51515.087222000002</v>
      </c>
      <c r="G51">
        <v>-0.18895400000000001</v>
      </c>
      <c r="H51">
        <v>35.241864999999997</v>
      </c>
      <c r="I51">
        <v>140.989474</v>
      </c>
      <c r="J51">
        <v>10.367844</v>
      </c>
      <c r="K51">
        <v>2186</v>
      </c>
      <c r="L51">
        <v>286</v>
      </c>
      <c r="M51">
        <f>L51/(L51+K51)</f>
        <v>0.1156957928802589</v>
      </c>
      <c r="N51">
        <f t="shared" si="15"/>
        <v>-4.3570281553398056</v>
      </c>
      <c r="O51">
        <f t="shared" si="16"/>
        <v>-4.3591426798105708</v>
      </c>
      <c r="P51">
        <f>E51-(SUM(K51:L51)*N51)</f>
        <v>26.213920000000144</v>
      </c>
      <c r="Q51">
        <f>P51/(2*H51*J51)</f>
        <v>3.5871921197830794E-2</v>
      </c>
      <c r="R51">
        <f>Q51*16.02</f>
        <v>0.57466817758924926</v>
      </c>
      <c r="T51" s="2">
        <v>12.68</v>
      </c>
      <c r="U51" s="3" t="s">
        <v>36</v>
      </c>
      <c r="V51" s="4">
        <v>0.55781623120814561</v>
      </c>
      <c r="W51" s="6">
        <v>6.7736230512093237E-2</v>
      </c>
      <c r="X51" s="6"/>
      <c r="Y51">
        <v>0.6331251969930195</v>
      </c>
      <c r="AA51" s="21">
        <f t="shared" si="10"/>
        <v>-2.1145244707652111E-3</v>
      </c>
      <c r="AB51">
        <f t="shared" si="17"/>
        <v>0.68925808296514923</v>
      </c>
    </row>
    <row r="52" spans="2:29" x14ac:dyDescent="0.2">
      <c r="C52">
        <v>100000</v>
      </c>
      <c r="D52">
        <v>929.91806299999996</v>
      </c>
      <c r="E52">
        <v>-10762.488426</v>
      </c>
      <c r="F52">
        <v>51468.334833000001</v>
      </c>
      <c r="G52">
        <v>0.37851899999999999</v>
      </c>
      <c r="H52">
        <v>35.231200999999999</v>
      </c>
      <c r="I52">
        <v>140.946808</v>
      </c>
      <c r="J52">
        <v>10.364706999999999</v>
      </c>
      <c r="K52">
        <v>2179</v>
      </c>
      <c r="L52">
        <v>293</v>
      </c>
      <c r="M52">
        <f>L52/(L52+K52)</f>
        <v>0.11852750809061488</v>
      </c>
      <c r="N52">
        <f t="shared" si="15"/>
        <v>-4.3643543689320383</v>
      </c>
      <c r="O52">
        <f t="shared" si="16"/>
        <v>-4.3664261492673999</v>
      </c>
      <c r="P52">
        <f>E52-(SUM(K52:L52)*N52)</f>
        <v>26.195573999999397</v>
      </c>
      <c r="Q52">
        <f>P52/(2*H52*J52)</f>
        <v>3.5868519057377007E-2</v>
      </c>
      <c r="R52">
        <f>Q52*16.02</f>
        <v>0.57461367529917962</v>
      </c>
      <c r="T52" s="6">
        <v>16.260000000000002</v>
      </c>
      <c r="U52" s="3" t="s">
        <v>37</v>
      </c>
      <c r="V52" s="4">
        <v>0.60007515969512126</v>
      </c>
      <c r="W52" s="6">
        <v>9.3329921421933776E-2</v>
      </c>
      <c r="X52" s="6"/>
      <c r="Y52">
        <v>0.68881917821149996</v>
      </c>
      <c r="AA52" s="21">
        <f t="shared" si="10"/>
        <v>-2.0717803353615949E-3</v>
      </c>
      <c r="AB52">
        <f t="shared" si="17"/>
        <v>0.68695517350511615</v>
      </c>
      <c r="AC52">
        <f>AVERAGE(AB48:AB52)</f>
        <v>0.68101768992490752</v>
      </c>
    </row>
    <row r="53" spans="2:29" x14ac:dyDescent="0.2">
      <c r="R53" s="1">
        <f>AVERAGE(R48:R52)</f>
        <v>0.56877451174685079</v>
      </c>
      <c r="S53">
        <f>STDEV(R48:R52)</f>
        <v>4.7048404166924365E-2</v>
      </c>
      <c r="T53" s="2">
        <v>22.62</v>
      </c>
      <c r="U53" s="3" t="s">
        <v>38</v>
      </c>
      <c r="V53" s="4">
        <v>0.6589278881700229</v>
      </c>
      <c r="W53" s="6">
        <v>7.9653222033103613E-2</v>
      </c>
      <c r="X53" s="6"/>
      <c r="Y53">
        <v>0.70614944133590263</v>
      </c>
      <c r="AA53" s="21"/>
    </row>
    <row r="54" spans="2:29" x14ac:dyDescent="0.2">
      <c r="B54" t="s">
        <v>31</v>
      </c>
      <c r="C54">
        <v>100000</v>
      </c>
      <c r="D54">
        <v>929.61454900000001</v>
      </c>
      <c r="E54">
        <v>-14028.304561999999</v>
      </c>
      <c r="F54">
        <v>67406.689234999998</v>
      </c>
      <c r="G54">
        <v>-2.5416000000000001E-2</v>
      </c>
      <c r="H54">
        <v>28.502261000000001</v>
      </c>
      <c r="I54">
        <v>171.035586</v>
      </c>
      <c r="J54">
        <v>13.827285</v>
      </c>
      <c r="K54">
        <v>2868</v>
      </c>
      <c r="L54">
        <v>364</v>
      </c>
      <c r="M54">
        <f>L54/(L54+K54)</f>
        <v>0.11262376237623763</v>
      </c>
      <c r="N54">
        <f>-4.0577-2.5872*M54</f>
        <v>-4.3490801980198013</v>
      </c>
      <c r="O54">
        <f>-0.6094*M54^3+0.5993*(M54^2) - 2.6874*M54 - 4.0553</f>
        <v>-4.3512340584211708</v>
      </c>
      <c r="P54">
        <f>E54-(SUM(K54:L54)*N54)</f>
        <v>27.922637999998187</v>
      </c>
      <c r="Q54">
        <f>P54/(2*H54*J54)</f>
        <v>3.5425029722126793E-2</v>
      </c>
      <c r="R54">
        <f>Q54*16.02</f>
        <v>0.56750897614847118</v>
      </c>
      <c r="T54" s="6">
        <v>27.6760219742164</v>
      </c>
      <c r="U54" s="5" t="s">
        <v>39</v>
      </c>
      <c r="V54" s="4">
        <v>0.72659026080201961</v>
      </c>
      <c r="W54" s="6">
        <v>3.5489250169376881E-2</v>
      </c>
      <c r="X54" s="6"/>
      <c r="Y54">
        <v>0.80611470197428048</v>
      </c>
      <c r="AA54" s="21">
        <f t="shared" si="10"/>
        <v>-2.1538604013695561E-3</v>
      </c>
      <c r="AB54">
        <f>(E54-(SUM(K54:L54)*O54))/(2*H54*J54)*16.02</f>
        <v>0.70899228009813864</v>
      </c>
    </row>
    <row r="55" spans="2:29" x14ac:dyDescent="0.2">
      <c r="C55">
        <v>100000</v>
      </c>
      <c r="D55">
        <v>929.45254499999999</v>
      </c>
      <c r="E55">
        <v>-14157.156773000001</v>
      </c>
      <c r="F55">
        <v>67024.179478000005</v>
      </c>
      <c r="G55">
        <v>0.27032699999999998</v>
      </c>
      <c r="H55">
        <v>28.448245</v>
      </c>
      <c r="I55">
        <v>170.711445</v>
      </c>
      <c r="J55">
        <v>13.801080000000001</v>
      </c>
      <c r="K55">
        <v>2817</v>
      </c>
      <c r="L55">
        <v>415</v>
      </c>
      <c r="M55">
        <f>L55/(L55+K55)</f>
        <v>0.12840346534653466</v>
      </c>
      <c r="N55">
        <f t="shared" ref="N55:N58" si="18">-4.0577-2.5872*M55</f>
        <v>-4.3899054455445539</v>
      </c>
      <c r="O55">
        <f t="shared" ref="O55:O58" si="19">-0.6094*M55^3+0.5993*(M55^2) - 2.6874*M55 - 4.0553</f>
        <v>-4.3917806716911647</v>
      </c>
      <c r="P55">
        <f>E55-(SUM(K55:L55)*N55)</f>
        <v>31.017626999997447</v>
      </c>
      <c r="Q55">
        <f>P55/(2*H55*J55)</f>
        <v>3.9501175570463849E-2</v>
      </c>
      <c r="R55">
        <f>Q55*16.02</f>
        <v>0.63280883263883081</v>
      </c>
      <c r="T55" s="2">
        <v>36.869999999999997</v>
      </c>
      <c r="U55" s="5" t="s">
        <v>40</v>
      </c>
      <c r="V55" s="4">
        <v>0.63847297340603892</v>
      </c>
      <c r="W55" s="6">
        <v>3.8166745164627876E-2</v>
      </c>
      <c r="X55" s="6"/>
      <c r="Y55">
        <v>0.70100414504465625</v>
      </c>
      <c r="AA55" s="21">
        <f t="shared" si="10"/>
        <v>-1.8752261466108422E-3</v>
      </c>
      <c r="AB55">
        <f t="shared" ref="AB55:AB58" si="20">(E55-(SUM(K55:L55)*O55))/(2*H55*J55)*16.02</f>
        <v>0.75645736479338155</v>
      </c>
    </row>
    <row r="56" spans="2:29" x14ac:dyDescent="0.2">
      <c r="C56">
        <v>100000</v>
      </c>
      <c r="D56">
        <v>929.74273400000004</v>
      </c>
      <c r="E56">
        <v>-14090.884018000001</v>
      </c>
      <c r="F56">
        <v>67224.498932000002</v>
      </c>
      <c r="G56">
        <v>-0.34099200000000002</v>
      </c>
      <c r="H56">
        <v>28.476559000000002</v>
      </c>
      <c r="I56">
        <v>170.88135199999999</v>
      </c>
      <c r="J56">
        <v>13.814816</v>
      </c>
      <c r="K56">
        <v>2843</v>
      </c>
      <c r="L56">
        <v>389</v>
      </c>
      <c r="M56">
        <f>L56/(L56+K56)</f>
        <v>0.1203589108910891</v>
      </c>
      <c r="N56">
        <f t="shared" si="18"/>
        <v>-4.3690925742574258</v>
      </c>
      <c r="O56">
        <f t="shared" si="19"/>
        <v>-4.3711334372627819</v>
      </c>
      <c r="P56">
        <f>E56-(SUM(K56:L56)*N56)</f>
        <v>30.023181999998997</v>
      </c>
      <c r="Q56">
        <f>P56/(2*H56*J56)</f>
        <v>3.8158747280708331E-2</v>
      </c>
      <c r="R56">
        <f>Q56*16.02</f>
        <v>0.61130313143694748</v>
      </c>
      <c r="T56" s="6">
        <v>46.145146311133402</v>
      </c>
      <c r="U56" s="5" t="s">
        <v>41</v>
      </c>
      <c r="V56" s="4">
        <v>0.70906828152054491</v>
      </c>
      <c r="W56" s="6">
        <v>8.3554949244807011E-2</v>
      </c>
      <c r="X56" s="6"/>
      <c r="Y56">
        <v>0.80214647080935408</v>
      </c>
      <c r="AA56" s="21">
        <f t="shared" si="10"/>
        <v>-2.0408630053561083E-3</v>
      </c>
      <c r="AB56">
        <f t="shared" si="20"/>
        <v>0.74560594376039224</v>
      </c>
    </row>
    <row r="57" spans="2:29" x14ac:dyDescent="0.2">
      <c r="C57">
        <v>100000</v>
      </c>
      <c r="D57">
        <v>929.72107100000005</v>
      </c>
      <c r="E57">
        <v>-14049.468287</v>
      </c>
      <c r="F57">
        <v>67337.694742000007</v>
      </c>
      <c r="G57">
        <v>0.18271200000000001</v>
      </c>
      <c r="H57">
        <v>28.492532000000001</v>
      </c>
      <c r="I57">
        <v>170.977205</v>
      </c>
      <c r="J57">
        <v>13.822565000000001</v>
      </c>
      <c r="K57">
        <v>2859</v>
      </c>
      <c r="L57">
        <v>373</v>
      </c>
      <c r="M57">
        <f>L57/(L57+K57)</f>
        <v>0.11540841584158416</v>
      </c>
      <c r="N57">
        <f t="shared" si="18"/>
        <v>-4.3562846534653463</v>
      </c>
      <c r="O57">
        <f t="shared" si="19"/>
        <v>-4.3584031696276861</v>
      </c>
      <c r="P57">
        <f>E57-(SUM(K57:L57)*N57)</f>
        <v>30.043712999999116</v>
      </c>
      <c r="Q57">
        <f>P57/(2*H57*J57)</f>
        <v>3.8142040537927961E-2</v>
      </c>
      <c r="R57">
        <f>Q57*16.02</f>
        <v>0.61103548941760588</v>
      </c>
      <c r="T57" s="2">
        <v>53.13</v>
      </c>
      <c r="U57" s="5" t="s">
        <v>42</v>
      </c>
      <c r="V57" s="4">
        <v>0.64831502638383631</v>
      </c>
      <c r="W57" s="6">
        <v>2.487314048938951E-2</v>
      </c>
      <c r="X57" s="6"/>
      <c r="Y57">
        <v>0.68473022138348549</v>
      </c>
      <c r="AA57" s="21">
        <f t="shared" si="10"/>
        <v>-2.118516162339823E-3</v>
      </c>
      <c r="AB57">
        <f t="shared" si="20"/>
        <v>0.75029214608404193</v>
      </c>
    </row>
    <row r="58" spans="2:29" x14ac:dyDescent="0.2">
      <c r="C58">
        <v>100000</v>
      </c>
      <c r="D58">
        <v>929.48151800000005</v>
      </c>
      <c r="E58">
        <v>-14123.243562</v>
      </c>
      <c r="F58">
        <v>67134.264697999999</v>
      </c>
      <c r="G58">
        <v>-2.9750000000000002E-3</v>
      </c>
      <c r="H58">
        <v>28.463812000000001</v>
      </c>
      <c r="I58">
        <v>170.80485899999999</v>
      </c>
      <c r="J58">
        <v>13.808631999999999</v>
      </c>
      <c r="K58">
        <v>2829</v>
      </c>
      <c r="L58">
        <v>403</v>
      </c>
      <c r="M58">
        <f>L58/(L58+K58)</f>
        <v>0.12469059405940594</v>
      </c>
      <c r="N58">
        <f t="shared" si="18"/>
        <v>-4.3802995049504947</v>
      </c>
      <c r="O58">
        <f t="shared" si="19"/>
        <v>-4.3822571572081293</v>
      </c>
      <c r="P58">
        <f>E58-(SUM(K58:L58)*N58)</f>
        <v>33.884437999999136</v>
      </c>
      <c r="Q58">
        <f>P58/(2*H58*J58)</f>
        <v>4.3104893176118361E-2</v>
      </c>
      <c r="R58">
        <f>Q58*16.02</f>
        <v>0.6905403886814161</v>
      </c>
      <c r="T58" s="2">
        <v>61.71</v>
      </c>
      <c r="U58" s="5" t="s">
        <v>43</v>
      </c>
      <c r="V58" s="4">
        <v>0.75283411265756517</v>
      </c>
      <c r="W58" s="6">
        <v>4.9981562998548612E-2</v>
      </c>
      <c r="X58" s="6"/>
      <c r="Y58">
        <v>0.86748755170556291</v>
      </c>
      <c r="AA58" s="21">
        <f t="shared" si="10"/>
        <v>-1.9576522576345567E-3</v>
      </c>
      <c r="AB58">
        <f t="shared" si="20"/>
        <v>0.8194827738930629</v>
      </c>
      <c r="AC58">
        <f>AVERAGE(AB54:AB58)</f>
        <v>0.75616610172580345</v>
      </c>
    </row>
    <row r="59" spans="2:29" x14ac:dyDescent="0.2">
      <c r="R59" s="1">
        <f>AVERAGE(R54:R58)</f>
        <v>0.62263936366465433</v>
      </c>
      <c r="S59">
        <f>STDEV(R54:R58)</f>
        <v>4.4767418352776332E-2</v>
      </c>
      <c r="T59" s="6">
        <v>67.724661178359398</v>
      </c>
      <c r="U59" s="5" t="s">
        <v>44</v>
      </c>
      <c r="V59" s="4">
        <v>0.68281655778275729</v>
      </c>
      <c r="W59" s="6">
        <v>5.380939290365528E-2</v>
      </c>
      <c r="X59" s="6"/>
      <c r="Y59">
        <v>0.78226228109185081</v>
      </c>
      <c r="AA59" s="21"/>
    </row>
    <row r="60" spans="2:29" x14ac:dyDescent="0.2">
      <c r="B60" t="s">
        <v>23</v>
      </c>
      <c r="C60">
        <v>100000</v>
      </c>
      <c r="D60">
        <v>929.74264200000005</v>
      </c>
      <c r="E60">
        <v>-12502.451303</v>
      </c>
      <c r="F60">
        <v>60064.687278999998</v>
      </c>
      <c r="G60">
        <v>0.179923</v>
      </c>
      <c r="H60">
        <v>32.835014999999999</v>
      </c>
      <c r="I60">
        <v>131.73805899999999</v>
      </c>
      <c r="J60">
        <v>13.885783999999999</v>
      </c>
      <c r="K60">
        <v>2555</v>
      </c>
      <c r="L60">
        <v>325</v>
      </c>
      <c r="M60">
        <f>L60/(L60+K60)</f>
        <v>0.11284722222222222</v>
      </c>
      <c r="N60">
        <f>-4.0577-2.5872*M60</f>
        <v>-4.3496583333333332</v>
      </c>
      <c r="O60">
        <f>-0.6094*M60^3+0.5993*(M60^2) - 2.6874*M60 - 4.0553</f>
        <v>-4.3518095815723976</v>
      </c>
      <c r="P60">
        <f>E60-(SUM(K60:L60)*N60)</f>
        <v>24.564696999999796</v>
      </c>
      <c r="Q60">
        <f>P60/(2*H60*J60)</f>
        <v>2.6938523699222772E-2</v>
      </c>
      <c r="R60">
        <f>Q60*16.02</f>
        <v>0.43155514966154879</v>
      </c>
      <c r="T60" s="6">
        <v>73.933636606903903</v>
      </c>
      <c r="U60" s="5" t="s">
        <v>45</v>
      </c>
      <c r="V60" s="4">
        <v>0.71942725939268926</v>
      </c>
      <c r="W60" s="6">
        <v>9.1670812057544335E-2</v>
      </c>
      <c r="X60" s="6"/>
      <c r="Y60">
        <v>0.82827139058822519</v>
      </c>
      <c r="AA60" s="21">
        <f t="shared" si="10"/>
        <v>-2.1512482390644294E-3</v>
      </c>
      <c r="AB60">
        <f>(E60-(SUM(K60:L60)*O60))/(2*H60*J60)*16.02</f>
        <v>0.54040000521232645</v>
      </c>
    </row>
    <row r="61" spans="2:29" x14ac:dyDescent="0.2">
      <c r="C61">
        <v>100000</v>
      </c>
      <c r="D61">
        <v>929.42243299999996</v>
      </c>
      <c r="E61">
        <v>-12509.00396</v>
      </c>
      <c r="F61">
        <v>60050.951454000002</v>
      </c>
      <c r="G61">
        <v>2.547E-2</v>
      </c>
      <c r="H61">
        <v>32.832510999999997</v>
      </c>
      <c r="I61">
        <v>131.728015</v>
      </c>
      <c r="J61">
        <v>13.884725</v>
      </c>
      <c r="K61">
        <v>2551</v>
      </c>
      <c r="L61">
        <v>329</v>
      </c>
      <c r="M61">
        <f>L61/(L61+K61)</f>
        <v>0.11423611111111111</v>
      </c>
      <c r="N61">
        <f t="shared" ref="N61:N64" si="21">-4.0577-2.5872*M61</f>
        <v>-4.3532516666666661</v>
      </c>
      <c r="O61">
        <f t="shared" ref="O61:O64" si="22">-0.6094*M61^3+0.5993*(M61^2) - 2.6874*M61 - 4.0553</f>
        <v>-4.3553858008454078</v>
      </c>
      <c r="P61">
        <f>E61-(SUM(K61:L61)*N61)</f>
        <v>28.360839999997552</v>
      </c>
      <c r="Q61">
        <f>P61/(2*H61*J61)</f>
        <v>3.1106253940432014E-2</v>
      </c>
      <c r="R61">
        <f>Q61*16.02</f>
        <v>0.49832218812572082</v>
      </c>
      <c r="T61" s="2">
        <v>90</v>
      </c>
      <c r="V61" s="1">
        <v>0</v>
      </c>
      <c r="Y61">
        <v>0</v>
      </c>
      <c r="AA61" s="21">
        <f t="shared" si="10"/>
        <v>-2.1341341787417534E-3</v>
      </c>
      <c r="AB61">
        <f t="shared" ref="AB61:AB64" si="23">(E61-(SUM(K61:L61)*O61))/(2*H61*J61)*16.02</f>
        <v>0.60631760968127579</v>
      </c>
    </row>
    <row r="62" spans="2:29" x14ac:dyDescent="0.2">
      <c r="C62">
        <v>100000</v>
      </c>
      <c r="D62">
        <v>929.76350300000001</v>
      </c>
      <c r="E62">
        <v>-12559.377973000001</v>
      </c>
      <c r="F62">
        <v>59907.391152999997</v>
      </c>
      <c r="G62">
        <v>0.65798500000000004</v>
      </c>
      <c r="H62">
        <v>32.806325999999999</v>
      </c>
      <c r="I62">
        <v>131.62295700000001</v>
      </c>
      <c r="J62">
        <v>13.873652</v>
      </c>
      <c r="K62">
        <v>2532</v>
      </c>
      <c r="L62">
        <v>348</v>
      </c>
      <c r="M62">
        <f>L62/(L62+K62)</f>
        <v>0.12083333333333333</v>
      </c>
      <c r="N62">
        <f t="shared" si="21"/>
        <v>-4.3703199999999995</v>
      </c>
      <c r="O62">
        <f t="shared" si="22"/>
        <v>-4.3723524381221068</v>
      </c>
      <c r="P62">
        <f>E62-(SUM(K62:L62)*N62)</f>
        <v>27.14362699999765</v>
      </c>
      <c r="Q62">
        <f>P62/(2*H62*J62)</f>
        <v>2.9818753864315397E-2</v>
      </c>
      <c r="R62">
        <f>Q62*16.02</f>
        <v>0.47769643690633262</v>
      </c>
      <c r="U62" s="5" t="s">
        <v>46</v>
      </c>
      <c r="V62" s="6">
        <f>AVERAGE(V51:V60)</f>
        <v>0.66943437510187409</v>
      </c>
      <c r="AA62" s="21">
        <f t="shared" si="10"/>
        <v>-2.032438122107294E-3</v>
      </c>
      <c r="AB62">
        <f t="shared" si="23"/>
        <v>0.58070988951495517</v>
      </c>
    </row>
    <row r="63" spans="2:29" x14ac:dyDescent="0.2">
      <c r="C63">
        <v>100000</v>
      </c>
      <c r="D63">
        <v>929.69640300000003</v>
      </c>
      <c r="E63">
        <v>-12503.170281999999</v>
      </c>
      <c r="F63">
        <v>60072.108232999999</v>
      </c>
      <c r="G63">
        <v>0.53815800000000003</v>
      </c>
      <c r="H63">
        <v>32.836367000000003</v>
      </c>
      <c r="I63">
        <v>131.743484</v>
      </c>
      <c r="J63">
        <v>13.886355999999999</v>
      </c>
      <c r="K63">
        <v>2552</v>
      </c>
      <c r="L63">
        <v>328</v>
      </c>
      <c r="M63">
        <f>L63/(L63+K63)</f>
        <v>0.11388888888888889</v>
      </c>
      <c r="N63">
        <f t="shared" si="21"/>
        <v>-4.3523533333333333</v>
      </c>
      <c r="O63">
        <f t="shared" si="22"/>
        <v>-4.3544918876328875</v>
      </c>
      <c r="P63">
        <f>E63-(SUM(K63:L63)*N63)</f>
        <v>31.607318000000305</v>
      </c>
      <c r="Q63">
        <f>P63/(2*H63*J63)</f>
        <v>3.4658858445922487E-2</v>
      </c>
      <c r="R63">
        <f>Q63*16.02</f>
        <v>0.55523491230367827</v>
      </c>
      <c r="AA63" s="21">
        <f t="shared" si="10"/>
        <v>-2.1385542995542295E-3</v>
      </c>
      <c r="AB63">
        <f t="shared" si="23"/>
        <v>0.66342859155962186</v>
      </c>
    </row>
    <row r="64" spans="2:29" x14ac:dyDescent="0.2">
      <c r="C64">
        <v>100000</v>
      </c>
      <c r="D64">
        <v>929.86184300000002</v>
      </c>
      <c r="E64">
        <v>-12547.504029</v>
      </c>
      <c r="F64">
        <v>59937.078680999999</v>
      </c>
      <c r="G64">
        <v>0.50301399999999996</v>
      </c>
      <c r="H64">
        <v>32.811745000000002</v>
      </c>
      <c r="I64">
        <v>131.64469700000001</v>
      </c>
      <c r="J64">
        <v>13.875942999999999</v>
      </c>
      <c r="K64">
        <v>2535</v>
      </c>
      <c r="L64">
        <v>345</v>
      </c>
      <c r="M64">
        <f>L64/(L64+K64)</f>
        <v>0.11979166666666667</v>
      </c>
      <c r="N64">
        <f t="shared" si="21"/>
        <v>-4.3676249999999994</v>
      </c>
      <c r="O64">
        <f t="shared" si="22"/>
        <v>-4.3696757121050798</v>
      </c>
      <c r="P64">
        <f>E64-(SUM(K64:L64)*N64)</f>
        <v>31.255970999998681</v>
      </c>
      <c r="Q64">
        <f>P64/(2*H64*J64)</f>
        <v>3.4325048907951683E-2</v>
      </c>
      <c r="R64">
        <f>Q64*16.02</f>
        <v>0.54988728350538596</v>
      </c>
      <c r="V64" t="s">
        <v>65</v>
      </c>
      <c r="AA64" s="21">
        <f t="shared" si="10"/>
        <v>-2.0507121050803434E-3</v>
      </c>
      <c r="AB64">
        <f t="shared" si="23"/>
        <v>0.65379262258755078</v>
      </c>
      <c r="AC64">
        <f>AVERAGE(AB60:AB64)</f>
        <v>0.60892974371114605</v>
      </c>
    </row>
    <row r="65" spans="2:29" x14ac:dyDescent="0.2">
      <c r="R65" s="1">
        <f>AVERAGE(R60:R64)</f>
        <v>0.50253919410053327</v>
      </c>
      <c r="S65">
        <f>STDEV(R60:R64)</f>
        <v>5.1701935593729285E-2</v>
      </c>
      <c r="T65">
        <v>0</v>
      </c>
      <c r="U65" s="3"/>
      <c r="V65">
        <v>0</v>
      </c>
      <c r="Y65">
        <v>0</v>
      </c>
      <c r="AA65" s="21"/>
    </row>
    <row r="66" spans="2:29" x14ac:dyDescent="0.2">
      <c r="B66" t="s">
        <v>32</v>
      </c>
      <c r="C66">
        <v>100000</v>
      </c>
      <c r="D66">
        <v>929.88565300000005</v>
      </c>
      <c r="E66">
        <v>-16007.755714999999</v>
      </c>
      <c r="F66">
        <v>76651.151155</v>
      </c>
      <c r="G66">
        <v>0.243646</v>
      </c>
      <c r="H66">
        <v>26.321411000000001</v>
      </c>
      <c r="I66">
        <v>210.61532500000001</v>
      </c>
      <c r="J66">
        <v>13.826722</v>
      </c>
      <c r="K66">
        <v>3253</v>
      </c>
      <c r="L66">
        <v>427</v>
      </c>
      <c r="M66">
        <f>L66/(L66+K66)</f>
        <v>0.11603260869565217</v>
      </c>
      <c r="N66">
        <f>-4.0577-2.5872*M66</f>
        <v>-4.3578995652173909</v>
      </c>
      <c r="O66">
        <f>-0.6094*M66^3+0.5993*(M66^2) - 2.6874*M66 - 4.0553</f>
        <v>-4.3600093297669487</v>
      </c>
      <c r="P66">
        <f>E66-(SUM(K66:L66)*N66)</f>
        <v>29.314684999999372</v>
      </c>
      <c r="Q66">
        <f>P66/(2*H66*J66)</f>
        <v>4.0274192224864426E-2</v>
      </c>
      <c r="R66">
        <f>Q66*16.02</f>
        <v>0.64519255944232812</v>
      </c>
      <c r="T66" s="2">
        <v>12.68</v>
      </c>
      <c r="U66" s="3" t="s">
        <v>36</v>
      </c>
      <c r="V66" s="4">
        <v>0.55200792202581861</v>
      </c>
      <c r="W66" s="6">
        <v>7.0100792048347682E-2</v>
      </c>
      <c r="X66" s="6"/>
      <c r="Y66">
        <v>0.43478724024343818</v>
      </c>
      <c r="AA66" s="21">
        <f t="shared" si="10"/>
        <v>-2.1097645495578021E-3</v>
      </c>
      <c r="AB66">
        <f>(E66-(SUM(K66:L66)*O66))/(2*H66*J66)*16.02</f>
        <v>0.81607047109456543</v>
      </c>
    </row>
    <row r="67" spans="2:29" x14ac:dyDescent="0.2">
      <c r="C67">
        <v>100000</v>
      </c>
      <c r="D67">
        <v>929.81100800000002</v>
      </c>
      <c r="E67">
        <v>-16082.410704</v>
      </c>
      <c r="F67">
        <v>76459.266443</v>
      </c>
      <c r="G67">
        <v>0.28917799999999999</v>
      </c>
      <c r="H67">
        <v>26.299429</v>
      </c>
      <c r="I67">
        <v>210.43943200000001</v>
      </c>
      <c r="J67">
        <v>13.815175</v>
      </c>
      <c r="K67">
        <v>3222</v>
      </c>
      <c r="L67">
        <v>458</v>
      </c>
      <c r="M67">
        <f>L67/(L67+K67)</f>
        <v>0.12445652173913044</v>
      </c>
      <c r="N67">
        <f t="shared" ref="N67:N70" si="24">-4.0577-2.5872*M67</f>
        <v>-4.3796939130434778</v>
      </c>
      <c r="O67">
        <f t="shared" ref="O67:O70" si="25">-0.6094*M67^3+0.5993*(M67^2) - 2.6874*M67 - 4.0553</f>
        <v>-4.381656420617853</v>
      </c>
      <c r="P67">
        <f>E67-(SUM(K67:L67)*N67)</f>
        <v>34.862895999998727</v>
      </c>
      <c r="Q67">
        <f>P67/(2*H67*J67)</f>
        <v>4.7976742230345724E-2</v>
      </c>
      <c r="R67">
        <f>Q67*16.02</f>
        <v>0.76858741053013846</v>
      </c>
      <c r="T67" s="6">
        <v>16.260000000000002</v>
      </c>
      <c r="U67" s="3" t="s">
        <v>37</v>
      </c>
      <c r="V67" s="4">
        <v>0.54746309252273617</v>
      </c>
      <c r="W67" s="6">
        <v>9.4648460593028727E-2</v>
      </c>
      <c r="X67" s="6"/>
      <c r="Y67">
        <v>0.56814126979574042</v>
      </c>
      <c r="AA67" s="21">
        <f t="shared" si="10"/>
        <v>-1.9625075743752163E-3</v>
      </c>
      <c r="AB67">
        <f t="shared" ref="AB67:AB70" si="26">(E67-(SUM(K67:L67)*O67))/(2*H67*J67)*16.02</f>
        <v>0.92780423813459501</v>
      </c>
    </row>
    <row r="68" spans="2:29" x14ac:dyDescent="0.2">
      <c r="C68">
        <v>100000</v>
      </c>
      <c r="D68">
        <v>929.84072100000003</v>
      </c>
      <c r="E68">
        <v>-16129.28786</v>
      </c>
      <c r="F68">
        <v>76276.241081</v>
      </c>
      <c r="G68">
        <v>0.34204099999999998</v>
      </c>
      <c r="H68">
        <v>26.278427000000001</v>
      </c>
      <c r="I68">
        <v>210.27137999999999</v>
      </c>
      <c r="J68">
        <v>13.804142000000001</v>
      </c>
      <c r="K68">
        <v>3205</v>
      </c>
      <c r="L68">
        <v>475</v>
      </c>
      <c r="M68">
        <f>L68/(L68+K68)</f>
        <v>0.12907608695652173</v>
      </c>
      <c r="N68">
        <f t="shared" si="24"/>
        <v>-4.3916456521739127</v>
      </c>
      <c r="O68">
        <f t="shared" si="25"/>
        <v>-4.3935048652393709</v>
      </c>
      <c r="P68">
        <f>E68-(SUM(K68:L68)*N68)</f>
        <v>31.968139999999039</v>
      </c>
      <c r="Q68">
        <f>P68/(2*H68*J68)</f>
        <v>4.4063459304283376E-2</v>
      </c>
      <c r="R68">
        <f>Q68*16.02</f>
        <v>0.70589661805461967</v>
      </c>
      <c r="T68" s="2">
        <v>22.62</v>
      </c>
      <c r="U68" s="3" t="s">
        <v>38</v>
      </c>
      <c r="V68" s="4">
        <v>0.62510675440874408</v>
      </c>
      <c r="W68" s="6">
        <v>8.9607173531855364E-2</v>
      </c>
      <c r="X68" s="6"/>
      <c r="Y68">
        <v>0.61989375619144838</v>
      </c>
      <c r="AA68" s="21">
        <f t="shared" si="10"/>
        <v>-1.8592130654582206E-3</v>
      </c>
      <c r="AB68">
        <f t="shared" si="26"/>
        <v>0.85697443965298381</v>
      </c>
    </row>
    <row r="69" spans="2:29" x14ac:dyDescent="0.2">
      <c r="C69">
        <v>100000</v>
      </c>
      <c r="D69">
        <v>929.65065700000002</v>
      </c>
      <c r="E69">
        <v>-16063.270397</v>
      </c>
      <c r="F69">
        <v>76488.425105999995</v>
      </c>
      <c r="G69">
        <v>2.5113E-2</v>
      </c>
      <c r="H69">
        <v>26.302772000000001</v>
      </c>
      <c r="I69">
        <v>210.46617800000001</v>
      </c>
      <c r="J69">
        <v>13.816931</v>
      </c>
      <c r="K69">
        <v>3231</v>
      </c>
      <c r="L69">
        <v>449</v>
      </c>
      <c r="M69">
        <f>L69/(L69+K69)</f>
        <v>0.12201086956521739</v>
      </c>
      <c r="N69">
        <f t="shared" si="24"/>
        <v>-4.37336652173913</v>
      </c>
      <c r="O69">
        <f t="shared" si="25"/>
        <v>-4.3753773137194507</v>
      </c>
      <c r="P69">
        <f>E69-(SUM(K69:L69)*N69)</f>
        <v>30.718402999998943</v>
      </c>
      <c r="Q69">
        <f>P69/(2*H69*J69)</f>
        <v>4.2262533579943924E-2</v>
      </c>
      <c r="R69">
        <f>Q69*16.02</f>
        <v>0.67704578795070169</v>
      </c>
      <c r="T69" s="6">
        <v>27.6760219742164</v>
      </c>
      <c r="U69" s="5" t="s">
        <v>39</v>
      </c>
      <c r="V69" s="4">
        <v>0.68586907382509787</v>
      </c>
      <c r="W69" s="6">
        <v>6.8470643261170347E-2</v>
      </c>
      <c r="X69" s="6"/>
      <c r="Y69">
        <v>0.63974129569514326</v>
      </c>
      <c r="AA69" s="21">
        <f t="shared" si="10"/>
        <v>-2.0107919803207253E-3</v>
      </c>
      <c r="AB69">
        <f t="shared" si="26"/>
        <v>0.84013843068520655</v>
      </c>
    </row>
    <row r="70" spans="2:29" x14ac:dyDescent="0.2">
      <c r="C70">
        <v>100000</v>
      </c>
      <c r="D70">
        <v>929.78422899999998</v>
      </c>
      <c r="E70">
        <v>-16054.971562999999</v>
      </c>
      <c r="F70">
        <v>76495.967816000004</v>
      </c>
      <c r="G70">
        <v>0.31284899999999999</v>
      </c>
      <c r="H70">
        <v>26.303636999999998</v>
      </c>
      <c r="I70">
        <v>210.47309899999999</v>
      </c>
      <c r="J70">
        <v>13.817385</v>
      </c>
      <c r="K70">
        <v>3233</v>
      </c>
      <c r="L70">
        <v>447</v>
      </c>
      <c r="M70">
        <f>L70/(L70+K70)</f>
        <v>0.12146739130434783</v>
      </c>
      <c r="N70">
        <f t="shared" si="24"/>
        <v>-4.3719604347826087</v>
      </c>
      <c r="O70">
        <f t="shared" si="25"/>
        <v>-4.3739813473022933</v>
      </c>
      <c r="P70">
        <f>E70-(SUM(K70:L70)*N70)</f>
        <v>33.842837000000145</v>
      </c>
      <c r="Q70">
        <f>P70/(2*H70*J70)</f>
        <v>4.6558084626777831E-2</v>
      </c>
      <c r="R70">
        <f>Q70*16.02</f>
        <v>0.74586051572098078</v>
      </c>
      <c r="T70" s="2">
        <v>36.869999999999997</v>
      </c>
      <c r="U70" s="5" t="s">
        <v>40</v>
      </c>
      <c r="V70" s="4">
        <v>0.62880597003039063</v>
      </c>
      <c r="W70" s="6">
        <v>8.5957569057122832E-2</v>
      </c>
      <c r="X70" s="6"/>
      <c r="Y70">
        <v>0.58579085597321057</v>
      </c>
      <c r="AA70" s="21">
        <f t="shared" si="10"/>
        <v>-2.0209125196846145E-3</v>
      </c>
      <c r="AB70">
        <f t="shared" si="26"/>
        <v>0.90976324595914415</v>
      </c>
      <c r="AC70">
        <f>AVERAGE(AB66:AB70)</f>
        <v>0.87015016510529897</v>
      </c>
    </row>
    <row r="71" spans="2:29" x14ac:dyDescent="0.2">
      <c r="R71" s="1">
        <f>AVERAGE(R66:R70)</f>
        <v>0.70851657833975368</v>
      </c>
      <c r="S71">
        <f>STDEV(R66:R70)</f>
        <v>5.0025695267800166E-2</v>
      </c>
      <c r="T71" s="6">
        <v>46.145146311133402</v>
      </c>
      <c r="U71" s="5" t="s">
        <v>41</v>
      </c>
      <c r="V71" s="4">
        <v>0.7452057654355364</v>
      </c>
      <c r="W71" s="6">
        <v>0.20577347828161949</v>
      </c>
      <c r="X71" s="6"/>
      <c r="Y71">
        <v>0.66326626529678046</v>
      </c>
      <c r="AA71" s="21"/>
    </row>
    <row r="72" spans="2:29" x14ac:dyDescent="0.2">
      <c r="B72" t="s">
        <v>22</v>
      </c>
      <c r="C72">
        <v>100000</v>
      </c>
      <c r="D72">
        <v>867.52743599999997</v>
      </c>
      <c r="E72">
        <v>-16358.386780999999</v>
      </c>
      <c r="F72">
        <v>78808.489109999995</v>
      </c>
      <c r="G72">
        <v>0.44207299999999999</v>
      </c>
      <c r="H72">
        <v>30.835654000000002</v>
      </c>
      <c r="I72">
        <v>92.666163999999995</v>
      </c>
      <c r="J72">
        <v>27.580261</v>
      </c>
      <c r="K72">
        <v>3350</v>
      </c>
      <c r="L72">
        <v>426</v>
      </c>
      <c r="M72">
        <f>L72/(L72+K72)</f>
        <v>0.1128177966101695</v>
      </c>
      <c r="N72">
        <f>-4.0577-2.5872*M72</f>
        <v>-4.3495822033898301</v>
      </c>
      <c r="O72">
        <f>-0.6094*M72^3+0.5993*(M72^2) - 2.6874*M72 - 4.0553</f>
        <v>-4.3517337978480333</v>
      </c>
      <c r="P72">
        <f>E72-(SUM(K72:L72)*N72)</f>
        <v>65.635618999998769</v>
      </c>
      <c r="Q72">
        <f>P72/(2*H72*J72)</f>
        <v>3.858851394488199E-2</v>
      </c>
      <c r="R72">
        <f>Q72*16.02</f>
        <v>0.61818799339700947</v>
      </c>
      <c r="T72" s="2">
        <v>53.13</v>
      </c>
      <c r="U72" s="5" t="s">
        <v>42</v>
      </c>
      <c r="V72" s="4">
        <v>0.6728054558594776</v>
      </c>
      <c r="W72" s="6">
        <v>4.9142529695970397E-2</v>
      </c>
      <c r="X72" s="6"/>
      <c r="Y72">
        <v>0.66298617598502818</v>
      </c>
      <c r="AA72" s="21">
        <f t="shared" si="10"/>
        <v>-2.151594458203121E-3</v>
      </c>
      <c r="AB72">
        <f>(E72-(SUM(K72:L72)*O72))/(2*H72*J72)*16.02</f>
        <v>0.69470771531936992</v>
      </c>
    </row>
    <row r="73" spans="2:29" x14ac:dyDescent="0.2">
      <c r="C73">
        <v>100000</v>
      </c>
      <c r="D73">
        <v>867.36686699999996</v>
      </c>
      <c r="E73">
        <v>-16487.406451999999</v>
      </c>
      <c r="F73">
        <v>78437.141180000006</v>
      </c>
      <c r="G73">
        <v>0.122085</v>
      </c>
      <c r="H73">
        <v>30.787144999999999</v>
      </c>
      <c r="I73">
        <v>92.520386000000002</v>
      </c>
      <c r="J73">
        <v>27.536873</v>
      </c>
      <c r="K73">
        <v>3300</v>
      </c>
      <c r="L73">
        <v>476</v>
      </c>
      <c r="M73">
        <f>L73/(L73+K73)</f>
        <v>0.1260593220338983</v>
      </c>
      <c r="N73">
        <f t="shared" ref="N73:N76" si="27">-4.0577-2.5872*M73</f>
        <v>-4.3838406779661012</v>
      </c>
      <c r="O73">
        <f t="shared" ref="O73:O76" si="28">-0.6094*M73^3+0.5993*(M73^2) - 2.6874*M73 - 4.0553</f>
        <v>-4.3857691258355072</v>
      </c>
      <c r="P73">
        <f>E73-(SUM(K73:L73)*N73)</f>
        <v>65.975947999999335</v>
      </c>
      <c r="Q73">
        <f>P73/(2*H73*J73)</f>
        <v>3.8910929459981113E-2</v>
      </c>
      <c r="R73">
        <f>Q73*16.02</f>
        <v>0.62335308994889738</v>
      </c>
      <c r="T73" s="2">
        <v>61.71</v>
      </c>
      <c r="U73" s="5" t="s">
        <v>43</v>
      </c>
      <c r="V73" s="4">
        <v>0.69359818170083709</v>
      </c>
      <c r="W73" s="6">
        <v>0.11012974355960745</v>
      </c>
      <c r="X73" s="6"/>
      <c r="Y73">
        <v>0.65931207019049343</v>
      </c>
      <c r="AA73" s="21">
        <f t="shared" si="10"/>
        <v>-1.9284478694059359E-3</v>
      </c>
      <c r="AB73">
        <f t="shared" ref="AB73:AB76" si="29">(E73-(SUM(K73:L73)*O73))/(2*H73*J73)*16.02</f>
        <v>0.69215307855445685</v>
      </c>
    </row>
    <row r="74" spans="2:29" x14ac:dyDescent="0.2">
      <c r="C74">
        <v>100000</v>
      </c>
      <c r="D74">
        <v>867.53642600000001</v>
      </c>
      <c r="E74">
        <v>-16500.927414000002</v>
      </c>
      <c r="F74">
        <v>78379.098809000003</v>
      </c>
      <c r="G74">
        <v>0.34915099999999999</v>
      </c>
      <c r="H74">
        <v>30.779548999999999</v>
      </c>
      <c r="I74">
        <v>92.497558999999995</v>
      </c>
      <c r="J74">
        <v>27.530079000000001</v>
      </c>
      <c r="K74">
        <v>3295</v>
      </c>
      <c r="L74">
        <v>481</v>
      </c>
      <c r="M74">
        <f>L74/(L74+K74)</f>
        <v>0.12738347457627119</v>
      </c>
      <c r="N74">
        <f t="shared" si="27"/>
        <v>-4.3872665254237289</v>
      </c>
      <c r="O74">
        <f t="shared" si="28"/>
        <v>-4.3891654047107176</v>
      </c>
      <c r="P74">
        <f>E74-(SUM(K74:L74)*N74)</f>
        <v>65.39098599999852</v>
      </c>
      <c r="Q74">
        <f>P74/(2*H74*J74)</f>
        <v>3.8584971217584217E-2</v>
      </c>
      <c r="R74">
        <f>Q74*16.02</f>
        <v>0.6181312389056991</v>
      </c>
      <c r="T74" s="6">
        <v>67.724661178359398</v>
      </c>
      <c r="U74" s="5" t="s">
        <v>44</v>
      </c>
      <c r="V74" s="4">
        <v>0.58340095978401618</v>
      </c>
      <c r="W74" s="6">
        <v>7.0561070016663605E-2</v>
      </c>
      <c r="X74" s="6"/>
      <c r="Y74">
        <v>0.56648190012427058</v>
      </c>
      <c r="AA74" s="21">
        <f t="shared" si="10"/>
        <v>-1.8988792869887305E-3</v>
      </c>
      <c r="AB74">
        <f t="shared" si="29"/>
        <v>0.68590976949715365</v>
      </c>
    </row>
    <row r="75" spans="2:29" x14ac:dyDescent="0.2">
      <c r="C75">
        <v>100000</v>
      </c>
      <c r="D75">
        <v>867.65380400000004</v>
      </c>
      <c r="E75">
        <v>-16527.161050999999</v>
      </c>
      <c r="F75">
        <v>78325.405146000005</v>
      </c>
      <c r="G75">
        <v>0.12046800000000001</v>
      </c>
      <c r="H75">
        <v>30.772518999999999</v>
      </c>
      <c r="I75">
        <v>92.476433</v>
      </c>
      <c r="J75">
        <v>27.523790999999999</v>
      </c>
      <c r="K75">
        <v>3285</v>
      </c>
      <c r="L75">
        <v>491</v>
      </c>
      <c r="M75">
        <f>L75/(L75+K75)</f>
        <v>0.13003177966101695</v>
      </c>
      <c r="N75">
        <f t="shared" si="27"/>
        <v>-4.3941182203389824</v>
      </c>
      <c r="O75">
        <f t="shared" si="28"/>
        <v>-4.3959541161354236</v>
      </c>
      <c r="P75">
        <f>E75-(SUM(K75:L75)*N75)</f>
        <v>65.029348999996728</v>
      </c>
      <c r="Q75">
        <f>P75/(2*H75*J75)</f>
        <v>3.8389115930756855E-2</v>
      </c>
      <c r="R75">
        <f>Q75*16.02</f>
        <v>0.61499363721072475</v>
      </c>
      <c r="T75" s="6">
        <v>73.933636606903903</v>
      </c>
      <c r="U75" s="5" t="s">
        <v>45</v>
      </c>
      <c r="V75" s="4">
        <v>0.48418262665222722</v>
      </c>
      <c r="W75" s="6">
        <v>9.1653566868210939E-2</v>
      </c>
      <c r="X75" s="6"/>
      <c r="Y75">
        <v>0.45262403670647727</v>
      </c>
      <c r="AA75" s="21">
        <f t="shared" si="10"/>
        <v>-1.8358957964412781E-3</v>
      </c>
      <c r="AB75">
        <f t="shared" si="29"/>
        <v>0.68055398205279094</v>
      </c>
    </row>
    <row r="76" spans="2:29" x14ac:dyDescent="0.2">
      <c r="C76">
        <v>100000</v>
      </c>
      <c r="D76">
        <v>867.33963000000006</v>
      </c>
      <c r="E76">
        <v>-16421.272326999999</v>
      </c>
      <c r="F76">
        <v>78623.981620999999</v>
      </c>
      <c r="G76">
        <v>0.32190200000000002</v>
      </c>
      <c r="H76">
        <v>30.811571000000001</v>
      </c>
      <c r="I76">
        <v>92.593790999999996</v>
      </c>
      <c r="J76">
        <v>27.558720999999998</v>
      </c>
      <c r="K76">
        <v>3327</v>
      </c>
      <c r="L76">
        <v>449</v>
      </c>
      <c r="M76">
        <f>L76/(L76+K76)</f>
        <v>0.11890889830508475</v>
      </c>
      <c r="N76">
        <f t="shared" si="27"/>
        <v>-4.3653411016949146</v>
      </c>
      <c r="O76">
        <f t="shared" si="28"/>
        <v>-4.3674066543308703</v>
      </c>
      <c r="P76">
        <f>E76-(SUM(K76:L76)*N76)</f>
        <v>62.255672999999661</v>
      </c>
      <c r="Q76">
        <f>P76/(2*H76*J76)</f>
        <v>3.6658613591029988E-2</v>
      </c>
      <c r="R76">
        <f>Q76*16.02</f>
        <v>0.58727098972830039</v>
      </c>
      <c r="T76" s="2">
        <v>90</v>
      </c>
      <c r="V76" s="1">
        <v>0</v>
      </c>
      <c r="Y76">
        <v>0</v>
      </c>
      <c r="AA76" s="21">
        <f t="shared" si="10"/>
        <v>-2.0655526359556475E-3</v>
      </c>
      <c r="AB76">
        <f t="shared" si="29"/>
        <v>0.66084558261498683</v>
      </c>
      <c r="AC76">
        <f>AVERAGE(AB72:AB76)</f>
        <v>0.68283402560775153</v>
      </c>
    </row>
    <row r="77" spans="2:29" x14ac:dyDescent="0.2">
      <c r="R77" s="1">
        <f>AVERAGE(R72:R76)</f>
        <v>0.61238738983812624</v>
      </c>
      <c r="S77">
        <f>STDEV(R72:R76)</f>
        <v>1.4357153813707205E-2</v>
      </c>
      <c r="U77" s="5" t="s">
        <v>46</v>
      </c>
      <c r="V77" s="6">
        <f>AVERAGE(V66:V75)</f>
        <v>0.62184458022448819</v>
      </c>
      <c r="AA77" s="21"/>
    </row>
    <row r="78" spans="2:29" x14ac:dyDescent="0.2">
      <c r="B78" t="s">
        <v>33</v>
      </c>
      <c r="C78">
        <v>100000</v>
      </c>
      <c r="D78">
        <v>929.70777399999997</v>
      </c>
      <c r="E78">
        <v>-28182.421086999999</v>
      </c>
      <c r="F78">
        <v>135261.41305500001</v>
      </c>
      <c r="G78">
        <v>-6.9708999999999993E-2</v>
      </c>
      <c r="H78">
        <v>40.349485000000001</v>
      </c>
      <c r="I78">
        <v>242.16304099999999</v>
      </c>
      <c r="J78">
        <v>13.842926</v>
      </c>
      <c r="K78">
        <v>5751</v>
      </c>
      <c r="L78">
        <v>737</v>
      </c>
      <c r="M78">
        <f>L78/(L78+K78)</f>
        <v>0.11359432799013564</v>
      </c>
      <c r="N78">
        <f>-4.0577-2.5872*M78</f>
        <v>-4.3515912453760786</v>
      </c>
      <c r="O78">
        <f>-0.6094*M78^3+0.5993*(M78^2) - 2.6874*M78 - 4.0553</f>
        <v>-4.3537334754936206</v>
      </c>
      <c r="P78">
        <f>E78-(SUM(K78:L78)*N78)</f>
        <v>50.702912999997352</v>
      </c>
      <c r="Q78">
        <f>P78/(2*H78*J78)</f>
        <v>4.5387579469352277E-2</v>
      </c>
      <c r="R78">
        <f>Q78*16.02</f>
        <v>0.72710902309902348</v>
      </c>
      <c r="AA78" s="21">
        <f t="shared" si="10"/>
        <v>-2.1422301175419989E-3</v>
      </c>
      <c r="AB78">
        <f>(E78-(SUM(K78:L78)*O78))/(2*H78*J78)*16.02</f>
        <v>0.92642567565409684</v>
      </c>
    </row>
    <row r="79" spans="2:29" x14ac:dyDescent="0.2">
      <c r="C79">
        <v>100000</v>
      </c>
      <c r="D79">
        <v>929.69733099999996</v>
      </c>
      <c r="E79">
        <v>-28331.024026999999</v>
      </c>
      <c r="F79">
        <v>134829.636038</v>
      </c>
      <c r="G79">
        <v>0.41877599999999998</v>
      </c>
      <c r="H79">
        <v>40.306505000000001</v>
      </c>
      <c r="I79">
        <v>241.905089</v>
      </c>
      <c r="J79">
        <v>13.828181000000001</v>
      </c>
      <c r="K79">
        <v>5693</v>
      </c>
      <c r="L79">
        <v>795</v>
      </c>
      <c r="M79">
        <f>L79/(L79+K79)</f>
        <v>0.12253390875462392</v>
      </c>
      <c r="N79">
        <f t="shared" ref="N79:N82" si="30">-4.0577-2.5872*M79</f>
        <v>-4.3747197287299624</v>
      </c>
      <c r="O79">
        <f t="shared" ref="O79:O82" si="31">-0.6094*M79^3+0.5993*(M79^2) - 2.6874*M79 - 4.0553</f>
        <v>-4.3767205708981507</v>
      </c>
      <c r="P79">
        <f>E79-(SUM(K79:L79)*N79)</f>
        <v>52.157572999996773</v>
      </c>
      <c r="Q79">
        <f>P79/(2*H79*J79)</f>
        <v>4.6789368268869577E-2</v>
      </c>
      <c r="R79">
        <f>Q79*16.02</f>
        <v>0.7495656796672906</v>
      </c>
      <c r="V79" t="s">
        <v>66</v>
      </c>
      <c r="AA79" s="21">
        <f t="shared" si="10"/>
        <v>-2.0008421681882993E-3</v>
      </c>
      <c r="AB79">
        <f t="shared" ref="AB79:AB82" si="32">(E79-(SUM(K79:L79)*O79))/(2*H79*J79)*16.02</f>
        <v>0.93612458793257458</v>
      </c>
    </row>
    <row r="80" spans="2:29" x14ac:dyDescent="0.2">
      <c r="C80">
        <v>100000</v>
      </c>
      <c r="D80">
        <v>929.71923900000002</v>
      </c>
      <c r="E80">
        <v>-28269.720034999998</v>
      </c>
      <c r="F80">
        <v>134976.486401</v>
      </c>
      <c r="G80">
        <v>-8.2649E-2</v>
      </c>
      <c r="H80">
        <v>40.321134000000001</v>
      </c>
      <c r="I80">
        <v>241.992885</v>
      </c>
      <c r="J80">
        <v>13.8332</v>
      </c>
      <c r="K80">
        <v>5719</v>
      </c>
      <c r="L80">
        <v>769</v>
      </c>
      <c r="M80">
        <f>L80/(L80+K80)</f>
        <v>0.11852651048088779</v>
      </c>
      <c r="N80">
        <f t="shared" si="30"/>
        <v>-4.3643517879161529</v>
      </c>
      <c r="O80">
        <f t="shared" si="31"/>
        <v>-4.3664235843955606</v>
      </c>
      <c r="P80">
        <f>E80-(SUM(K80:L80)*N80)</f>
        <v>46.194365000003017</v>
      </c>
      <c r="Q80">
        <f>P80/(2*H80*J80)</f>
        <v>4.1409845685140237E-2</v>
      </c>
      <c r="R80">
        <f>Q80*16.02</f>
        <v>0.66338572787594663</v>
      </c>
      <c r="T80">
        <v>0</v>
      </c>
      <c r="U80" s="3"/>
      <c r="V80">
        <v>0</v>
      </c>
      <c r="AA80" s="21">
        <f t="shared" si="10"/>
        <v>-2.0717964794076948E-3</v>
      </c>
      <c r="AB80">
        <f t="shared" si="32"/>
        <v>0.85642028086048738</v>
      </c>
    </row>
    <row r="81" spans="2:29" x14ac:dyDescent="0.2">
      <c r="C81">
        <v>100000</v>
      </c>
      <c r="D81">
        <v>929.76464299999998</v>
      </c>
      <c r="E81">
        <v>-28258.841243999999</v>
      </c>
      <c r="F81">
        <v>135002.12298700001</v>
      </c>
      <c r="G81">
        <v>0.120381</v>
      </c>
      <c r="H81">
        <v>40.323686000000002</v>
      </c>
      <c r="I81">
        <v>242.00820200000001</v>
      </c>
      <c r="J81">
        <v>13.834075</v>
      </c>
      <c r="K81">
        <v>5722</v>
      </c>
      <c r="L81">
        <v>766</v>
      </c>
      <c r="M81">
        <f>L81/(L81+K81)</f>
        <v>0.11806411837237978</v>
      </c>
      <c r="N81">
        <f t="shared" si="30"/>
        <v>-4.3631554870530209</v>
      </c>
      <c r="O81">
        <f t="shared" si="31"/>
        <v>-4.3652346842568956</v>
      </c>
      <c r="P81">
        <f>E81-(SUM(K81:L81)*N81)</f>
        <v>49.311556000000564</v>
      </c>
      <c r="Q81">
        <f>P81/(2*H81*J81)</f>
        <v>4.4198584505179342E-2</v>
      </c>
      <c r="R81">
        <f>Q81*16.02</f>
        <v>0.70806132377297304</v>
      </c>
      <c r="T81" s="2">
        <v>12.68</v>
      </c>
      <c r="U81" s="3" t="s">
        <v>36</v>
      </c>
      <c r="V81" s="4">
        <v>1.1408141442992705</v>
      </c>
      <c r="W81" s="6">
        <v>6.6303238397251843E-2</v>
      </c>
      <c r="X81" s="6"/>
      <c r="Y81" s="6"/>
      <c r="AA81" s="21">
        <f t="shared" si="10"/>
        <v>-2.0791972038747275E-3</v>
      </c>
      <c r="AB81">
        <f t="shared" si="32"/>
        <v>0.90176090851433066</v>
      </c>
    </row>
    <row r="82" spans="2:29" x14ac:dyDescent="0.2">
      <c r="C82">
        <v>100000</v>
      </c>
      <c r="D82">
        <v>929.47123199999999</v>
      </c>
      <c r="E82">
        <v>-28144.979222000002</v>
      </c>
      <c r="F82">
        <v>135356.017341</v>
      </c>
      <c r="G82">
        <v>0.17782600000000001</v>
      </c>
      <c r="H82">
        <v>40.358890000000002</v>
      </c>
      <c r="I82">
        <v>242.219482</v>
      </c>
      <c r="J82">
        <v>13.846152999999999</v>
      </c>
      <c r="K82">
        <v>5767</v>
      </c>
      <c r="L82">
        <v>721</v>
      </c>
      <c r="M82">
        <f>L82/(L82+K82)</f>
        <v>0.11112823674475955</v>
      </c>
      <c r="N82">
        <f t="shared" si="30"/>
        <v>-4.3452109741060418</v>
      </c>
      <c r="O82">
        <f t="shared" si="31"/>
        <v>-4.3473813033009892</v>
      </c>
      <c r="P82">
        <f>E82-(SUM(K82:L82)*N82)</f>
        <v>46.749577999999019</v>
      </c>
      <c r="Q82">
        <f>P82/(2*H82*J82)</f>
        <v>4.1829180850167916E-2</v>
      </c>
      <c r="R82">
        <f>Q82*16.02</f>
        <v>0.67010347721968999</v>
      </c>
      <c r="T82" s="6">
        <v>16.260000000000002</v>
      </c>
      <c r="U82" s="3" t="s">
        <v>37</v>
      </c>
      <c r="V82" s="4">
        <v>1.0755149621198192</v>
      </c>
      <c r="W82" s="6">
        <v>0.14636059653093175</v>
      </c>
      <c r="X82" s="6"/>
      <c r="Y82" s="6"/>
      <c r="AA82" s="21">
        <f t="shared" si="10"/>
        <v>-2.1703291949473069E-3</v>
      </c>
      <c r="AB82">
        <f t="shared" si="32"/>
        <v>0.87194040652660154</v>
      </c>
      <c r="AC82">
        <f>AVERAGE(AB78:AB82)</f>
        <v>0.8985343718976182</v>
      </c>
    </row>
    <row r="83" spans="2:29" x14ac:dyDescent="0.2">
      <c r="R83" s="1">
        <f>AVERAGE(R78:R82)</f>
        <v>0.70364504632698477</v>
      </c>
      <c r="S83">
        <f>STDEV(R78:R82)</f>
        <v>3.6825995774503691E-2</v>
      </c>
      <c r="T83" s="2">
        <v>22.62</v>
      </c>
      <c r="U83" s="3" t="s">
        <v>38</v>
      </c>
      <c r="V83" s="4">
        <v>1.2020641594343822</v>
      </c>
      <c r="W83" s="6">
        <v>7.5735670170164859E-2</v>
      </c>
      <c r="X83" s="6"/>
      <c r="Y83" s="6"/>
      <c r="AA83" s="21"/>
    </row>
    <row r="84" spans="2:29" x14ac:dyDescent="0.2">
      <c r="B84" t="s">
        <v>34</v>
      </c>
      <c r="C84">
        <v>100000</v>
      </c>
      <c r="D84">
        <v>929.97740499999998</v>
      </c>
      <c r="E84">
        <v>-14360.066041</v>
      </c>
      <c r="F84">
        <v>68567.692335999993</v>
      </c>
      <c r="G84">
        <v>-5.4350999999999997E-2</v>
      </c>
      <c r="H84">
        <v>24.904245</v>
      </c>
      <c r="I84">
        <v>199.27795900000001</v>
      </c>
      <c r="J84">
        <v>13.816136</v>
      </c>
      <c r="K84">
        <v>2905</v>
      </c>
      <c r="L84">
        <v>391</v>
      </c>
      <c r="M84">
        <f>L84/(L84+K84)</f>
        <v>0.11862864077669903</v>
      </c>
      <c r="N84">
        <f>-4.0577-2.5872*M84</f>
        <v>-4.3646160194174755</v>
      </c>
      <c r="O84">
        <f>-0.6094*M84^3+0.5993*(M84^2) - 2.6874*M84 - 4.0553</f>
        <v>-4.3666861591988813</v>
      </c>
      <c r="P84">
        <f>E84-(SUM(K84:L84)*N84)</f>
        <v>25.708358999998381</v>
      </c>
      <c r="Q84">
        <f>P84/(2*H84*J84)</f>
        <v>3.7358065611830124E-2</v>
      </c>
      <c r="R84">
        <f>Q84*16.02</f>
        <v>0.59847621110151861</v>
      </c>
      <c r="T84" s="6">
        <v>27.6760219742164</v>
      </c>
      <c r="U84" s="5" t="s">
        <v>39</v>
      </c>
      <c r="V84" s="4">
        <v>1.432568884536386</v>
      </c>
      <c r="W84" s="6">
        <v>0.14566955678487123</v>
      </c>
      <c r="X84" s="6"/>
      <c r="Y84" s="6"/>
      <c r="AA84" s="21">
        <f t="shared" si="10"/>
        <v>-2.0701397814057998E-3</v>
      </c>
      <c r="AB84">
        <f>(E84-(SUM(K84:L84)*O84))/(2*H84*J84)*16.02</f>
        <v>0.75731603999435348</v>
      </c>
    </row>
    <row r="85" spans="2:29" x14ac:dyDescent="0.2">
      <c r="C85">
        <v>100000</v>
      </c>
      <c r="D85">
        <v>929.64757299999997</v>
      </c>
      <c r="E85">
        <v>-14396.023707</v>
      </c>
      <c r="F85">
        <v>68452.953271999999</v>
      </c>
      <c r="G85">
        <v>-1.3174999999999999E-2</v>
      </c>
      <c r="H85">
        <v>24.890345</v>
      </c>
      <c r="I85">
        <v>199.16673800000001</v>
      </c>
      <c r="J85">
        <v>13.808425</v>
      </c>
      <c r="K85">
        <v>2891</v>
      </c>
      <c r="L85">
        <v>405</v>
      </c>
      <c r="M85">
        <f>L85/(L85+K85)</f>
        <v>0.12287621359223301</v>
      </c>
      <c r="N85">
        <f t="shared" ref="N85:N88" si="33">-4.0577-2.5872*M85</f>
        <v>-4.3756053398058246</v>
      </c>
      <c r="O85">
        <f t="shared" ref="O85:O88" si="34">-0.6094*M85^3+0.5993*(M85^2) - 2.6874*M85 - 4.0553</f>
        <v>-4.377599559088563</v>
      </c>
      <c r="P85">
        <f>E85-(SUM(K85:L85)*N85)</f>
        <v>25.971492999997281</v>
      </c>
      <c r="Q85">
        <f>P85/(2*H85*J85)</f>
        <v>3.7782601597106176E-2</v>
      </c>
      <c r="R85">
        <f>Q85*16.02</f>
        <v>0.60527727758564087</v>
      </c>
      <c r="T85" s="2">
        <v>36.869999999999997</v>
      </c>
      <c r="U85" s="5" t="s">
        <v>40</v>
      </c>
      <c r="V85" s="4">
        <v>1.2601185423196442</v>
      </c>
      <c r="W85" s="6">
        <v>0.17129141342889212</v>
      </c>
      <c r="X85" s="6"/>
      <c r="Y85" s="6"/>
      <c r="AA85" s="21">
        <f t="shared" si="10"/>
        <v>-1.9942192827384631E-3</v>
      </c>
      <c r="AB85">
        <f t="shared" ref="AB85:AB88" si="35">(E85-(SUM(K85:L85)*O85))/(2*H85*J85)*16.02</f>
        <v>0.75846274590396268</v>
      </c>
    </row>
    <row r="86" spans="2:29" x14ac:dyDescent="0.2">
      <c r="C86">
        <v>100000</v>
      </c>
      <c r="D86">
        <v>929.41326700000002</v>
      </c>
      <c r="E86">
        <v>-14359.674477</v>
      </c>
      <c r="F86">
        <v>68568.037064999997</v>
      </c>
      <c r="G86">
        <v>0.117322</v>
      </c>
      <c r="H86">
        <v>24.904285999999999</v>
      </c>
      <c r="I86">
        <v>199.27828600000001</v>
      </c>
      <c r="J86">
        <v>13.816159687200001</v>
      </c>
      <c r="K86">
        <v>2905</v>
      </c>
      <c r="L86">
        <v>391</v>
      </c>
      <c r="M86">
        <f>L86/(L86+K86)</f>
        <v>0.11862864077669903</v>
      </c>
      <c r="N86">
        <f t="shared" si="33"/>
        <v>-4.3646160194174755</v>
      </c>
      <c r="O86">
        <f t="shared" si="34"/>
        <v>-4.3666861591988813</v>
      </c>
      <c r="P86">
        <f>E86-(SUM(K86:L86)*N86)</f>
        <v>26.099922999997943</v>
      </c>
      <c r="Q86">
        <f>P86/(2*H86*J86)</f>
        <v>3.7926938822389102E-2</v>
      </c>
      <c r="R86">
        <f>Q86*16.02</f>
        <v>0.60758955993467334</v>
      </c>
      <c r="T86" s="6">
        <v>46.145146311133402</v>
      </c>
      <c r="U86" s="5" t="s">
        <v>41</v>
      </c>
      <c r="V86" s="4">
        <v>1.3508278648300291</v>
      </c>
      <c r="W86" s="6">
        <v>9.8398824728750556E-2</v>
      </c>
      <c r="X86" s="6"/>
      <c r="Y86" s="6"/>
      <c r="AA86" s="21">
        <f t="shared" si="10"/>
        <v>-2.0701397814057998E-3</v>
      </c>
      <c r="AB86">
        <f t="shared" si="35"/>
        <v>0.76642885500555258</v>
      </c>
    </row>
    <row r="87" spans="2:29" x14ac:dyDescent="0.2">
      <c r="C87">
        <v>100000</v>
      </c>
      <c r="D87">
        <v>929.56953699999997</v>
      </c>
      <c r="E87">
        <v>-14300.860294</v>
      </c>
      <c r="F87">
        <v>68773.694113000005</v>
      </c>
      <c r="G87">
        <v>0.14411399999999999</v>
      </c>
      <c r="H87">
        <v>24.92916</v>
      </c>
      <c r="I87">
        <v>199.47732400000001</v>
      </c>
      <c r="J87">
        <v>13.829958</v>
      </c>
      <c r="K87">
        <v>2928</v>
      </c>
      <c r="L87">
        <v>368</v>
      </c>
      <c r="M87">
        <f>L87/(L87+K87)</f>
        <v>0.11165048543689321</v>
      </c>
      <c r="N87">
        <f t="shared" si="33"/>
        <v>-4.3465621359223299</v>
      </c>
      <c r="O87">
        <f t="shared" si="34"/>
        <v>-4.3487269148195296</v>
      </c>
      <c r="P87">
        <f>E87-(SUM(K87:L87)*N87)</f>
        <v>25.408505999999761</v>
      </c>
      <c r="Q87">
        <f>P87/(2*H87*J87)</f>
        <v>3.6848569076738891E-2</v>
      </c>
      <c r="R87">
        <f>Q87*16.02</f>
        <v>0.59031407660935697</v>
      </c>
      <c r="T87" s="2">
        <v>53.13</v>
      </c>
      <c r="U87" s="5" t="s">
        <v>42</v>
      </c>
      <c r="V87" s="4">
        <v>1.1457809144080087</v>
      </c>
      <c r="W87" s="6">
        <v>4.4372879322343677E-2</v>
      </c>
      <c r="X87" s="6"/>
      <c r="Y87" s="6"/>
      <c r="AA87" s="21">
        <f t="shared" si="10"/>
        <v>-2.1647788971996818E-3</v>
      </c>
      <c r="AB87">
        <f t="shared" si="35"/>
        <v>0.75608362662531481</v>
      </c>
    </row>
    <row r="88" spans="2:29" x14ac:dyDescent="0.2">
      <c r="C88">
        <v>100000</v>
      </c>
      <c r="D88">
        <v>929.883554</v>
      </c>
      <c r="E88">
        <v>-14337.841566999999</v>
      </c>
      <c r="F88">
        <v>68646.226746999993</v>
      </c>
      <c r="G88">
        <v>0.235235</v>
      </c>
      <c r="H88">
        <v>24.913748999999999</v>
      </c>
      <c r="I88">
        <v>199.354007</v>
      </c>
      <c r="J88">
        <v>13.821408</v>
      </c>
      <c r="K88">
        <v>2912</v>
      </c>
      <c r="L88">
        <v>384</v>
      </c>
      <c r="M88">
        <f>L88/(L88+K88)</f>
        <v>0.11650485436893204</v>
      </c>
      <c r="N88">
        <f t="shared" si="33"/>
        <v>-4.3591213592233009</v>
      </c>
      <c r="O88">
        <f t="shared" si="34"/>
        <v>-4.3612243020443344</v>
      </c>
      <c r="P88">
        <f>E88-(SUM(K88:L88)*N88)</f>
        <v>29.822433000001183</v>
      </c>
      <c r="Q88">
        <f>P88/(2*H88*J88)</f>
        <v>4.3303370807645479E-2</v>
      </c>
      <c r="R88">
        <f>Q88*16.02</f>
        <v>0.69372000033848058</v>
      </c>
      <c r="T88" s="2">
        <v>61.71</v>
      </c>
      <c r="U88" s="5" t="s">
        <v>43</v>
      </c>
      <c r="V88" s="4">
        <v>1.3764559506104899</v>
      </c>
      <c r="W88" s="6">
        <v>6.0889717573316245E-2</v>
      </c>
      <c r="X88" s="6"/>
      <c r="Y88" s="6"/>
      <c r="AA88" s="21">
        <f t="shared" si="10"/>
        <v>-2.1029428210335155E-3</v>
      </c>
      <c r="AB88">
        <f t="shared" si="35"/>
        <v>0.85495369706385227</v>
      </c>
      <c r="AC88">
        <f>AVERAGE(AB84:AB88)</f>
        <v>0.77864899291860712</v>
      </c>
    </row>
    <row r="89" spans="2:29" x14ac:dyDescent="0.2">
      <c r="R89" s="1">
        <f>AVERAGE(R84:R88)</f>
        <v>0.6190754251139341</v>
      </c>
      <c r="S89">
        <f>STDEV(R84:R88)</f>
        <v>4.2266030598793851E-2</v>
      </c>
      <c r="T89" s="6">
        <v>67.724661178359398</v>
      </c>
      <c r="U89" s="5" t="s">
        <v>44</v>
      </c>
      <c r="V89" s="4">
        <v>1.1988364056418612</v>
      </c>
      <c r="W89" s="6">
        <v>0.10321878194612759</v>
      </c>
      <c r="X89" s="6"/>
      <c r="Y89" s="6"/>
      <c r="AA89" s="21"/>
    </row>
    <row r="90" spans="2:29" x14ac:dyDescent="0.2">
      <c r="B90" t="s">
        <v>35</v>
      </c>
      <c r="C90">
        <v>100000</v>
      </c>
      <c r="D90">
        <v>929.86976600000003</v>
      </c>
      <c r="E90">
        <v>-20721.374293000001</v>
      </c>
      <c r="F90">
        <v>98805.063441000006</v>
      </c>
      <c r="G90">
        <v>9.1277999999999998E-2</v>
      </c>
      <c r="H90">
        <v>34.529418</v>
      </c>
      <c r="I90">
        <v>207.17650599999999</v>
      </c>
      <c r="J90">
        <v>13.811767</v>
      </c>
      <c r="K90">
        <v>4183</v>
      </c>
      <c r="L90">
        <v>569</v>
      </c>
      <c r="M90">
        <f>L90/(L90+K90)</f>
        <v>0.11973905723905724</v>
      </c>
      <c r="N90">
        <f>-4.0577-2.5872*M90</f>
        <v>-4.3674888888888885</v>
      </c>
      <c r="O90">
        <f>-0.6094*M90^3+0.5993*(M90^2) - 2.6874*M90 - 4.0553</f>
        <v>-4.3695405020636988</v>
      </c>
      <c r="P90">
        <f>E90-(SUM(K90:L90)*N90)</f>
        <v>32.932906999998522</v>
      </c>
      <c r="Q90">
        <f>P90/(2*H90*J90)</f>
        <v>3.4527216694820784E-2</v>
      </c>
      <c r="R90">
        <f>Q90*16.02</f>
        <v>0.55312601145102891</v>
      </c>
      <c r="T90" s="6">
        <v>73.933636606903903</v>
      </c>
      <c r="U90" s="5" t="s">
        <v>45</v>
      </c>
      <c r="V90" s="4">
        <v>1.0700428837586542</v>
      </c>
      <c r="W90" s="6">
        <v>0.12492900893379594</v>
      </c>
      <c r="X90" s="6"/>
      <c r="Y90" s="6"/>
      <c r="AA90" s="21">
        <f t="shared" si="10"/>
        <v>-2.051613174810285E-3</v>
      </c>
      <c r="AB90">
        <f>(E90-(SUM(K90:L90)*O90))/(2*H90*J90)*16.02</f>
        <v>0.71687021144634966</v>
      </c>
    </row>
    <row r="91" spans="2:29" x14ac:dyDescent="0.2">
      <c r="C91">
        <v>100000</v>
      </c>
      <c r="D91">
        <v>929.70906400000001</v>
      </c>
      <c r="E91">
        <v>-20723.496841</v>
      </c>
      <c r="F91">
        <v>98796.604173999993</v>
      </c>
      <c r="G91">
        <v>0.27350200000000002</v>
      </c>
      <c r="H91">
        <v>34.528432000000002</v>
      </c>
      <c r="I91">
        <v>207.170593</v>
      </c>
      <c r="J91">
        <v>13.811373</v>
      </c>
      <c r="K91">
        <v>4181</v>
      </c>
      <c r="L91">
        <v>571</v>
      </c>
      <c r="M91">
        <f>L91/(L91+K91)</f>
        <v>0.12015993265993266</v>
      </c>
      <c r="N91">
        <f t="shared" ref="N91:N94" si="36">-4.0577-2.5872*M91</f>
        <v>-4.3685777777777774</v>
      </c>
      <c r="O91">
        <f t="shared" ref="O91:O94" si="37">-0.6094*M91^3+0.5993*(M91^2) - 2.6874*M91 - 4.0553</f>
        <v>-4.3706221234807874</v>
      </c>
      <c r="P91">
        <f>E91-(SUM(K91:L91)*N91)</f>
        <v>35.98475899999903</v>
      </c>
      <c r="Q91">
        <f>P91/(2*H91*J91)</f>
        <v>3.7728965019065606E-2</v>
      </c>
      <c r="R91">
        <f>Q91*16.02</f>
        <v>0.60441801960543096</v>
      </c>
      <c r="T91" s="2">
        <v>90</v>
      </c>
      <c r="V91" s="1">
        <v>0</v>
      </c>
      <c r="AA91" s="21">
        <f t="shared" si="10"/>
        <v>-2.044345703009931E-3</v>
      </c>
      <c r="AB91">
        <f t="shared" ref="AB91:AB94" si="38">(E91-(SUM(K91:L91)*O91))/(2*H91*J91)*16.02</f>
        <v>0.76759149922974601</v>
      </c>
    </row>
    <row r="92" spans="2:29" x14ac:dyDescent="0.2">
      <c r="C92">
        <v>100000</v>
      </c>
      <c r="D92">
        <v>929.621847</v>
      </c>
      <c r="E92">
        <v>-20773.245558999999</v>
      </c>
      <c r="F92">
        <v>98654.704062000004</v>
      </c>
      <c r="G92">
        <v>-3.0109999999999998E-3</v>
      </c>
      <c r="H92">
        <v>34.511893000000001</v>
      </c>
      <c r="I92">
        <v>207.071359</v>
      </c>
      <c r="J92">
        <v>13.804757</v>
      </c>
      <c r="K92">
        <v>4164</v>
      </c>
      <c r="L92">
        <v>588</v>
      </c>
      <c r="M92">
        <f>L92/(L92+K92)</f>
        <v>0.12373737373737374</v>
      </c>
      <c r="N92">
        <f t="shared" si="36"/>
        <v>-4.3778333333333332</v>
      </c>
      <c r="O92">
        <f t="shared" si="37"/>
        <v>-4.3798105030028118</v>
      </c>
      <c r="P92">
        <f>E92-(SUM(K92:L92)*N92)</f>
        <v>30.218441000000894</v>
      </c>
      <c r="Q92">
        <f>P92/(2*H92*J92)</f>
        <v>3.1713524599169672E-2</v>
      </c>
      <c r="R92">
        <f>Q92*16.02</f>
        <v>0.50805066407869814</v>
      </c>
      <c r="U92" s="5" t="s">
        <v>46</v>
      </c>
      <c r="V92" s="6">
        <f>AVERAGE(V81:V90)</f>
        <v>1.2253024711958544</v>
      </c>
      <c r="AA92" s="21">
        <f t="shared" si="10"/>
        <v>-1.9771696694785845E-3</v>
      </c>
      <c r="AB92">
        <f t="shared" si="38"/>
        <v>0.6660136520338773</v>
      </c>
    </row>
    <row r="93" spans="2:29" x14ac:dyDescent="0.2">
      <c r="C93">
        <v>100000</v>
      </c>
      <c r="D93">
        <v>929.86965399999997</v>
      </c>
      <c r="E93">
        <v>-20670.636537999999</v>
      </c>
      <c r="F93">
        <v>98956.742572999996</v>
      </c>
      <c r="G93">
        <v>-0.47088099999999999</v>
      </c>
      <c r="H93">
        <v>34.547077999999999</v>
      </c>
      <c r="I93">
        <v>207.282467</v>
      </c>
      <c r="J93">
        <v>13.818830999999999</v>
      </c>
      <c r="K93">
        <v>4201</v>
      </c>
      <c r="L93">
        <v>551</v>
      </c>
      <c r="M93">
        <f>L93/(L93+K93)</f>
        <v>0.11595117845117846</v>
      </c>
      <c r="N93">
        <f t="shared" si="36"/>
        <v>-4.3576888888888883</v>
      </c>
      <c r="O93">
        <f t="shared" si="37"/>
        <v>-4.3597998122772701</v>
      </c>
      <c r="P93">
        <f>E93-(SUM(K93:L93)*N93)</f>
        <v>37.10106199999791</v>
      </c>
      <c r="Q93">
        <f>P93/(2*H93*J93)</f>
        <v>3.8857398342137327E-2</v>
      </c>
      <c r="R93">
        <f>Q93*16.02</f>
        <v>0.62249552144103992</v>
      </c>
      <c r="AA93" s="21">
        <f t="shared" si="10"/>
        <v>-2.1109233883818135E-3</v>
      </c>
      <c r="AB93">
        <f t="shared" si="38"/>
        <v>0.79080120952977162</v>
      </c>
    </row>
    <row r="94" spans="2:29" x14ac:dyDescent="0.2">
      <c r="C94">
        <v>100000</v>
      </c>
      <c r="D94">
        <v>929.56785000000002</v>
      </c>
      <c r="E94">
        <v>-20671.67223</v>
      </c>
      <c r="F94">
        <v>98951.079922000004</v>
      </c>
      <c r="G94">
        <v>2.1194999999999999E-2</v>
      </c>
      <c r="H94">
        <v>34.546418000000003</v>
      </c>
      <c r="I94">
        <v>207.27850599999999</v>
      </c>
      <c r="J94">
        <v>13.818567</v>
      </c>
      <c r="K94">
        <v>4201</v>
      </c>
      <c r="L94">
        <v>551</v>
      </c>
      <c r="M94">
        <f>L94/(L94+K94)</f>
        <v>0.11595117845117846</v>
      </c>
      <c r="N94">
        <f t="shared" si="36"/>
        <v>-4.3576888888888883</v>
      </c>
      <c r="O94">
        <f t="shared" si="37"/>
        <v>-4.3597998122772701</v>
      </c>
      <c r="P94">
        <f>E94-(SUM(K94:L94)*N94)</f>
        <v>36.065369999996619</v>
      </c>
      <c r="Q94">
        <f>P94/(2*H94*J94)</f>
        <v>3.7774120750047123E-2</v>
      </c>
      <c r="R94">
        <f>Q94*16.02</f>
        <v>0.60514141441575486</v>
      </c>
      <c r="AA94" s="21">
        <f t="shared" si="10"/>
        <v>-2.1109233883818135E-3</v>
      </c>
      <c r="AB94">
        <f t="shared" si="38"/>
        <v>0.77345353343553325</v>
      </c>
      <c r="AC94">
        <f>AVERAGE(AB90:AB94)</f>
        <v>0.74294602113505559</v>
      </c>
    </row>
    <row r="95" spans="2:29" x14ac:dyDescent="0.2">
      <c r="R95" s="1">
        <f>AVERAGE(R90:R94)</f>
        <v>0.57864632619839051</v>
      </c>
      <c r="S95">
        <f>STDEV(R90:R94)</f>
        <v>4.7233345686767118E-2</v>
      </c>
    </row>
    <row r="96" spans="2:29" x14ac:dyDescent="0.2">
      <c r="B96" t="s">
        <v>26</v>
      </c>
      <c r="M96" t="e">
        <f>L96/(L96+K96)</f>
        <v>#DIV/0!</v>
      </c>
      <c r="N96" t="e">
        <f>-4.0791-2.6217*M96</f>
        <v>#DIV/0!</v>
      </c>
      <c r="P96" t="e">
        <f>E96-(SUM(K96:L96)*N96)</f>
        <v>#DIV/0!</v>
      </c>
      <c r="Q96" t="e">
        <f>P96/(2*H96*J96)</f>
        <v>#DIV/0!</v>
      </c>
      <c r="R96" t="e">
        <f>Q96*16.02</f>
        <v>#DIV/0!</v>
      </c>
    </row>
    <row r="97" spans="2:29" x14ac:dyDescent="0.2">
      <c r="M97" t="e">
        <f>L97/(L97+K97)</f>
        <v>#DIV/0!</v>
      </c>
      <c r="N97" t="e">
        <f t="shared" ref="N97:N100" si="39">-4.0791-2.6217*M97</f>
        <v>#DIV/0!</v>
      </c>
      <c r="P97" t="e">
        <f>E97-(SUM(K97:L97)*N97)</f>
        <v>#DIV/0!</v>
      </c>
      <c r="Q97" t="e">
        <f>P97/(2*H97*J97)</f>
        <v>#DIV/0!</v>
      </c>
      <c r="R97" t="e">
        <f>Q97*16.02</f>
        <v>#DIV/0!</v>
      </c>
    </row>
    <row r="98" spans="2:29" x14ac:dyDescent="0.2">
      <c r="M98" t="e">
        <f>L98/(L98+K98)</f>
        <v>#DIV/0!</v>
      </c>
      <c r="N98" t="e">
        <f t="shared" si="39"/>
        <v>#DIV/0!</v>
      </c>
      <c r="P98" t="e">
        <f>E98-(SUM(K98:L98)*N98)</f>
        <v>#DIV/0!</v>
      </c>
      <c r="Q98" t="e">
        <f>P98/(2*H98*J98)</f>
        <v>#DIV/0!</v>
      </c>
      <c r="R98" t="e">
        <f>Q98*16.02</f>
        <v>#DIV/0!</v>
      </c>
    </row>
    <row r="99" spans="2:29" x14ac:dyDescent="0.2">
      <c r="M99" t="e">
        <f>L99/(L99+K99)</f>
        <v>#DIV/0!</v>
      </c>
      <c r="N99" t="e">
        <f t="shared" si="39"/>
        <v>#DIV/0!</v>
      </c>
      <c r="P99" t="e">
        <f>E99-(SUM(K99:L99)*N99)</f>
        <v>#DIV/0!</v>
      </c>
      <c r="Q99" t="e">
        <f>P99/(2*H99*J99)</f>
        <v>#DIV/0!</v>
      </c>
      <c r="R99" t="e">
        <f>Q99*16.02</f>
        <v>#DIV/0!</v>
      </c>
    </row>
    <row r="100" spans="2:29" x14ac:dyDescent="0.2">
      <c r="M100" t="e">
        <f>L100/(L100+K100)</f>
        <v>#DIV/0!</v>
      </c>
      <c r="N100" t="e">
        <f t="shared" si="39"/>
        <v>#DIV/0!</v>
      </c>
      <c r="P100" t="e">
        <f>E100-(SUM(K100:L100)*N100)</f>
        <v>#DIV/0!</v>
      </c>
      <c r="Q100" t="e">
        <f>P100/(2*H100*J100)</f>
        <v>#DIV/0!</v>
      </c>
      <c r="R100" t="e">
        <f>Q100*16.02</f>
        <v>#DIV/0!</v>
      </c>
    </row>
    <row r="101" spans="2:29" x14ac:dyDescent="0.2">
      <c r="R101" s="1" t="e">
        <f>AVERAGE(R96:R100)</f>
        <v>#DIV/0!</v>
      </c>
      <c r="S101" t="e">
        <f>STDEV(R96:R100)</f>
        <v>#DIV/0!</v>
      </c>
    </row>
    <row r="102" spans="2:29" x14ac:dyDescent="0.2">
      <c r="B102" t="s">
        <v>64</v>
      </c>
    </row>
    <row r="103" spans="2:29" x14ac:dyDescent="0.2">
      <c r="C103" t="s">
        <v>52</v>
      </c>
      <c r="D103" t="s">
        <v>13</v>
      </c>
      <c r="E103" t="s">
        <v>4</v>
      </c>
      <c r="F103" t="s">
        <v>5</v>
      </c>
      <c r="G103" t="s">
        <v>14</v>
      </c>
      <c r="H103" t="s">
        <v>15</v>
      </c>
      <c r="I103" t="s">
        <v>16</v>
      </c>
      <c r="J103" t="s">
        <v>17</v>
      </c>
      <c r="K103" t="s">
        <v>18</v>
      </c>
      <c r="L103" t="s">
        <v>19</v>
      </c>
      <c r="M103" t="s">
        <v>9</v>
      </c>
      <c r="N103" t="s">
        <v>20</v>
      </c>
      <c r="O103" t="s">
        <v>68</v>
      </c>
      <c r="P103" t="s">
        <v>8</v>
      </c>
      <c r="Q103" t="s">
        <v>21</v>
      </c>
      <c r="R103" t="s">
        <v>21</v>
      </c>
    </row>
    <row r="104" spans="2:29" x14ac:dyDescent="0.2">
      <c r="B104" t="s">
        <v>25</v>
      </c>
      <c r="C104">
        <v>100000</v>
      </c>
      <c r="D104">
        <v>867.58933100000002</v>
      </c>
      <c r="E104">
        <v>-17947.456855</v>
      </c>
      <c r="F104">
        <v>78589.751149999996</v>
      </c>
      <c r="G104">
        <v>0.48959999999999998</v>
      </c>
      <c r="H104">
        <v>30.948048</v>
      </c>
      <c r="I104">
        <v>185.73183299999999</v>
      </c>
      <c r="J104">
        <v>13.672440999999999</v>
      </c>
      <c r="K104">
        <v>3072</v>
      </c>
      <c r="L104">
        <v>832</v>
      </c>
      <c r="M104">
        <f>L104/(L104+K104)</f>
        <v>0.21311475409836064</v>
      </c>
      <c r="N104">
        <f>-4.0592-2.5627*M104</f>
        <v>-4.6053491803278686</v>
      </c>
      <c r="O104">
        <f>-0.6094*M104^3+0.5993*(M104^2) - 2.6874*M104 - 4.0553</f>
        <v>-4.6067041629035028</v>
      </c>
      <c r="P104">
        <f>E104-(SUM(K104:L104)*N104)</f>
        <v>31.826344999997673</v>
      </c>
      <c r="Q104">
        <f>P104/(2*H104*J104)</f>
        <v>3.7607758630755515E-2</v>
      </c>
      <c r="R104">
        <f>Q104*16.02</f>
        <v>0.60247629326470331</v>
      </c>
      <c r="AA104" s="21">
        <f>O104-N104</f>
        <v>-1.3549825756342671E-3</v>
      </c>
      <c r="AB104">
        <f>(E104-(SUM(K104:L104)*O104))/(2*H104*J104)*16.02</f>
        <v>0.70261378658932772</v>
      </c>
    </row>
    <row r="105" spans="2:29" x14ac:dyDescent="0.2">
      <c r="C105">
        <v>100000</v>
      </c>
      <c r="D105">
        <v>867.72808599999996</v>
      </c>
      <c r="E105">
        <v>-18048.908170999999</v>
      </c>
      <c r="F105">
        <v>78352.175424999994</v>
      </c>
      <c r="G105">
        <v>0.32925300000000002</v>
      </c>
      <c r="H105">
        <v>30.916831999999999</v>
      </c>
      <c r="I105">
        <v>185.54449199999999</v>
      </c>
      <c r="J105">
        <v>13.65865</v>
      </c>
      <c r="K105">
        <v>3035</v>
      </c>
      <c r="L105">
        <v>869</v>
      </c>
      <c r="M105">
        <f>L105/(L105+K105)</f>
        <v>0.22259221311475411</v>
      </c>
      <c r="N105">
        <f t="shared" ref="N105:N108" si="40">-4.0592-2.5627*M105</f>
        <v>-4.62963706454918</v>
      </c>
      <c r="O105">
        <f t="shared" ref="O105:O108" si="41">-0.6094*M105^3+0.5993*(M105^2) - 2.6874*M105 - 4.0553</f>
        <v>-4.6305215967450559</v>
      </c>
      <c r="P105">
        <f>E105-(SUM(K105:L105)*N105)</f>
        <v>25.194929000001139</v>
      </c>
      <c r="Q105">
        <f>P105/(2*H105*J105)</f>
        <v>2.983186332736144E-2</v>
      </c>
      <c r="R105">
        <f>Q105*16.02</f>
        <v>0.47790645050433028</v>
      </c>
      <c r="AA105" s="21">
        <f t="shared" ref="AA105:AA108" si="42">O105-N105</f>
        <v>-8.8453219587592002E-4</v>
      </c>
      <c r="AB105">
        <f t="shared" ref="AB105:AB108" si="43">(E105-(SUM(K105:L105)*O105))/(2*H105*J105)*16.02</f>
        <v>0.54340824646929808</v>
      </c>
    </row>
    <row r="106" spans="2:29" x14ac:dyDescent="0.2">
      <c r="C106">
        <v>100000</v>
      </c>
      <c r="D106">
        <v>867.58027500000003</v>
      </c>
      <c r="E106">
        <v>-18064.826570000001</v>
      </c>
      <c r="F106">
        <v>78319.702598999997</v>
      </c>
      <c r="G106">
        <v>0.41766199999999998</v>
      </c>
      <c r="H106">
        <v>30.912559999999999</v>
      </c>
      <c r="I106">
        <v>185.51885300000001</v>
      </c>
      <c r="J106">
        <v>13.656762000000001</v>
      </c>
      <c r="K106">
        <v>3027</v>
      </c>
      <c r="L106">
        <v>877</v>
      </c>
      <c r="M106">
        <f>L106/(L106+K106)</f>
        <v>0.22464139344262296</v>
      </c>
      <c r="N106">
        <f t="shared" si="40"/>
        <v>-4.6348884989754096</v>
      </c>
      <c r="O106">
        <f t="shared" si="41"/>
        <v>-4.6356666617450388</v>
      </c>
      <c r="P106">
        <f>E106-(SUM(K106:L106)*N106)</f>
        <v>29.778129999998782</v>
      </c>
      <c r="Q106">
        <f>P106/(2*H106*J106)</f>
        <v>3.5268315130450784E-2</v>
      </c>
      <c r="R106">
        <f>Q106*16.02</f>
        <v>0.56499840838982152</v>
      </c>
      <c r="AA106" s="21">
        <f t="shared" si="42"/>
        <v>-7.7816276962927589E-4</v>
      </c>
      <c r="AB106">
        <f t="shared" si="43"/>
        <v>0.62263921644285791</v>
      </c>
    </row>
    <row r="107" spans="2:29" x14ac:dyDescent="0.2">
      <c r="C107">
        <v>100000</v>
      </c>
      <c r="D107">
        <v>867.60554500000001</v>
      </c>
      <c r="E107">
        <v>-17965.543439000001</v>
      </c>
      <c r="F107">
        <v>78548.752687</v>
      </c>
      <c r="G107">
        <v>0.323384</v>
      </c>
      <c r="H107">
        <v>30.942665999999999</v>
      </c>
      <c r="I107">
        <v>185.699532</v>
      </c>
      <c r="J107">
        <v>13.670063000000001</v>
      </c>
      <c r="K107">
        <v>3067</v>
      </c>
      <c r="L107">
        <v>837</v>
      </c>
      <c r="M107">
        <f>L107/(L107+K107)</f>
        <v>0.21439549180327869</v>
      </c>
      <c r="N107">
        <f t="shared" si="40"/>
        <v>-4.6086313268442618</v>
      </c>
      <c r="O107">
        <f t="shared" si="41"/>
        <v>-4.6099248674469324</v>
      </c>
      <c r="P107">
        <f>E107-(SUM(K107:L107)*N107)</f>
        <v>26.553260999997292</v>
      </c>
      <c r="Q107">
        <f>P107/(2*H107*J107)</f>
        <v>3.1387709398584172E-2</v>
      </c>
      <c r="R107">
        <f>Q107*16.02</f>
        <v>0.50283110456531843</v>
      </c>
      <c r="AA107" s="21">
        <f t="shared" si="42"/>
        <v>-1.2935406026706175E-3</v>
      </c>
      <c r="AB107">
        <f t="shared" si="43"/>
        <v>0.59846110213734338</v>
      </c>
    </row>
    <row r="108" spans="2:29" x14ac:dyDescent="0.2">
      <c r="C108">
        <v>100000</v>
      </c>
      <c r="D108">
        <v>867.63212499999997</v>
      </c>
      <c r="E108">
        <v>-18060.824271000001</v>
      </c>
      <c r="F108">
        <v>78332.074536</v>
      </c>
      <c r="G108">
        <v>0.55955999999999995</v>
      </c>
      <c r="H108">
        <v>30.914187999999999</v>
      </c>
      <c r="I108">
        <v>185.52862400000001</v>
      </c>
      <c r="J108">
        <v>13.657482</v>
      </c>
      <c r="K108">
        <v>3027</v>
      </c>
      <c r="L108">
        <v>877</v>
      </c>
      <c r="M108">
        <f>L108/(L108+K108)</f>
        <v>0.22464139344262296</v>
      </c>
      <c r="N108">
        <f t="shared" si="40"/>
        <v>-4.6348884989754096</v>
      </c>
      <c r="O108">
        <f t="shared" si="41"/>
        <v>-4.6356666617450388</v>
      </c>
      <c r="P108">
        <f>E108-(SUM(K108:L108)*N108)</f>
        <v>33.780428999998549</v>
      </c>
      <c r="Q108">
        <f>P108/(2*H108*J108)</f>
        <v>4.0004300831245586E-2</v>
      </c>
      <c r="R108">
        <f>Q108*16.02</f>
        <v>0.64086889931655422</v>
      </c>
      <c r="AA108" s="21">
        <f t="shared" si="42"/>
        <v>-7.7816276962927589E-4</v>
      </c>
      <c r="AB108">
        <f t="shared" si="43"/>
        <v>0.69850363332626997</v>
      </c>
      <c r="AC108">
        <f>AVERAGE(AB104:AB108)</f>
        <v>0.6331251969930195</v>
      </c>
    </row>
    <row r="109" spans="2:29" x14ac:dyDescent="0.2">
      <c r="R109" s="1">
        <f>AVERAGE(R104:R108)</f>
        <v>0.55781623120814561</v>
      </c>
      <c r="S109">
        <f>STDEV(R104:R108)</f>
        <v>6.7736230512093237E-2</v>
      </c>
      <c r="AA109" s="21"/>
    </row>
    <row r="110" spans="2:29" x14ac:dyDescent="0.2">
      <c r="B110" t="s">
        <v>30</v>
      </c>
      <c r="C110">
        <v>100000</v>
      </c>
      <c r="D110">
        <v>929.69807100000003</v>
      </c>
      <c r="E110">
        <v>-14622.781806999999</v>
      </c>
      <c r="F110">
        <v>63651.062882999999</v>
      </c>
      <c r="G110">
        <v>0.123334</v>
      </c>
      <c r="H110">
        <v>24.135722000000001</v>
      </c>
      <c r="I110">
        <v>193.129267</v>
      </c>
      <c r="J110">
        <v>13.655165</v>
      </c>
      <c r="K110">
        <v>2468</v>
      </c>
      <c r="L110">
        <v>700</v>
      </c>
      <c r="M110">
        <f>L110/(L110+K110)</f>
        <v>0.22095959595959597</v>
      </c>
      <c r="N110">
        <f>-4.0592-2.5627*M110</f>
        <v>-4.6254531565656567</v>
      </c>
      <c r="O110">
        <f>-0.6094*M110^3+0.5993*(M110^2) - 2.6874*M110 - 4.0553</f>
        <v>-4.6264212803850437</v>
      </c>
      <c r="P110">
        <f>E110-(SUM(K110:L110)*N110)</f>
        <v>30.653793000001315</v>
      </c>
      <c r="Q110">
        <f>P110/(2*H110*J110)</f>
        <v>4.6504713968521051E-2</v>
      </c>
      <c r="R110">
        <f>Q110*16.02</f>
        <v>0.74500551777570723</v>
      </c>
      <c r="AA110" s="21">
        <f t="shared" ref="AA110:AA114" si="44">O110-N110</f>
        <v>-9.6812381938704561E-4</v>
      </c>
      <c r="AB110">
        <f>(E110-(SUM(K110:L110)*O110))/(2*H110*J110)*16.02</f>
        <v>0.81954585399681235</v>
      </c>
    </row>
    <row r="111" spans="2:29" x14ac:dyDescent="0.2">
      <c r="C111">
        <v>100000</v>
      </c>
      <c r="D111">
        <v>929.96545100000003</v>
      </c>
      <c r="E111">
        <v>-14598.438095</v>
      </c>
      <c r="F111">
        <v>63709.409742000003</v>
      </c>
      <c r="G111">
        <v>-0.216167</v>
      </c>
      <c r="H111">
        <v>24.143094999999999</v>
      </c>
      <c r="I111">
        <v>193.188265</v>
      </c>
      <c r="J111">
        <v>13.659337000000001</v>
      </c>
      <c r="K111">
        <v>2480</v>
      </c>
      <c r="L111">
        <v>688</v>
      </c>
      <c r="M111">
        <f>L111/(L111+K111)</f>
        <v>0.21717171717171718</v>
      </c>
      <c r="N111">
        <f t="shared" ref="N111:N114" si="45">-4.0592-2.5627*M111</f>
        <v>-4.6157459595959596</v>
      </c>
      <c r="O111">
        <f t="shared" ref="O111:O114" si="46">-0.6094*M111^3+0.5993*(M111^2) - 2.6874*M111 - 4.0553</f>
        <v>-4.6169039888220018</v>
      </c>
      <c r="P111">
        <f>E111-(SUM(K111:L111)*N111)</f>
        <v>24.245104999999967</v>
      </c>
      <c r="Q111">
        <f>P111/(2*H111*J111)</f>
        <v>3.6759662077484975E-2</v>
      </c>
      <c r="R111">
        <f>Q111*16.02</f>
        <v>0.5888897864813093</v>
      </c>
      <c r="AA111" s="21">
        <f t="shared" si="44"/>
        <v>-1.1580292260422453E-3</v>
      </c>
      <c r="AB111">
        <f t="shared" ref="AB111:AB114" si="47">(E111-(SUM(K111:L111)*O111))/(2*H111*J111)*16.02</f>
        <v>0.67799736580689185</v>
      </c>
    </row>
    <row r="112" spans="2:29" x14ac:dyDescent="0.2">
      <c r="C112">
        <v>100000</v>
      </c>
      <c r="D112">
        <v>929.58890699999995</v>
      </c>
      <c r="E112">
        <v>-14566.581689000001</v>
      </c>
      <c r="F112">
        <v>63792.500504000003</v>
      </c>
      <c r="G112">
        <v>0.41417900000000002</v>
      </c>
      <c r="H112">
        <v>24.153586000000001</v>
      </c>
      <c r="I112">
        <v>193.272211</v>
      </c>
      <c r="J112">
        <v>13.665272</v>
      </c>
      <c r="K112">
        <v>2494</v>
      </c>
      <c r="L112">
        <v>674</v>
      </c>
      <c r="M112">
        <f>L112/(L112+K112)</f>
        <v>0.21275252525252525</v>
      </c>
      <c r="N112">
        <f t="shared" si="45"/>
        <v>-4.6044208964646458</v>
      </c>
      <c r="O112">
        <f t="shared" si="46"/>
        <v>-4.6057931321121259</v>
      </c>
      <c r="P112">
        <f>E112-(SUM(K112:L112)*N112)</f>
        <v>20.223710999996911</v>
      </c>
      <c r="Q112">
        <f>P112/(2*H112*J112)</f>
        <v>3.0635922078905163E-2</v>
      </c>
      <c r="R112">
        <f>Q112*16.02</f>
        <v>0.49078747170406067</v>
      </c>
      <c r="AA112" s="21">
        <f t="shared" si="44"/>
        <v>-1.3722356474801245E-3</v>
      </c>
      <c r="AB112">
        <f t="shared" si="47"/>
        <v>0.59628602094563754</v>
      </c>
    </row>
    <row r="113" spans="2:29" x14ac:dyDescent="0.2">
      <c r="C113">
        <v>100000</v>
      </c>
      <c r="D113">
        <v>929.48926700000004</v>
      </c>
      <c r="E113">
        <v>-14597.361314</v>
      </c>
      <c r="F113">
        <v>63724.125501000002</v>
      </c>
      <c r="G113">
        <v>-6.0683000000000001E-2</v>
      </c>
      <c r="H113">
        <v>24.144953999999998</v>
      </c>
      <c r="I113">
        <v>193.203138</v>
      </c>
      <c r="J113">
        <v>13.660387999999999</v>
      </c>
      <c r="K113">
        <v>2480</v>
      </c>
      <c r="L113">
        <v>688</v>
      </c>
      <c r="M113">
        <f>L113/(L113+K113)</f>
        <v>0.21717171717171718</v>
      </c>
      <c r="N113">
        <f t="shared" si="45"/>
        <v>-4.6157459595959596</v>
      </c>
      <c r="O113">
        <f t="shared" si="46"/>
        <v>-4.6169039888220018</v>
      </c>
      <c r="P113">
        <f>E113-(SUM(K113:L113)*N113)</f>
        <v>25.321885999999722</v>
      </c>
      <c r="Q113">
        <f>P113/(2*H113*J113)</f>
        <v>3.8386333871602292E-2</v>
      </c>
      <c r="R113">
        <f>Q113*16.02</f>
        <v>0.61494906862306875</v>
      </c>
      <c r="AA113" s="21">
        <f t="shared" si="44"/>
        <v>-1.1580292260422453E-3</v>
      </c>
      <c r="AB113">
        <f t="shared" si="47"/>
        <v>0.70404293204894119</v>
      </c>
    </row>
    <row r="114" spans="2:29" x14ac:dyDescent="0.2">
      <c r="C114">
        <v>100000</v>
      </c>
      <c r="D114">
        <v>929.93721500000004</v>
      </c>
      <c r="E114">
        <v>-14607.28069</v>
      </c>
      <c r="F114">
        <v>63727.185723000002</v>
      </c>
      <c r="G114">
        <v>0.41577500000000001</v>
      </c>
      <c r="H114">
        <v>24.145340000000001</v>
      </c>
      <c r="I114">
        <v>193.20622800000001</v>
      </c>
      <c r="J114">
        <v>13.660607000000001</v>
      </c>
      <c r="K114">
        <v>2477</v>
      </c>
      <c r="L114">
        <v>691</v>
      </c>
      <c r="M114">
        <f>L114/(L114+K114)</f>
        <v>0.21811868686868688</v>
      </c>
      <c r="N114">
        <f t="shared" si="45"/>
        <v>-4.6181727588383836</v>
      </c>
      <c r="O114">
        <f t="shared" si="46"/>
        <v>-4.6192838480991316</v>
      </c>
      <c r="P114">
        <f>E114-(SUM(K114:L114)*N114)</f>
        <v>23.090609999999288</v>
      </c>
      <c r="Q114">
        <f>P114/(2*H114*J114)</f>
        <v>3.5002743688605502E-2</v>
      </c>
      <c r="R114">
        <f>Q114*16.02</f>
        <v>0.56074395389146015</v>
      </c>
      <c r="AA114" s="21">
        <f t="shared" si="44"/>
        <v>-1.1110892607479883E-3</v>
      </c>
      <c r="AB114">
        <f t="shared" si="47"/>
        <v>0.64622371825921643</v>
      </c>
      <c r="AC114">
        <f>AVERAGE(AB110:AB114)</f>
        <v>0.68881917821149996</v>
      </c>
    </row>
    <row r="115" spans="2:29" x14ac:dyDescent="0.2">
      <c r="R115" s="1">
        <f>AVERAGE(R110:R114)</f>
        <v>0.60007515969512126</v>
      </c>
      <c r="S115">
        <f>STDEV(R110:R114)</f>
        <v>9.3329921421933776E-2</v>
      </c>
      <c r="AA115" s="21"/>
    </row>
    <row r="116" spans="2:29" x14ac:dyDescent="0.2">
      <c r="B116" t="s">
        <v>24</v>
      </c>
      <c r="C116">
        <v>100000</v>
      </c>
      <c r="D116">
        <v>929.66718200000003</v>
      </c>
      <c r="E116">
        <v>-11381.737580000001</v>
      </c>
      <c r="F116">
        <v>49752.725072000001</v>
      </c>
      <c r="G116">
        <v>3.1849999999999999E-3</v>
      </c>
      <c r="H116">
        <v>34.835312999999999</v>
      </c>
      <c r="I116">
        <v>139.36300900000001</v>
      </c>
      <c r="J116">
        <v>10.248239999999999</v>
      </c>
      <c r="K116">
        <v>1933</v>
      </c>
      <c r="L116">
        <v>539</v>
      </c>
      <c r="M116">
        <f>L116/(L116+K116)</f>
        <v>0.21804207119741101</v>
      </c>
      <c r="N116">
        <f>-4.0592-2.5627*M116</f>
        <v>-4.6179764158576049</v>
      </c>
      <c r="O116">
        <f>-0.6094*M116^3+0.5993*(M116^2) - 2.6874*M116 - 4.0553</f>
        <v>-4.6190913162640221</v>
      </c>
      <c r="P116">
        <f>E116-(SUM(K116:L116)*N116)</f>
        <v>33.900119999998424</v>
      </c>
      <c r="Q116">
        <f>P116/(2*H116*J116)</f>
        <v>4.747907347017781E-2</v>
      </c>
      <c r="R116">
        <f>Q116*16.02</f>
        <v>0.76061475699224845</v>
      </c>
      <c r="AA116" s="21">
        <f t="shared" ref="AA116:AA120" si="48">O116-N116</f>
        <v>-1.114900406417263E-3</v>
      </c>
      <c r="AB116">
        <f>(E116-(SUM(K116:L116)*O116))/(2*H116*J116)*16.02</f>
        <v>0.82245170572862958</v>
      </c>
    </row>
    <row r="117" spans="2:29" x14ac:dyDescent="0.2">
      <c r="C117">
        <v>100000</v>
      </c>
      <c r="D117">
        <v>929.85567700000001</v>
      </c>
      <c r="E117">
        <v>-11400.755784999999</v>
      </c>
      <c r="F117">
        <v>49702.635831</v>
      </c>
      <c r="G117">
        <v>0.132773</v>
      </c>
      <c r="H117">
        <v>34.823619000000001</v>
      </c>
      <c r="I117">
        <v>139.316228</v>
      </c>
      <c r="J117">
        <v>10.2448</v>
      </c>
      <c r="K117">
        <v>1929</v>
      </c>
      <c r="L117">
        <v>543</v>
      </c>
      <c r="M117">
        <f>L117/(L117+K117)</f>
        <v>0.2196601941747573</v>
      </c>
      <c r="N117">
        <f t="shared" ref="N117:N120" si="49">-4.0592-2.5627*M117</f>
        <v>-4.6221231796116502</v>
      </c>
      <c r="O117">
        <f t="shared" ref="O117:O120" si="50">-0.6094*M117^3+0.5993*(M117^2) - 2.6874*M117 - 4.0553</f>
        <v>-4.6231570906430512</v>
      </c>
      <c r="P117">
        <f>E117-(SUM(K117:L117)*N117)</f>
        <v>25.132714999999735</v>
      </c>
      <c r="Q117">
        <f>P117/(2*H117*J117)</f>
        <v>3.5223460747508026E-2</v>
      </c>
      <c r="R117">
        <f>Q117*16.02</f>
        <v>0.56427984117507857</v>
      </c>
      <c r="AA117" s="21">
        <f t="shared" si="48"/>
        <v>-1.0339110314010469E-3</v>
      </c>
      <c r="AB117">
        <f t="shared" ref="AB117:AB120" si="51">(E117-(SUM(K117:L117)*O117))/(2*H117*J117)*16.02</f>
        <v>0.62166330560374528</v>
      </c>
    </row>
    <row r="118" spans="2:29" x14ac:dyDescent="0.2">
      <c r="C118">
        <v>100000</v>
      </c>
      <c r="D118">
        <v>929.48183500000005</v>
      </c>
      <c r="E118">
        <v>-11355.791174</v>
      </c>
      <c r="F118">
        <v>49824.245480999998</v>
      </c>
      <c r="G118">
        <v>0.41491699999999998</v>
      </c>
      <c r="H118">
        <v>34.851996</v>
      </c>
      <c r="I118">
        <v>139.42975300000001</v>
      </c>
      <c r="J118">
        <v>10.253147999999999</v>
      </c>
      <c r="K118">
        <v>1946</v>
      </c>
      <c r="L118">
        <v>526</v>
      </c>
      <c r="M118">
        <f>L118/(L118+K118)</f>
        <v>0.2127831715210356</v>
      </c>
      <c r="N118">
        <f t="shared" si="49"/>
        <v>-4.604499433656958</v>
      </c>
      <c r="O118">
        <f t="shared" si="50"/>
        <v>-4.6058702117482522</v>
      </c>
      <c r="P118">
        <f>E118-(SUM(K118:L118)*N118)</f>
        <v>26.531425999999556</v>
      </c>
      <c r="Q118">
        <f>P118/(2*H118*J118)</f>
        <v>3.7123226525211009E-2</v>
      </c>
      <c r="R118">
        <f>Q118*16.02</f>
        <v>0.59471408893388034</v>
      </c>
      <c r="AA118" s="21">
        <f t="shared" si="48"/>
        <v>-1.3707780912941558E-3</v>
      </c>
      <c r="AB118">
        <f t="shared" si="51"/>
        <v>0.67067029347462037</v>
      </c>
    </row>
    <row r="119" spans="2:29" x14ac:dyDescent="0.2">
      <c r="C119">
        <v>100000</v>
      </c>
      <c r="D119">
        <v>929.56655000000001</v>
      </c>
      <c r="E119">
        <v>-11506.133605999999</v>
      </c>
      <c r="F119">
        <v>49441.736122000002</v>
      </c>
      <c r="G119">
        <v>0.27787400000000001</v>
      </c>
      <c r="H119">
        <v>34.76258</v>
      </c>
      <c r="I119">
        <v>139.07203200000001</v>
      </c>
      <c r="J119">
        <v>10.226843000000001</v>
      </c>
      <c r="K119">
        <v>1886</v>
      </c>
      <c r="L119">
        <v>586</v>
      </c>
      <c r="M119">
        <f>L119/(L119+K119)</f>
        <v>0.23705501618122976</v>
      </c>
      <c r="N119">
        <f t="shared" si="49"/>
        <v>-4.666700889967637</v>
      </c>
      <c r="O119">
        <f t="shared" si="50"/>
        <v>-4.6668019545444093</v>
      </c>
      <c r="P119">
        <f>E119-(SUM(K119:L119)*N119)</f>
        <v>29.9509939999989</v>
      </c>
      <c r="Q119">
        <f>P119/(2*H119*J119)</f>
        <v>4.2123810884256041E-2</v>
      </c>
      <c r="R119">
        <f>Q119*16.02</f>
        <v>0.67482345036578173</v>
      </c>
      <c r="AA119" s="21">
        <f t="shared" si="48"/>
        <v>-1.0106457677228065E-4</v>
      </c>
      <c r="AB119">
        <f t="shared" si="51"/>
        <v>0.68045238692522692</v>
      </c>
    </row>
    <row r="120" spans="2:29" x14ac:dyDescent="0.2">
      <c r="C120">
        <v>100000</v>
      </c>
      <c r="D120">
        <v>929.81664699999999</v>
      </c>
      <c r="E120">
        <v>-11443.428436</v>
      </c>
      <c r="F120">
        <v>49617.829171999998</v>
      </c>
      <c r="G120">
        <v>-0.240623</v>
      </c>
      <c r="H120">
        <v>34.803801</v>
      </c>
      <c r="I120">
        <v>139.23694399999999</v>
      </c>
      <c r="J120">
        <v>10.23897</v>
      </c>
      <c r="K120">
        <v>1910</v>
      </c>
      <c r="L120">
        <v>562</v>
      </c>
      <c r="M120">
        <f>L120/(L120+K120)</f>
        <v>0.2273462783171521</v>
      </c>
      <c r="N120">
        <f t="shared" si="49"/>
        <v>-4.641820307443365</v>
      </c>
      <c r="O120">
        <f t="shared" si="50"/>
        <v>-4.6424556440485887</v>
      </c>
      <c r="P120">
        <f>E120-(SUM(K120:L120)*N120)</f>
        <v>31.151363999997557</v>
      </c>
      <c r="Q120">
        <f>P120/(2*H120*J120)</f>
        <v>4.3708321060120181E-2</v>
      </c>
      <c r="R120">
        <f>Q120*16.02</f>
        <v>0.70020730338312531</v>
      </c>
      <c r="AA120" s="21">
        <f t="shared" si="48"/>
        <v>-6.3533660522363533E-4</v>
      </c>
      <c r="AB120">
        <f t="shared" si="51"/>
        <v>0.73550951494729144</v>
      </c>
      <c r="AC120">
        <f>AVERAGE(AB116:AB120)</f>
        <v>0.70614944133590263</v>
      </c>
    </row>
    <row r="121" spans="2:29" x14ac:dyDescent="0.2">
      <c r="R121" s="1">
        <f>AVERAGE(R116:R120)</f>
        <v>0.6589278881700229</v>
      </c>
      <c r="S121">
        <f>STDEV(R116:R120)</f>
        <v>7.9653222033103613E-2</v>
      </c>
      <c r="AA121" s="21"/>
    </row>
    <row r="122" spans="2:29" x14ac:dyDescent="0.2">
      <c r="B122" t="s">
        <v>31</v>
      </c>
      <c r="C122">
        <v>100000</v>
      </c>
      <c r="D122">
        <v>929.86658299999999</v>
      </c>
      <c r="E122">
        <v>-14973.117451</v>
      </c>
      <c r="F122">
        <v>64835.267588000002</v>
      </c>
      <c r="G122">
        <v>-3.4188999999999997E-2</v>
      </c>
      <c r="H122">
        <v>28.135119</v>
      </c>
      <c r="I122">
        <v>168.83245099999999</v>
      </c>
      <c r="J122">
        <v>13.649172999999999</v>
      </c>
      <c r="K122">
        <v>2495</v>
      </c>
      <c r="L122">
        <v>737</v>
      </c>
      <c r="M122">
        <f>L122/(L122+K122)</f>
        <v>0.22803217821782179</v>
      </c>
      <c r="N122">
        <f>-4.0592-2.5627*M122</f>
        <v>-4.6435780631188113</v>
      </c>
      <c r="O122">
        <f>-0.6094*M122^3+0.5993*(M122^2) - 2.6874*M122 - 4.0553</f>
        <v>-4.6441767520994244</v>
      </c>
      <c r="P122">
        <f>E122-(SUM(K122:L122)*N122)</f>
        <v>34.926848999997674</v>
      </c>
      <c r="Q122">
        <f>P122/(2*H122*J122)</f>
        <v>4.5475168420597678E-2</v>
      </c>
      <c r="R122">
        <f>Q122*16.02</f>
        <v>0.72851219809797474</v>
      </c>
      <c r="AA122" s="21">
        <f t="shared" ref="AA122:AA126" si="52">O122-N122</f>
        <v>-5.986889806131046E-4</v>
      </c>
      <c r="AB122">
        <f>(E122-(SUM(K122:L122)*O122))/(2*H122*J122)*16.02</f>
        <v>0.76887209406190204</v>
      </c>
    </row>
    <row r="123" spans="2:29" x14ac:dyDescent="0.2">
      <c r="C123">
        <v>100000</v>
      </c>
      <c r="D123">
        <v>929.58250099999998</v>
      </c>
      <c r="E123">
        <v>-14851.104399</v>
      </c>
      <c r="F123">
        <v>65145.416652</v>
      </c>
      <c r="G123">
        <v>-0.34622900000000001</v>
      </c>
      <c r="H123">
        <v>28.179911000000001</v>
      </c>
      <c r="I123">
        <v>169.101235</v>
      </c>
      <c r="J123">
        <v>13.670902999999999</v>
      </c>
      <c r="K123">
        <v>2542</v>
      </c>
      <c r="L123">
        <v>690</v>
      </c>
      <c r="M123">
        <f>L123/(L123+K123)</f>
        <v>0.21349009900990099</v>
      </c>
      <c r="N123">
        <f t="shared" ref="N123:N126" si="53">-4.0592-2.5627*M123</f>
        <v>-4.6063110767326734</v>
      </c>
      <c r="O123">
        <f t="shared" ref="O123:O126" si="54">-0.6094*M123^3+0.5993*(M123^2) - 2.6874*M123 - 4.0553</f>
        <v>-4.6076481234666478</v>
      </c>
      <c r="P123">
        <f>E123-(SUM(K123:L123)*N123)</f>
        <v>36.493001000000731</v>
      </c>
      <c r="Q123">
        <f>P123/(2*H123*J123)</f>
        <v>4.7363388388805959E-2</v>
      </c>
      <c r="R123">
        <f>Q123*16.02</f>
        <v>0.75876148198867144</v>
      </c>
      <c r="AA123" s="21">
        <f t="shared" si="52"/>
        <v>-1.3370467339743897E-3</v>
      </c>
      <c r="AB123">
        <f t="shared" ref="AB123:AB126" si="55">(E123-(SUM(K123:L123)*O123))/(2*H123*J123)*16.02</f>
        <v>0.8486105624277116</v>
      </c>
    </row>
    <row r="124" spans="2:29" x14ac:dyDescent="0.2">
      <c r="C124">
        <v>100000</v>
      </c>
      <c r="D124">
        <v>929.48400300000003</v>
      </c>
      <c r="E124">
        <v>-14878.231097</v>
      </c>
      <c r="F124">
        <v>65035.902522999997</v>
      </c>
      <c r="G124">
        <v>-0.22756899999999999</v>
      </c>
      <c r="H124">
        <v>28.164110999999998</v>
      </c>
      <c r="I124">
        <v>169.00642400000001</v>
      </c>
      <c r="J124">
        <v>13.663238</v>
      </c>
      <c r="K124">
        <v>2533</v>
      </c>
      <c r="L124">
        <v>699</v>
      </c>
      <c r="M124">
        <f>L124/(L124+K124)</f>
        <v>0.21627475247524752</v>
      </c>
      <c r="N124">
        <f t="shared" si="53"/>
        <v>-4.6134473081683165</v>
      </c>
      <c r="O124">
        <f t="shared" si="54"/>
        <v>-4.6146494641942688</v>
      </c>
      <c r="P124">
        <f>E124-(SUM(K124:L124)*N124)</f>
        <v>32.430602999998882</v>
      </c>
      <c r="Q124">
        <f>P124/(2*H124*J124)</f>
        <v>4.2138138621404926E-2</v>
      </c>
      <c r="R124">
        <f>Q124*16.02</f>
        <v>0.67505298071490694</v>
      </c>
      <c r="AA124" s="21">
        <f t="shared" si="52"/>
        <v>-1.2021560259523056E-3</v>
      </c>
      <c r="AB124">
        <f t="shared" si="55"/>
        <v>0.75592811694986262</v>
      </c>
    </row>
    <row r="125" spans="2:29" x14ac:dyDescent="0.2">
      <c r="C125">
        <v>100000</v>
      </c>
      <c r="D125">
        <v>929.67971</v>
      </c>
      <c r="E125">
        <v>-14830.535494</v>
      </c>
      <c r="F125">
        <v>65202.723511999997</v>
      </c>
      <c r="G125">
        <v>5.9930000000000001E-3</v>
      </c>
      <c r="H125">
        <v>28.188171000000001</v>
      </c>
      <c r="I125">
        <v>169.150801</v>
      </c>
      <c r="J125">
        <v>13.674910000000001</v>
      </c>
      <c r="K125">
        <v>2550</v>
      </c>
      <c r="L125">
        <v>682</v>
      </c>
      <c r="M125">
        <f>L125/(L125+K125)</f>
        <v>0.21101485148514851</v>
      </c>
      <c r="N125">
        <f t="shared" si="53"/>
        <v>-4.5999677599009896</v>
      </c>
      <c r="O125">
        <f t="shared" si="54"/>
        <v>-4.6014219908878475</v>
      </c>
      <c r="P125">
        <f>E125-(SUM(K125:L125)*N125)</f>
        <v>36.5603059999994</v>
      </c>
      <c r="Q125">
        <f>P125/(2*H125*J125)</f>
        <v>4.7422937539372038E-2</v>
      </c>
      <c r="R125">
        <f>Q125*16.02</f>
        <v>0.75971545938074003</v>
      </c>
      <c r="AA125" s="21">
        <f t="shared" si="52"/>
        <v>-1.4542309868579295E-3</v>
      </c>
      <c r="AB125">
        <f t="shared" si="55"/>
        <v>0.85738201872287545</v>
      </c>
    </row>
    <row r="126" spans="2:29" x14ac:dyDescent="0.2">
      <c r="C126">
        <v>100000</v>
      </c>
      <c r="D126">
        <v>929.61778200000003</v>
      </c>
      <c r="E126">
        <v>-14855.975877999999</v>
      </c>
      <c r="F126">
        <v>65124.555115000003</v>
      </c>
      <c r="G126">
        <v>0.29186200000000001</v>
      </c>
      <c r="H126">
        <v>28.176901999999998</v>
      </c>
      <c r="I126">
        <v>169.083181</v>
      </c>
      <c r="J126">
        <v>13.669444</v>
      </c>
      <c r="K126">
        <v>2541</v>
      </c>
      <c r="L126">
        <v>691</v>
      </c>
      <c r="M126">
        <f>L126/(L126+K126)</f>
        <v>0.21379950495049505</v>
      </c>
      <c r="N126">
        <f t="shared" si="53"/>
        <v>-4.6071039913366336</v>
      </c>
      <c r="O126">
        <f t="shared" si="54"/>
        <v>-4.608426208832098</v>
      </c>
      <c r="P126">
        <f>E126-(SUM(K126:L126)*N126)</f>
        <v>34.184221999999863</v>
      </c>
      <c r="Q126">
        <f>P126/(2*H126*J126)</f>
        <v>4.4376353547303675E-2</v>
      </c>
      <c r="R126">
        <f>Q126*16.02</f>
        <v>0.71090918382780488</v>
      </c>
      <c r="AA126" s="21">
        <f t="shared" si="52"/>
        <v>-1.3222174954643506E-3</v>
      </c>
      <c r="AB126">
        <f t="shared" si="55"/>
        <v>0.79978071770905013</v>
      </c>
      <c r="AC126">
        <f>AVERAGE(AB122:AB126)</f>
        <v>0.80611470197428048</v>
      </c>
    </row>
    <row r="127" spans="2:29" x14ac:dyDescent="0.2">
      <c r="R127" s="1">
        <f>AVERAGE(R122:R126)</f>
        <v>0.72659026080201961</v>
      </c>
      <c r="S127">
        <f>STDEV(R122:R126)</f>
        <v>3.5489250169376881E-2</v>
      </c>
      <c r="AA127" s="21"/>
    </row>
    <row r="128" spans="2:29" x14ac:dyDescent="0.2">
      <c r="B128" t="s">
        <v>23</v>
      </c>
      <c r="C128">
        <v>100000</v>
      </c>
      <c r="D128">
        <v>929.92164600000001</v>
      </c>
      <c r="E128">
        <v>-13251.374555</v>
      </c>
      <c r="F128">
        <v>58013.346458</v>
      </c>
      <c r="G128">
        <v>0.29126000000000002</v>
      </c>
      <c r="H128">
        <v>32.456882</v>
      </c>
      <c r="I128">
        <v>130.22094300000001</v>
      </c>
      <c r="J128">
        <v>13.725873</v>
      </c>
      <c r="K128">
        <v>2258</v>
      </c>
      <c r="L128">
        <v>622</v>
      </c>
      <c r="M128">
        <f>L128/(L128+K128)</f>
        <v>0.21597222222222223</v>
      </c>
      <c r="N128">
        <f>-4.0592-2.5627*M128</f>
        <v>-4.6126720138888881</v>
      </c>
      <c r="O128">
        <f>-0.6094*M128^3+0.5993*(M128^2) - 2.6874*M128 - 4.0553</f>
        <v>-4.6138889792374638</v>
      </c>
      <c r="P128">
        <f>E128-(SUM(K128:L128)*N128)</f>
        <v>33.120844999997644</v>
      </c>
      <c r="Q128">
        <f>P128/(2*H128*J128)</f>
        <v>3.7172745621517247E-2</v>
      </c>
      <c r="R128">
        <f>Q128*16.02</f>
        <v>0.59550738485670629</v>
      </c>
      <c r="AA128" s="21">
        <f t="shared" ref="AA128:AA132" si="56">O128-N128</f>
        <v>-1.2169653485756271E-3</v>
      </c>
      <c r="AB128">
        <f>(E128-(SUM(K128:L128)*O128))/(2*H128*J128)*16.02</f>
        <v>0.65852419902044912</v>
      </c>
    </row>
    <row r="129" spans="2:29" x14ac:dyDescent="0.2">
      <c r="C129">
        <v>100000</v>
      </c>
      <c r="D129">
        <v>929.68465300000003</v>
      </c>
      <c r="E129">
        <v>-13253.555897</v>
      </c>
      <c r="F129">
        <v>57999.522041999997</v>
      </c>
      <c r="G129">
        <v>1.315E-2</v>
      </c>
      <c r="H129">
        <v>32.454303000000003</v>
      </c>
      <c r="I129">
        <v>130.210598</v>
      </c>
      <c r="J129">
        <v>13.724783</v>
      </c>
      <c r="K129">
        <v>2257</v>
      </c>
      <c r="L129">
        <v>623</v>
      </c>
      <c r="M129">
        <f>L129/(L129+K129)</f>
        <v>0.21631944444444445</v>
      </c>
      <c r="N129">
        <f t="shared" ref="N129:N132" si="57">-4.0592-2.5627*M129</f>
        <v>-4.6135618402777778</v>
      </c>
      <c r="O129">
        <f t="shared" ref="O129:O132" si="58">-0.6094*M129^3+0.5993*(M129^2) - 2.6874*M129 - 4.0553</f>
        <v>-4.6147618053962196</v>
      </c>
      <c r="P129">
        <f>E129-(SUM(K129:L129)*N129)</f>
        <v>33.502203000000009</v>
      </c>
      <c r="Q129">
        <f>P129/(2*H129*J129)</f>
        <v>3.7606732161376631E-2</v>
      </c>
      <c r="R129">
        <f>Q129*16.02</f>
        <v>0.60245984922525364</v>
      </c>
      <c r="AA129" s="21">
        <f t="shared" si="56"/>
        <v>-1.1999651184417814E-3</v>
      </c>
      <c r="AB129">
        <f t="shared" ref="AB129:AB132" si="59">(E129-(SUM(K129:L129)*O129))/(2*H129*J129)*16.02</f>
        <v>0.66460623155347687</v>
      </c>
    </row>
    <row r="130" spans="2:29" x14ac:dyDescent="0.2">
      <c r="C130">
        <v>100000</v>
      </c>
      <c r="D130">
        <v>929.48489900000004</v>
      </c>
      <c r="E130">
        <v>-13303.077561</v>
      </c>
      <c r="F130">
        <v>57891.213828</v>
      </c>
      <c r="G130">
        <v>-1.3081000000000001E-2</v>
      </c>
      <c r="H130">
        <v>32.434089</v>
      </c>
      <c r="I130">
        <v>130.12949499999999</v>
      </c>
      <c r="J130">
        <v>13.716234</v>
      </c>
      <c r="K130">
        <v>2236</v>
      </c>
      <c r="L130">
        <v>644</v>
      </c>
      <c r="M130">
        <f>L130/(L130+K130)</f>
        <v>0.22361111111111112</v>
      </c>
      <c r="N130">
        <f t="shared" si="57"/>
        <v>-4.6322481944444442</v>
      </c>
      <c r="O130">
        <f t="shared" si="58"/>
        <v>-4.6330800373622898</v>
      </c>
      <c r="P130">
        <f>E130-(SUM(K130:L130)*N130)</f>
        <v>37.797238999999536</v>
      </c>
      <c r="Q130">
        <f>P130/(2*H130*J130)</f>
        <v>4.2480878706537849E-2</v>
      </c>
      <c r="R130">
        <f>Q130*16.02</f>
        <v>0.68054367687873629</v>
      </c>
      <c r="AA130" s="21">
        <f t="shared" si="56"/>
        <v>-8.3184291784554887E-4</v>
      </c>
      <c r="AB130">
        <f t="shared" si="59"/>
        <v>0.72367867044640632</v>
      </c>
    </row>
    <row r="131" spans="2:29" x14ac:dyDescent="0.2">
      <c r="C131">
        <v>100000</v>
      </c>
      <c r="D131">
        <v>929.60872700000004</v>
      </c>
      <c r="E131">
        <v>-13275.571175999999</v>
      </c>
      <c r="F131">
        <v>57959.551184000004</v>
      </c>
      <c r="G131">
        <v>0.54216500000000001</v>
      </c>
      <c r="H131">
        <v>32.446845000000003</v>
      </c>
      <c r="I131">
        <v>130.180677</v>
      </c>
      <c r="J131">
        <v>13.721629</v>
      </c>
      <c r="K131">
        <v>2247</v>
      </c>
      <c r="L131">
        <v>633</v>
      </c>
      <c r="M131">
        <f>L131/(L131+K131)</f>
        <v>0.21979166666666666</v>
      </c>
      <c r="N131">
        <f t="shared" si="57"/>
        <v>-4.6224601041666666</v>
      </c>
      <c r="O131">
        <f t="shared" si="58"/>
        <v>-4.6234873891233086</v>
      </c>
      <c r="P131">
        <f>E131-(SUM(K131:L131)*N131)</f>
        <v>37.113924000001134</v>
      </c>
      <c r="Q131">
        <f>P131/(2*H131*J131)</f>
        <v>4.1680097998268113E-2</v>
      </c>
      <c r="R131">
        <f>Q131*16.02</f>
        <v>0.6677151699322551</v>
      </c>
      <c r="AA131" s="21">
        <f t="shared" si="56"/>
        <v>-1.0272849566419495E-3</v>
      </c>
      <c r="AB131">
        <f t="shared" si="59"/>
        <v>0.72094288032609422</v>
      </c>
    </row>
    <row r="132" spans="2:29" x14ac:dyDescent="0.2">
      <c r="C132">
        <v>100000</v>
      </c>
      <c r="D132">
        <v>929.73644000000002</v>
      </c>
      <c r="E132">
        <v>-13161.329587</v>
      </c>
      <c r="F132">
        <v>58248.772158</v>
      </c>
      <c r="G132">
        <v>0.28701900000000002</v>
      </c>
      <c r="H132">
        <v>32.500726999999998</v>
      </c>
      <c r="I132">
        <v>130.39685399999999</v>
      </c>
      <c r="J132">
        <v>13.744415</v>
      </c>
      <c r="K132">
        <v>2292</v>
      </c>
      <c r="L132">
        <v>588</v>
      </c>
      <c r="M132">
        <f>L132/(L132+K132)</f>
        <v>0.20416666666666666</v>
      </c>
      <c r="N132">
        <f t="shared" si="57"/>
        <v>-4.5824179166666665</v>
      </c>
      <c r="O132">
        <f t="shared" si="58"/>
        <v>-4.584182554152199</v>
      </c>
      <c r="P132">
        <f>E132-(SUM(K132:L132)*N132)</f>
        <v>36.034012999998595</v>
      </c>
      <c r="Q132">
        <f>P132/(2*H132*J132)</f>
        <v>4.0333257561625681E-2</v>
      </c>
      <c r="R132">
        <f>Q132*16.02</f>
        <v>0.6461387861372434</v>
      </c>
      <c r="AA132" s="21">
        <f t="shared" si="56"/>
        <v>-1.7646374855324609E-3</v>
      </c>
      <c r="AB132">
        <f t="shared" si="59"/>
        <v>0.73726874387685515</v>
      </c>
      <c r="AC132">
        <f>AVERAGE(AB128:AB132)</f>
        <v>0.70100414504465625</v>
      </c>
    </row>
    <row r="133" spans="2:29" x14ac:dyDescent="0.2">
      <c r="R133" s="1">
        <f>AVERAGE(R128:R132)</f>
        <v>0.63847297340603892</v>
      </c>
      <c r="S133">
        <f>STDEV(R128:R132)</f>
        <v>3.8166745164627876E-2</v>
      </c>
      <c r="AA133" s="21"/>
    </row>
    <row r="134" spans="2:29" x14ac:dyDescent="0.2">
      <c r="B134" t="s">
        <v>32</v>
      </c>
      <c r="C134">
        <v>100000</v>
      </c>
      <c r="D134">
        <v>929.34956299999999</v>
      </c>
      <c r="E134">
        <v>-16934.845883999998</v>
      </c>
      <c r="F134">
        <v>74074.209451000002</v>
      </c>
      <c r="G134">
        <v>0.28689300000000001</v>
      </c>
      <c r="H134">
        <v>26.023076</v>
      </c>
      <c r="I134">
        <v>208.22814600000001</v>
      </c>
      <c r="J134">
        <v>13.670006000000001</v>
      </c>
      <c r="K134">
        <v>2889</v>
      </c>
      <c r="L134">
        <v>791</v>
      </c>
      <c r="M134">
        <f>L134/(L134+K134)</f>
        <v>0.21494565217391304</v>
      </c>
      <c r="N134">
        <f>-4.0592-2.5627*M134</f>
        <v>-4.6100412228260863</v>
      </c>
      <c r="O134">
        <f>-0.6094*M134^3+0.5993*(M134^2) - 2.6874*M134 - 4.0553</f>
        <v>-4.6113081607926452</v>
      </c>
      <c r="P134">
        <f>E134-(SUM(K134:L134)*N134)</f>
        <v>30.105815999999322</v>
      </c>
      <c r="Q134">
        <f>P134/(2*H134*J134)</f>
        <v>4.2314875952678681E-2</v>
      </c>
      <c r="R134">
        <f>Q134*16.02</f>
        <v>0.67788431276191241</v>
      </c>
      <c r="AA134" s="21">
        <f t="shared" ref="AA134:AA138" si="60">O134-N134</f>
        <v>-1.2669379665588565E-3</v>
      </c>
      <c r="AB134">
        <f>(E134-(SUM(K134:L134)*O134))/(2*H134*J134)*16.02</f>
        <v>0.78286474351334312</v>
      </c>
    </row>
    <row r="135" spans="2:29" x14ac:dyDescent="0.2">
      <c r="C135">
        <v>100000</v>
      </c>
      <c r="D135">
        <v>929.48576500000001</v>
      </c>
      <c r="E135">
        <v>-16942.014778000001</v>
      </c>
      <c r="F135">
        <v>74081.378075999994</v>
      </c>
      <c r="G135">
        <v>0.52340699999999996</v>
      </c>
      <c r="H135">
        <v>26.023914999999999</v>
      </c>
      <c r="I135">
        <v>208.234859</v>
      </c>
      <c r="J135">
        <v>13.670446</v>
      </c>
      <c r="K135">
        <v>2887</v>
      </c>
      <c r="L135">
        <v>793</v>
      </c>
      <c r="M135">
        <f>L135/(L135+K135)</f>
        <v>0.2154891304347826</v>
      </c>
      <c r="N135">
        <f t="shared" ref="N135:N138" si="61">-4.0592-2.5627*M135</f>
        <v>-4.6114339945652167</v>
      </c>
      <c r="O135">
        <f t="shared" ref="O135:O138" si="62">-0.6094*M135^3+0.5993*(M135^2) - 2.6874*M135 - 4.0553</f>
        <v>-4.6126745303622849</v>
      </c>
      <c r="P135">
        <f>E135-(SUM(K135:L135)*N135)</f>
        <v>28.062321999997948</v>
      </c>
      <c r="Q135">
        <f>P135/(2*H135*J135)</f>
        <v>3.9440125886502427E-2</v>
      </c>
      <c r="R135">
        <f>Q135*16.02</f>
        <v>0.63183081670176888</v>
      </c>
      <c r="AA135" s="21">
        <f t="shared" si="60"/>
        <v>-1.2405357970681763E-3</v>
      </c>
      <c r="AB135">
        <f t="shared" ref="AB135:AB138" si="63">(E135-(SUM(K135:L135)*O135))/(2*H135*J135)*16.02</f>
        <v>0.73461690063947205</v>
      </c>
    </row>
    <row r="136" spans="2:29" x14ac:dyDescent="0.2">
      <c r="C136">
        <v>100000</v>
      </c>
      <c r="D136">
        <v>929.43463399999996</v>
      </c>
      <c r="E136">
        <v>-16921.186524000001</v>
      </c>
      <c r="F136">
        <v>74119.169941</v>
      </c>
      <c r="G136">
        <v>-0.108713</v>
      </c>
      <c r="H136">
        <v>26.028341000000001</v>
      </c>
      <c r="I136">
        <v>208.270273</v>
      </c>
      <c r="J136">
        <v>13.672770999999999</v>
      </c>
      <c r="K136">
        <v>2895</v>
      </c>
      <c r="L136">
        <v>785</v>
      </c>
      <c r="M136">
        <f>L136/(L136+K136)</f>
        <v>0.21331521739130435</v>
      </c>
      <c r="N136">
        <f t="shared" si="61"/>
        <v>-4.605862907608695</v>
      </c>
      <c r="O136">
        <f t="shared" si="62"/>
        <v>-4.6072083183925034</v>
      </c>
      <c r="P136">
        <f>E136-(SUM(K136:L136)*N136)</f>
        <v>28.388975999998365</v>
      </c>
      <c r="Q136">
        <f>P136/(2*H136*J136)</f>
        <v>3.988565277051094E-2</v>
      </c>
      <c r="R136">
        <f>Q136*16.02</f>
        <v>0.63896815738358526</v>
      </c>
      <c r="AA136" s="21">
        <f t="shared" si="60"/>
        <v>-1.3454107838084539E-3</v>
      </c>
      <c r="AB136">
        <f t="shared" si="63"/>
        <v>0.75040587567223449</v>
      </c>
    </row>
    <row r="137" spans="2:29" x14ac:dyDescent="0.2">
      <c r="C137">
        <v>100000</v>
      </c>
      <c r="D137">
        <v>929.63264000000004</v>
      </c>
      <c r="E137">
        <v>-16906.776936999999</v>
      </c>
      <c r="F137">
        <v>74154.352645000006</v>
      </c>
      <c r="G137">
        <v>-3.5050999999999999E-2</v>
      </c>
      <c r="H137">
        <v>26.032457999999998</v>
      </c>
      <c r="I137">
        <v>208.30321599999999</v>
      </c>
      <c r="J137">
        <v>13.674934</v>
      </c>
      <c r="K137">
        <v>2898</v>
      </c>
      <c r="L137">
        <v>782</v>
      </c>
      <c r="M137">
        <f>L137/(L137+K137)</f>
        <v>0.21249999999999999</v>
      </c>
      <c r="N137">
        <f t="shared" si="61"/>
        <v>-4.6037737499999993</v>
      </c>
      <c r="O137">
        <f t="shared" si="62"/>
        <v>-4.6051579808593752</v>
      </c>
      <c r="P137">
        <f>E137-(SUM(K137:L137)*N137)</f>
        <v>35.110462999997253</v>
      </c>
      <c r="Q137">
        <f>P137/(2*H137*J137)</f>
        <v>4.9313536116408867E-2</v>
      </c>
      <c r="R137">
        <f>Q137*16.02</f>
        <v>0.79000284858487002</v>
      </c>
      <c r="AA137" s="21">
        <f t="shared" si="60"/>
        <v>-1.3842308593758901E-3</v>
      </c>
      <c r="AB137">
        <f t="shared" si="63"/>
        <v>0.90461969271433695</v>
      </c>
    </row>
    <row r="138" spans="2:29" x14ac:dyDescent="0.2">
      <c r="C138">
        <v>100000</v>
      </c>
      <c r="D138">
        <v>929.65218900000002</v>
      </c>
      <c r="E138">
        <v>-17090.692218</v>
      </c>
      <c r="F138">
        <v>73717.393681000001</v>
      </c>
      <c r="G138">
        <v>1.2591E-2</v>
      </c>
      <c r="H138">
        <v>25.981224999999998</v>
      </c>
      <c r="I138">
        <v>207.89326700000001</v>
      </c>
      <c r="J138">
        <v>13.648021</v>
      </c>
      <c r="K138">
        <v>2826</v>
      </c>
      <c r="L138">
        <v>854</v>
      </c>
      <c r="M138">
        <f>L138/(L138+K138)</f>
        <v>0.23206521739130434</v>
      </c>
      <c r="N138">
        <f t="shared" si="61"/>
        <v>-4.6539135326086951</v>
      </c>
      <c r="O138">
        <f t="shared" si="62"/>
        <v>-4.6542933035715519</v>
      </c>
      <c r="P138">
        <f>E138-(SUM(K138:L138)*N138)</f>
        <v>35.7095819999995</v>
      </c>
      <c r="Q138">
        <f>P138/(2*H138*J138)</f>
        <v>5.0353013244106605E-2</v>
      </c>
      <c r="R138">
        <f>Q138*16.02</f>
        <v>0.80665527217058774</v>
      </c>
      <c r="AA138" s="21">
        <f t="shared" si="60"/>
        <v>-3.7977096285679579E-4</v>
      </c>
      <c r="AB138">
        <f t="shared" si="63"/>
        <v>0.83822514150738392</v>
      </c>
      <c r="AC138">
        <f>AVERAGE(AB134:AB138)</f>
        <v>0.80214647080935408</v>
      </c>
    </row>
    <row r="139" spans="2:29" x14ac:dyDescent="0.2">
      <c r="R139" s="1">
        <f>AVERAGE(R134:R138)</f>
        <v>0.70906828152054491</v>
      </c>
      <c r="S139">
        <f>STDEV(R134:R138)</f>
        <v>8.3554949244807011E-2</v>
      </c>
      <c r="AA139" s="21"/>
    </row>
    <row r="140" spans="2:29" x14ac:dyDescent="0.2">
      <c r="B140" t="s">
        <v>22</v>
      </c>
      <c r="C140">
        <v>100000</v>
      </c>
      <c r="D140">
        <v>867.43831399999999</v>
      </c>
      <c r="E140">
        <v>-17439.574742000001</v>
      </c>
      <c r="F140">
        <v>75915.796730000002</v>
      </c>
      <c r="G140">
        <v>0.29383300000000001</v>
      </c>
      <c r="H140">
        <v>30.453665000000001</v>
      </c>
      <c r="I140">
        <v>91.518223000000006</v>
      </c>
      <c r="J140">
        <v>27.238599000000001</v>
      </c>
      <c r="K140">
        <v>2924</v>
      </c>
      <c r="L140">
        <v>852</v>
      </c>
      <c r="M140">
        <f>L140/(L140+K140)</f>
        <v>0.22563559322033899</v>
      </c>
      <c r="N140">
        <f>-4.0592-2.5627*M140</f>
        <v>-4.6374363347457628</v>
      </c>
      <c r="O140">
        <f>-0.6094*M140^3+0.5993*(M140^2) - 2.6874*M140 - 4.0553</f>
        <v>-4.6381623176853353</v>
      </c>
      <c r="P140">
        <f>E140-(SUM(K140:L140)*N140)</f>
        <v>71.384858000001259</v>
      </c>
      <c r="Q140">
        <f>P140/(2*H140*J140)</f>
        <v>4.3028060647002819E-2</v>
      </c>
      <c r="R140">
        <f>Q140*16.02</f>
        <v>0.6893095315649852</v>
      </c>
      <c r="AA140" s="21">
        <f t="shared" ref="AA140:AA144" si="64">O140-N140</f>
        <v>-7.2598293957248927E-4</v>
      </c>
      <c r="AB140">
        <f>(E140-(SUM(K140:L140)*O140))/(2*H140*J140)*16.02</f>
        <v>0.71578030217240429</v>
      </c>
    </row>
    <row r="141" spans="2:29" x14ac:dyDescent="0.2">
      <c r="C141">
        <v>100000</v>
      </c>
      <c r="D141">
        <v>867.60363900000004</v>
      </c>
      <c r="E141">
        <v>-17401.957193999999</v>
      </c>
      <c r="F141">
        <v>75986.046610999998</v>
      </c>
      <c r="G141">
        <v>0.29670999999999997</v>
      </c>
      <c r="H141">
        <v>30.463055000000001</v>
      </c>
      <c r="I141">
        <v>91.546443999999994</v>
      </c>
      <c r="J141">
        <v>27.246998000000001</v>
      </c>
      <c r="K141">
        <v>2941</v>
      </c>
      <c r="L141">
        <v>835</v>
      </c>
      <c r="M141">
        <f>L141/(L141+K141)</f>
        <v>0.22113347457627119</v>
      </c>
      <c r="N141">
        <f t="shared" ref="N141:N144" si="65">-4.0592-2.5627*M141</f>
        <v>-4.6258987552966095</v>
      </c>
      <c r="O141">
        <f t="shared" ref="O141:O144" si="66">-0.6094*M141^3+0.5993*(M141^2) - 2.6874*M141 - 4.0553</f>
        <v>-4.6268580256256406</v>
      </c>
      <c r="P141">
        <f>E141-(SUM(K141:L141)*N141)</f>
        <v>65.43650599999819</v>
      </c>
      <c r="Q141">
        <f>P141/(2*H141*J141)</f>
        <v>3.9418309207441715E-2</v>
      </c>
      <c r="R141">
        <f>Q141*16.02</f>
        <v>0.63148131350321624</v>
      </c>
      <c r="AA141" s="21">
        <f t="shared" si="64"/>
        <v>-9.5927032903109222E-4</v>
      </c>
      <c r="AB141">
        <f t="shared" ref="AB141:AB144" si="67">(E141-(SUM(K141:L141)*O141))/(2*H141*J141)*16.02</f>
        <v>0.66643664289002014</v>
      </c>
    </row>
    <row r="142" spans="2:29" x14ac:dyDescent="0.2">
      <c r="C142">
        <v>100000</v>
      </c>
      <c r="D142">
        <v>867.35160499999995</v>
      </c>
      <c r="E142">
        <v>-17411.875151</v>
      </c>
      <c r="F142">
        <v>75946.411619999999</v>
      </c>
      <c r="G142">
        <v>0.62526000000000004</v>
      </c>
      <c r="H142">
        <v>30.457757999999998</v>
      </c>
      <c r="I142">
        <v>91.530523000000002</v>
      </c>
      <c r="J142">
        <v>27.242260000000002</v>
      </c>
      <c r="K142">
        <v>2937</v>
      </c>
      <c r="L142">
        <v>839</v>
      </c>
      <c r="M142">
        <f>L142/(L142+K142)</f>
        <v>0.2221927966101695</v>
      </c>
      <c r="N142">
        <f t="shared" si="65"/>
        <v>-4.6286134798728806</v>
      </c>
      <c r="O142">
        <f t="shared" si="66"/>
        <v>-4.6295185579487903</v>
      </c>
      <c r="P142">
        <f>E142-(SUM(K142:L142)*N142)</f>
        <v>65.769348999998329</v>
      </c>
      <c r="Q142">
        <f>P142/(2*H142*J142)</f>
        <v>3.9632592531091068E-2</v>
      </c>
      <c r="R142">
        <f>Q142*16.02</f>
        <v>0.63491413234807892</v>
      </c>
      <c r="AA142" s="21">
        <f t="shared" si="64"/>
        <v>-9.0507807590967104E-4</v>
      </c>
      <c r="AB142">
        <f t="shared" si="67"/>
        <v>0.66790619599413636</v>
      </c>
    </row>
    <row r="143" spans="2:29" x14ac:dyDescent="0.2">
      <c r="C143">
        <v>100000</v>
      </c>
      <c r="D143">
        <v>867.41689299999996</v>
      </c>
      <c r="E143">
        <v>-17353.355837999999</v>
      </c>
      <c r="F143">
        <v>76111.327720999994</v>
      </c>
      <c r="G143">
        <v>0.34763300000000003</v>
      </c>
      <c r="H143">
        <v>30.479787999999999</v>
      </c>
      <c r="I143">
        <v>91.596727999999999</v>
      </c>
      <c r="J143">
        <v>27.261965</v>
      </c>
      <c r="K143">
        <v>2959</v>
      </c>
      <c r="L143">
        <v>817</v>
      </c>
      <c r="M143">
        <f>L143/(L143+K143)</f>
        <v>0.21636652542372881</v>
      </c>
      <c r="N143">
        <f t="shared" si="65"/>
        <v>-4.6136824947033892</v>
      </c>
      <c r="O143">
        <f t="shared" si="66"/>
        <v>-4.614880150918645</v>
      </c>
      <c r="P143">
        <f>E143-(SUM(K143:L143)*N143)</f>
        <v>67.909261999997398</v>
      </c>
      <c r="Q143">
        <f>P143/(2*H143*J143)</f>
        <v>4.0862968915850242E-2</v>
      </c>
      <c r="R143">
        <f>Q143*16.02</f>
        <v>0.65462476203192088</v>
      </c>
      <c r="AA143" s="21">
        <f t="shared" si="64"/>
        <v>-1.1976562152558046E-3</v>
      </c>
      <c r="AB143">
        <f t="shared" si="67"/>
        <v>0.69821884801525325</v>
      </c>
    </row>
    <row r="144" spans="2:29" x14ac:dyDescent="0.2">
      <c r="C144">
        <v>100000</v>
      </c>
      <c r="D144">
        <v>867.57780200000002</v>
      </c>
      <c r="E144">
        <v>-17353.214486000001</v>
      </c>
      <c r="F144">
        <v>76118.260156999997</v>
      </c>
      <c r="G144">
        <v>0.24926799999999999</v>
      </c>
      <c r="H144">
        <v>30.480713000000002</v>
      </c>
      <c r="I144">
        <v>91.599508999999998</v>
      </c>
      <c r="J144">
        <v>27.262792000000001</v>
      </c>
      <c r="K144">
        <v>2960</v>
      </c>
      <c r="L144">
        <v>816</v>
      </c>
      <c r="M144">
        <f>L144/(L144+K144)</f>
        <v>0.21610169491525424</v>
      </c>
      <c r="N144">
        <f t="shared" si="65"/>
        <v>-4.6130038135593221</v>
      </c>
      <c r="O144">
        <f t="shared" si="66"/>
        <v>-4.6142144455950946</v>
      </c>
      <c r="P144">
        <f>E144-(SUM(K144:L144)*N144)</f>
        <v>65.487914000001183</v>
      </c>
      <c r="Q144">
        <f>P144/(2*H144*J144)</f>
        <v>3.9403582551247207E-2</v>
      </c>
      <c r="R144">
        <f>Q144*16.02</f>
        <v>0.63124539247098022</v>
      </c>
      <c r="AA144" s="21">
        <f t="shared" si="64"/>
        <v>-1.2106320357725409E-3</v>
      </c>
      <c r="AB144">
        <f t="shared" si="67"/>
        <v>0.67530911784561309</v>
      </c>
      <c r="AC144">
        <f>AVERAGE(AB140:AB144)</f>
        <v>0.68473022138348549</v>
      </c>
    </row>
    <row r="145" spans="2:29" x14ac:dyDescent="0.2">
      <c r="R145" s="1">
        <f>AVERAGE(R140:R144)</f>
        <v>0.64831502638383631</v>
      </c>
      <c r="S145">
        <f>STDEV(R140:R144)</f>
        <v>2.487314048938951E-2</v>
      </c>
      <c r="AA145" s="21"/>
    </row>
    <row r="146" spans="2:29" x14ac:dyDescent="0.2">
      <c r="B146" t="s">
        <v>33</v>
      </c>
      <c r="C146">
        <v>100000</v>
      </c>
      <c r="D146">
        <v>929.56674199999998</v>
      </c>
      <c r="E146">
        <v>-29932.169582999999</v>
      </c>
      <c r="F146">
        <v>130400.113555</v>
      </c>
      <c r="G146">
        <v>0.148147</v>
      </c>
      <c r="H146">
        <v>39.860188999999998</v>
      </c>
      <c r="I146">
        <v>239.22645900000001</v>
      </c>
      <c r="J146">
        <v>13.675060999999999</v>
      </c>
      <c r="K146">
        <v>5065</v>
      </c>
      <c r="L146">
        <v>1423</v>
      </c>
      <c r="M146">
        <f>L146/(L146+K146)</f>
        <v>0.21932799013563503</v>
      </c>
      <c r="N146">
        <f>-4.0592-2.5627*M146</f>
        <v>-4.6212718403205919</v>
      </c>
      <c r="O146">
        <f>-0.6094*M146^3+0.5993*(M146^2) - 2.6874*M146 - 4.0553</f>
        <v>-4.6223224636104998</v>
      </c>
      <c r="P146">
        <f>E146-(SUM(K146:L146)*N146)</f>
        <v>50.642117000003054</v>
      </c>
      <c r="Q146">
        <f>P146/(2*H146*J146)</f>
        <v>4.6452942684917529E-2</v>
      </c>
      <c r="R146">
        <f>Q146*16.02</f>
        <v>0.74417614181237879</v>
      </c>
      <c r="AA146" s="21">
        <f t="shared" ref="AA146:AA150" si="68">O146-N146</f>
        <v>-1.0506232899079038E-3</v>
      </c>
      <c r="AB146">
        <f>(E146-(SUM(K146:L146)*O146))/(2*H146*J146)*16.02</f>
        <v>0.84434247028645615</v>
      </c>
    </row>
    <row r="147" spans="2:29" x14ac:dyDescent="0.2">
      <c r="C147">
        <v>100000</v>
      </c>
      <c r="D147">
        <v>929.56593799999996</v>
      </c>
      <c r="E147">
        <v>-29850.856019999999</v>
      </c>
      <c r="F147">
        <v>130623.82754499999</v>
      </c>
      <c r="G147">
        <v>7.6781000000000002E-2</v>
      </c>
      <c r="H147">
        <v>39.882970999999998</v>
      </c>
      <c r="I147">
        <v>239.36318800000001</v>
      </c>
      <c r="J147">
        <v>13.682877</v>
      </c>
      <c r="K147">
        <v>5097</v>
      </c>
      <c r="L147">
        <v>1391</v>
      </c>
      <c r="M147">
        <f>L147/(L147+K147)</f>
        <v>0.21439580764488286</v>
      </c>
      <c r="N147">
        <f t="shared" ref="N147:N150" si="69">-4.0592-2.5627*M147</f>
        <v>-4.6086321362515408</v>
      </c>
      <c r="O147">
        <f t="shared" ref="O147:O150" si="70">-0.6094*M147^3+0.5993*(M147^2) - 2.6874*M147 - 4.0553</f>
        <v>-4.6099256616178526</v>
      </c>
      <c r="P147">
        <f>E147-(SUM(K147:L147)*N147)</f>
        <v>49.949279999997088</v>
      </c>
      <c r="Q147">
        <f>P147/(2*H147*J147)</f>
        <v>4.5765088978544685E-2</v>
      </c>
      <c r="R147">
        <f>Q147*16.02</f>
        <v>0.73315672543628585</v>
      </c>
      <c r="AA147" s="21">
        <f t="shared" si="68"/>
        <v>-1.2935253663117763E-3</v>
      </c>
      <c r="AB147">
        <f t="shared" ref="AB147:AB150" si="71">(E147-(SUM(K147:L147)*O147))/(2*H147*J147)*16.02</f>
        <v>0.8563404642221053</v>
      </c>
    </row>
    <row r="148" spans="2:29" x14ac:dyDescent="0.2">
      <c r="C148">
        <v>100000</v>
      </c>
      <c r="D148">
        <v>929.73678199999995</v>
      </c>
      <c r="E148">
        <v>-29930.808059999999</v>
      </c>
      <c r="F148">
        <v>130414.330158</v>
      </c>
      <c r="G148">
        <v>-7.4824000000000002E-2</v>
      </c>
      <c r="H148">
        <v>39.861637000000002</v>
      </c>
      <c r="I148">
        <v>239.235152</v>
      </c>
      <c r="J148">
        <v>13.675558000000001</v>
      </c>
      <c r="K148">
        <v>5067</v>
      </c>
      <c r="L148">
        <v>1421</v>
      </c>
      <c r="M148">
        <f>L148/(L148+K148)</f>
        <v>0.219019728729963</v>
      </c>
      <c r="N148">
        <f t="shared" si="69"/>
        <v>-4.6204818588162757</v>
      </c>
      <c r="O148">
        <f t="shared" si="70"/>
        <v>-4.6215479507250983</v>
      </c>
      <c r="P148">
        <f>E148-(SUM(K148:L148)*N148)</f>
        <v>46.878239999998186</v>
      </c>
      <c r="Q148">
        <f>P148/(2*H148*J148)</f>
        <v>4.2997293238868632E-2</v>
      </c>
      <c r="R148">
        <f>Q148*16.02</f>
        <v>0.68881663768667545</v>
      </c>
      <c r="AA148" s="21">
        <f t="shared" si="68"/>
        <v>-1.066091908822564E-3</v>
      </c>
      <c r="AB148">
        <f t="shared" si="71"/>
        <v>0.79045035696713428</v>
      </c>
    </row>
    <row r="149" spans="2:29" x14ac:dyDescent="0.2">
      <c r="C149">
        <v>100000</v>
      </c>
      <c r="D149">
        <v>929.64924399999995</v>
      </c>
      <c r="E149">
        <v>-29812.104789000001</v>
      </c>
      <c r="F149">
        <v>130746.640715</v>
      </c>
      <c r="G149">
        <v>2.5786E-2</v>
      </c>
      <c r="H149">
        <v>39.895465999999999</v>
      </c>
      <c r="I149">
        <v>239.43817899999999</v>
      </c>
      <c r="J149">
        <v>13.687163</v>
      </c>
      <c r="K149">
        <v>5111</v>
      </c>
      <c r="L149">
        <v>1377</v>
      </c>
      <c r="M149">
        <f>L149/(L149+K149)</f>
        <v>0.21223797780517878</v>
      </c>
      <c r="N149">
        <f t="shared" si="69"/>
        <v>-4.603102265721331</v>
      </c>
      <c r="O149">
        <f t="shared" si="70"/>
        <v>-4.6044989144847808</v>
      </c>
      <c r="P149">
        <f>E149-(SUM(K149:L149)*N149)</f>
        <v>52.822710999993433</v>
      </c>
      <c r="Q149">
        <f>P149/(2*H149*J149)</f>
        <v>4.836750769218514E-2</v>
      </c>
      <c r="R149">
        <f>Q149*16.02</f>
        <v>0.77484747322880587</v>
      </c>
      <c r="AA149" s="21">
        <f t="shared" si="68"/>
        <v>-1.3966487634498037E-3</v>
      </c>
      <c r="AB149">
        <f t="shared" si="71"/>
        <v>0.90776846620046292</v>
      </c>
    </row>
    <row r="150" spans="2:29" x14ac:dyDescent="0.2">
      <c r="C150">
        <v>100000</v>
      </c>
      <c r="D150">
        <v>929.57016199999998</v>
      </c>
      <c r="E150">
        <v>-29872.924619000001</v>
      </c>
      <c r="F150">
        <v>130583.085366</v>
      </c>
      <c r="G150">
        <v>4.3087E-2</v>
      </c>
      <c r="H150">
        <v>39.878824000000002</v>
      </c>
      <c r="I150">
        <v>239.33829900000001</v>
      </c>
      <c r="J150">
        <v>13.681454</v>
      </c>
      <c r="K150">
        <v>5086</v>
      </c>
      <c r="L150">
        <v>1402</v>
      </c>
      <c r="M150">
        <f>L150/(L150+K150)</f>
        <v>0.21609124537607891</v>
      </c>
      <c r="N150">
        <f t="shared" si="69"/>
        <v>-4.6129770345252767</v>
      </c>
      <c r="O150">
        <f t="shared" si="70"/>
        <v>-4.6141881779669571</v>
      </c>
      <c r="P150">
        <f>E150-(SUM(K150:L150)*N150)</f>
        <v>56.070380999994086</v>
      </c>
      <c r="Q150">
        <f>P150/(2*H150*J150)</f>
        <v>5.1384118921578029E-2</v>
      </c>
      <c r="R150">
        <f>Q150*16.02</f>
        <v>0.82317358512368</v>
      </c>
      <c r="AA150" s="21">
        <f t="shared" si="68"/>
        <v>-1.2111434416803846E-3</v>
      </c>
      <c r="AB150">
        <f t="shared" si="71"/>
        <v>0.93853600085165612</v>
      </c>
      <c r="AC150">
        <f>AVERAGE(AB146:AB150)</f>
        <v>0.86748755170556291</v>
      </c>
    </row>
    <row r="151" spans="2:29" x14ac:dyDescent="0.2">
      <c r="R151" s="1">
        <f>AVERAGE(R146:R150)</f>
        <v>0.75283411265756517</v>
      </c>
      <c r="S151">
        <f>STDEV(R146:R150)</f>
        <v>4.9981562998548612E-2</v>
      </c>
      <c r="AA151" s="21"/>
    </row>
    <row r="152" spans="2:29" x14ac:dyDescent="0.2">
      <c r="B152" t="s">
        <v>34</v>
      </c>
      <c r="C152">
        <v>100000</v>
      </c>
      <c r="D152">
        <v>929.62659199999996</v>
      </c>
      <c r="E152">
        <v>-15108.914632</v>
      </c>
      <c r="F152">
        <v>66501.311319999993</v>
      </c>
      <c r="G152">
        <v>-7.8828999999999996E-2</v>
      </c>
      <c r="H152">
        <v>24.651513999999999</v>
      </c>
      <c r="I152">
        <v>197.25566900000001</v>
      </c>
      <c r="J152">
        <v>13.675929</v>
      </c>
      <c r="K152">
        <v>2610</v>
      </c>
      <c r="L152">
        <v>686</v>
      </c>
      <c r="M152">
        <f>L152/(L152+K152)</f>
        <v>0.20813106796116504</v>
      </c>
      <c r="N152">
        <f>-4.0592-2.5627*M152</f>
        <v>-4.5925774878640775</v>
      </c>
      <c r="O152">
        <f>-0.6094*M152^3+0.5993*(M152^2) - 2.6874*M152 - 4.0553</f>
        <v>-4.5941649405066141</v>
      </c>
      <c r="P152">
        <f>E152-(SUM(K152:L152)*N152)</f>
        <v>28.220767999999225</v>
      </c>
      <c r="Q152">
        <f>P152/(2*H152*J152)</f>
        <v>4.1854137646790038E-2</v>
      </c>
      <c r="R152">
        <f>Q152*16.02</f>
        <v>0.67050328510157642</v>
      </c>
      <c r="AA152" s="21">
        <f t="shared" ref="AA152:AA156" si="72">O152-N152</f>
        <v>-1.5874526425365687E-3</v>
      </c>
      <c r="AB152">
        <f>(E152-(SUM(K152:L152)*O152))/(2*H152*J152)*16.02</f>
        <v>0.79481729136725143</v>
      </c>
    </row>
    <row r="153" spans="2:29" x14ac:dyDescent="0.2">
      <c r="C153">
        <v>100000</v>
      </c>
      <c r="D153">
        <v>929.60175300000003</v>
      </c>
      <c r="E153">
        <v>-15272.498211</v>
      </c>
      <c r="F153">
        <v>66066.179170000003</v>
      </c>
      <c r="G153">
        <v>0.152804</v>
      </c>
      <c r="H153">
        <v>24.597629999999999</v>
      </c>
      <c r="I153">
        <v>196.82449800000001</v>
      </c>
      <c r="J153">
        <v>13.646034999999999</v>
      </c>
      <c r="K153">
        <v>2545</v>
      </c>
      <c r="L153">
        <v>751</v>
      </c>
      <c r="M153">
        <f>L153/(L153+K153)</f>
        <v>0.22785194174757281</v>
      </c>
      <c r="N153">
        <f t="shared" ref="N153:N156" si="73">-4.0592-2.5627*M153</f>
        <v>-4.643116171116505</v>
      </c>
      <c r="O153">
        <f t="shared" ref="O153:O156" si="74">-0.6094*M153^3+0.5993*(M153^2) - 2.6874*M153 - 4.0553</f>
        <v>-4.6437245068027737</v>
      </c>
      <c r="P153">
        <f>E153-(SUM(K153:L153)*N153)</f>
        <v>31.212688999999955</v>
      </c>
      <c r="Q153">
        <f>P153/(2*H153*J153)</f>
        <v>4.6494485269166282E-2</v>
      </c>
      <c r="R153">
        <f>Q153*16.02</f>
        <v>0.74484165401204383</v>
      </c>
      <c r="AA153" s="21">
        <f t="shared" si="72"/>
        <v>-6.0833568626872392E-4</v>
      </c>
      <c r="AB153">
        <f t="shared" ref="AB153:AB156" si="75">(E153-(SUM(K153:L153)*O153))/(2*H153*J153)*16.02</f>
        <v>0.79268959652211979</v>
      </c>
    </row>
    <row r="154" spans="2:29" x14ac:dyDescent="0.2">
      <c r="C154">
        <v>100000</v>
      </c>
      <c r="D154">
        <v>929.58749899999998</v>
      </c>
      <c r="E154">
        <v>-15091.539052</v>
      </c>
      <c r="F154">
        <v>66537.819806</v>
      </c>
      <c r="G154">
        <v>0.30610300000000001</v>
      </c>
      <c r="H154">
        <v>24.656025</v>
      </c>
      <c r="I154">
        <v>197.29176000000001</v>
      </c>
      <c r="J154">
        <v>13.678431</v>
      </c>
      <c r="K154">
        <v>2616</v>
      </c>
      <c r="L154">
        <v>680</v>
      </c>
      <c r="M154">
        <f>L154/(L154+K154)</f>
        <v>0.20631067961165048</v>
      </c>
      <c r="N154">
        <f t="shared" si="73"/>
        <v>-4.5879123786407767</v>
      </c>
      <c r="O154">
        <f t="shared" si="74"/>
        <v>-4.5895820593713017</v>
      </c>
      <c r="P154">
        <f>E154-(SUM(K154:L154)*N154)</f>
        <v>30.220148000000336</v>
      </c>
      <c r="Q154">
        <f>P154/(2*H154*J154)</f>
        <v>4.4803015503886191E-2</v>
      </c>
      <c r="R154">
        <f>Q154*16.02</f>
        <v>0.71774430837225678</v>
      </c>
      <c r="AA154" s="21">
        <f t="shared" si="72"/>
        <v>-1.6696807305249806E-3</v>
      </c>
      <c r="AB154">
        <f t="shared" si="75"/>
        <v>0.84844979202426141</v>
      </c>
    </row>
    <row r="155" spans="2:29" x14ac:dyDescent="0.2">
      <c r="C155">
        <v>100000</v>
      </c>
      <c r="D155">
        <v>929.52807499999994</v>
      </c>
      <c r="E155">
        <v>-15211.185712</v>
      </c>
      <c r="F155">
        <v>66257.864012999999</v>
      </c>
      <c r="G155">
        <v>-0.195743</v>
      </c>
      <c r="H155">
        <v>24.621396000000001</v>
      </c>
      <c r="I155">
        <v>197.01467199999999</v>
      </c>
      <c r="J155">
        <v>13.659219999999999</v>
      </c>
      <c r="K155">
        <v>2570</v>
      </c>
      <c r="L155">
        <v>726</v>
      </c>
      <c r="M155">
        <f>L155/(L155+K155)</f>
        <v>0.22026699029126215</v>
      </c>
      <c r="N155">
        <f t="shared" si="73"/>
        <v>-4.6236782160194174</v>
      </c>
      <c r="O155">
        <f t="shared" si="74"/>
        <v>-4.6246814882705811</v>
      </c>
      <c r="P155">
        <f>E155-(SUM(K155:L155)*N155)</f>
        <v>28.457687999998598</v>
      </c>
      <c r="Q155">
        <f>P155/(2*H155*J155)</f>
        <v>4.2308832840749711E-2</v>
      </c>
      <c r="R155">
        <f>Q155*16.02</f>
        <v>0.67778750210881034</v>
      </c>
      <c r="AA155" s="21">
        <f t="shared" si="72"/>
        <v>-1.0032722511637004E-3</v>
      </c>
      <c r="AB155">
        <f t="shared" si="75"/>
        <v>0.75654645735135384</v>
      </c>
    </row>
    <row r="156" spans="2:29" x14ac:dyDescent="0.2">
      <c r="C156">
        <v>100000</v>
      </c>
      <c r="D156">
        <v>929.52766599999995</v>
      </c>
      <c r="E156">
        <v>-15132.259752</v>
      </c>
      <c r="F156">
        <v>66457.898908999996</v>
      </c>
      <c r="G156">
        <v>0.32750899999999999</v>
      </c>
      <c r="H156">
        <v>24.646149000000001</v>
      </c>
      <c r="I156">
        <v>197.21273500000001</v>
      </c>
      <c r="J156">
        <v>13.672952</v>
      </c>
      <c r="K156">
        <v>2602</v>
      </c>
      <c r="L156">
        <v>694</v>
      </c>
      <c r="M156">
        <f>L156/(L156+K156)</f>
        <v>0.21055825242718446</v>
      </c>
      <c r="N156">
        <f t="shared" si="73"/>
        <v>-4.5987976334951455</v>
      </c>
      <c r="O156">
        <f t="shared" si="74"/>
        <v>-4.6002731968033101</v>
      </c>
      <c r="P156">
        <f>E156-(SUM(K156:L156)*N156)</f>
        <v>25.377247999998872</v>
      </c>
      <c r="Q156">
        <f>P156/(2*H156*J156)</f>
        <v>3.7653310818920038E-2</v>
      </c>
      <c r="R156">
        <f>Q156*16.02</f>
        <v>0.603206039319099</v>
      </c>
      <c r="AA156" s="21">
        <f t="shared" si="72"/>
        <v>-1.4755633081646735E-3</v>
      </c>
      <c r="AB156">
        <f t="shared" si="75"/>
        <v>0.71880826819426769</v>
      </c>
      <c r="AC156">
        <f>AVERAGE(AB152:AB156)</f>
        <v>0.78226228109185081</v>
      </c>
    </row>
    <row r="157" spans="2:29" x14ac:dyDescent="0.2">
      <c r="R157" s="1">
        <f>AVERAGE(R152:R156)</f>
        <v>0.68281655778275729</v>
      </c>
      <c r="S157">
        <f>STDEV(R152:R156)</f>
        <v>5.380939290365528E-2</v>
      </c>
      <c r="AA157" s="21"/>
    </row>
    <row r="158" spans="2:29" x14ac:dyDescent="0.2">
      <c r="B158" t="s">
        <v>35</v>
      </c>
      <c r="C158">
        <v>100000</v>
      </c>
      <c r="D158">
        <v>929.61384699999996</v>
      </c>
      <c r="E158">
        <v>-21871.703063000001</v>
      </c>
      <c r="F158">
        <v>95672.273579000001</v>
      </c>
      <c r="G158">
        <v>6.6625000000000004E-2</v>
      </c>
      <c r="H158">
        <v>34.160552000000003</v>
      </c>
      <c r="I158">
        <v>204.963314</v>
      </c>
      <c r="J158">
        <v>13.664221</v>
      </c>
      <c r="K158">
        <v>3729</v>
      </c>
      <c r="L158">
        <v>1023</v>
      </c>
      <c r="M158">
        <f>L158/(L158+K158)</f>
        <v>0.21527777777777779</v>
      </c>
      <c r="N158">
        <f>-4.0592-2.5627*M158</f>
        <v>-4.6108923611111106</v>
      </c>
      <c r="O158">
        <f>-0.6094*M158^3+0.5993*(M158^2) - 2.6874*M158 - 4.0553</f>
        <v>-4.61214317886499</v>
      </c>
      <c r="P158">
        <f>E158-(SUM(K158:L158)*N158)</f>
        <v>39.257436999996571</v>
      </c>
      <c r="Q158">
        <f>P158/(2*H158*J158)</f>
        <v>4.2051567533228258E-2</v>
      </c>
      <c r="R158">
        <f>Q158*16.02</f>
        <v>0.67366611188231673</v>
      </c>
      <c r="AA158" s="21">
        <f t="shared" ref="AA158:AA162" si="76">O158-N158</f>
        <v>-1.250817753879474E-3</v>
      </c>
      <c r="AB158">
        <f>(E158-(SUM(K158:L158)*O158))/(2*H158*J158)*16.02</f>
        <v>0.7756644809679446</v>
      </c>
    </row>
    <row r="159" spans="2:29" x14ac:dyDescent="0.2">
      <c r="C159">
        <v>100000</v>
      </c>
      <c r="D159">
        <v>929.58817299999998</v>
      </c>
      <c r="E159">
        <v>-21815.336452</v>
      </c>
      <c r="F159">
        <v>95763.265937000004</v>
      </c>
      <c r="G159">
        <v>-0.149696</v>
      </c>
      <c r="H159">
        <v>34.171379000000002</v>
      </c>
      <c r="I159">
        <v>205.02827300000001</v>
      </c>
      <c r="J159">
        <v>13.668552</v>
      </c>
      <c r="K159">
        <v>3753</v>
      </c>
      <c r="L159">
        <v>999</v>
      </c>
      <c r="M159">
        <f>L159/(L159+K159)</f>
        <v>0.21022727272727273</v>
      </c>
      <c r="N159">
        <f t="shared" ref="N159:N162" si="77">-4.0592-2.5627*M159</f>
        <v>-4.5979494318181811</v>
      </c>
      <c r="O159">
        <f t="shared" ref="O159:O162" si="78">-0.6094*M159^3+0.5993*(M159^2) - 2.6874*M159 - 4.0553</f>
        <v>-4.5994404026504387</v>
      </c>
      <c r="P159">
        <f>E159-(SUM(K159:L159)*N159)</f>
        <v>34.119247999995423</v>
      </c>
      <c r="Q159">
        <f>P159/(2*H159*J159)</f>
        <v>3.6524513534582408E-2</v>
      </c>
      <c r="R159">
        <f>Q159*16.02</f>
        <v>0.58512270682401013</v>
      </c>
      <c r="AA159" s="21">
        <f t="shared" si="76"/>
        <v>-1.4909708322576876E-3</v>
      </c>
      <c r="AB159">
        <f t="shared" ref="AB159:AB162" si="79">(E159-(SUM(K159:L159)*O159))/(2*H159*J159)*16.02</f>
        <v>0.70662740778691679</v>
      </c>
    </row>
    <row r="160" spans="2:29" x14ac:dyDescent="0.2">
      <c r="C160">
        <v>100000</v>
      </c>
      <c r="D160">
        <v>929.68787299999997</v>
      </c>
      <c r="E160">
        <v>-21874.974898</v>
      </c>
      <c r="F160">
        <v>95647.051091999994</v>
      </c>
      <c r="G160">
        <v>-9.2854999999999993E-2</v>
      </c>
      <c r="H160">
        <v>34.157550999999998</v>
      </c>
      <c r="I160">
        <v>204.94530499999999</v>
      </c>
      <c r="J160">
        <v>13.663019999999999</v>
      </c>
      <c r="K160">
        <v>3726</v>
      </c>
      <c r="L160">
        <v>1026</v>
      </c>
      <c r="M160">
        <f>L160/(L160+K160)</f>
        <v>0.21590909090909091</v>
      </c>
      <c r="N160">
        <f t="shared" si="77"/>
        <v>-4.6125102272727272</v>
      </c>
      <c r="O160">
        <f t="shared" si="78"/>
        <v>-4.6137302782799585</v>
      </c>
      <c r="P160">
        <f>E160-(SUM(K160:L160)*N160)</f>
        <v>43.673702000000048</v>
      </c>
      <c r="Q160">
        <f>P160/(2*H160*J160)</f>
        <v>4.6790380971712363E-2</v>
      </c>
      <c r="R160">
        <f>Q160*16.02</f>
        <v>0.74958190316683204</v>
      </c>
      <c r="AA160" s="21">
        <f t="shared" si="76"/>
        <v>-1.2200510072313264E-3</v>
      </c>
      <c r="AB160">
        <f t="shared" si="79"/>
        <v>0.84908887413817935</v>
      </c>
    </row>
    <row r="161" spans="2:29" x14ac:dyDescent="0.2">
      <c r="C161">
        <v>100000</v>
      </c>
      <c r="D161">
        <v>929.50287300000002</v>
      </c>
      <c r="E161">
        <v>-21853.359911</v>
      </c>
      <c r="F161">
        <v>95676.527864999996</v>
      </c>
      <c r="G161">
        <v>8.0645999999999995E-2</v>
      </c>
      <c r="H161">
        <v>34.161059000000002</v>
      </c>
      <c r="I161">
        <v>204.96635499999999</v>
      </c>
      <c r="J161">
        <v>13.664424</v>
      </c>
      <c r="K161">
        <v>3734</v>
      </c>
      <c r="L161">
        <v>1018</v>
      </c>
      <c r="M161">
        <f>L161/(L161+K161)</f>
        <v>0.21422558922558924</v>
      </c>
      <c r="N161">
        <f t="shared" si="77"/>
        <v>-4.6081959175084171</v>
      </c>
      <c r="O161">
        <f t="shared" si="78"/>
        <v>-4.609497648298392</v>
      </c>
      <c r="P161">
        <f>E161-(SUM(K161:L161)*N161)</f>
        <v>44.78708899999765</v>
      </c>
      <c r="Q161">
        <f>P161/(2*H161*J161)</f>
        <v>4.7973365319506092E-2</v>
      </c>
      <c r="R161">
        <f>Q161*16.02</f>
        <v>0.76853331241848755</v>
      </c>
      <c r="AA161" s="21">
        <f t="shared" si="76"/>
        <v>-1.3017307899749753E-3</v>
      </c>
      <c r="AB161">
        <f t="shared" si="79"/>
        <v>0.87468025037778774</v>
      </c>
    </row>
    <row r="162" spans="2:29" x14ac:dyDescent="0.2">
      <c r="C162">
        <v>100000</v>
      </c>
      <c r="D162">
        <v>929.51132800000005</v>
      </c>
      <c r="E162">
        <v>-21822.122373999999</v>
      </c>
      <c r="F162">
        <v>95781.719031999994</v>
      </c>
      <c r="G162">
        <v>-0.112994</v>
      </c>
      <c r="H162">
        <v>34.173574000000002</v>
      </c>
      <c r="I162">
        <v>205.04144199999999</v>
      </c>
      <c r="J162">
        <v>13.669428999999999</v>
      </c>
      <c r="K162">
        <v>3745</v>
      </c>
      <c r="L162">
        <v>1007</v>
      </c>
      <c r="M162">
        <f>L162/(L162+K162)</f>
        <v>0.21191077441077441</v>
      </c>
      <c r="N162">
        <f t="shared" si="77"/>
        <v>-4.6022637415824912</v>
      </c>
      <c r="O162">
        <f t="shared" si="78"/>
        <v>-4.6036758566113116</v>
      </c>
      <c r="P162">
        <f>E162-(SUM(K162:L162)*N162)</f>
        <v>47.834925999999541</v>
      </c>
      <c r="Q162">
        <f>P162/(2*H162*J162)</f>
        <v>5.1200515772272137E-2</v>
      </c>
      <c r="R162">
        <f>Q162*16.02</f>
        <v>0.82023226267179961</v>
      </c>
      <c r="AA162" s="21">
        <f t="shared" si="76"/>
        <v>-1.4121150288204376E-3</v>
      </c>
      <c r="AB162">
        <f t="shared" si="79"/>
        <v>0.93529593967029834</v>
      </c>
      <c r="AC162">
        <f>AVERAGE(AB158:AB162)</f>
        <v>0.82827139058822519</v>
      </c>
    </row>
    <row r="163" spans="2:29" x14ac:dyDescent="0.2">
      <c r="R163" s="1">
        <f>AVERAGE(R158:R162)</f>
        <v>0.71942725939268926</v>
      </c>
      <c r="S163">
        <f>STDEV(R158:R162)</f>
        <v>9.1670812057544335E-2</v>
      </c>
    </row>
    <row r="165" spans="2:29" x14ac:dyDescent="0.2">
      <c r="B165" t="s">
        <v>65</v>
      </c>
    </row>
    <row r="166" spans="2:29" x14ac:dyDescent="0.2">
      <c r="C166" t="s">
        <v>52</v>
      </c>
      <c r="D166" t="s">
        <v>13</v>
      </c>
      <c r="E166" t="s">
        <v>4</v>
      </c>
      <c r="F166" t="s">
        <v>5</v>
      </c>
      <c r="G166" t="s">
        <v>14</v>
      </c>
      <c r="H166" t="s">
        <v>15</v>
      </c>
      <c r="I166" t="s">
        <v>16</v>
      </c>
      <c r="J166" t="s">
        <v>17</v>
      </c>
      <c r="K166" t="s">
        <v>18</v>
      </c>
      <c r="L166" t="s">
        <v>19</v>
      </c>
      <c r="M166" t="s">
        <v>9</v>
      </c>
      <c r="N166" t="s">
        <v>20</v>
      </c>
      <c r="O166" t="s">
        <v>68</v>
      </c>
      <c r="P166" t="s">
        <v>8</v>
      </c>
      <c r="Q166" t="s">
        <v>21</v>
      </c>
      <c r="R166" t="s">
        <v>21</v>
      </c>
    </row>
    <row r="167" spans="2:29" x14ac:dyDescent="0.2">
      <c r="B167" t="s">
        <v>25</v>
      </c>
      <c r="C167">
        <v>100000</v>
      </c>
      <c r="D167">
        <v>867.575244</v>
      </c>
      <c r="E167">
        <v>-18932.735588</v>
      </c>
      <c r="F167">
        <v>76250.839936000004</v>
      </c>
      <c r="G167">
        <v>0.423037</v>
      </c>
      <c r="H167">
        <v>30.637937000000001</v>
      </c>
      <c r="I167">
        <v>183.87072699999999</v>
      </c>
      <c r="J167">
        <v>13.535437</v>
      </c>
      <c r="K167">
        <v>2685</v>
      </c>
      <c r="L167">
        <v>1219</v>
      </c>
      <c r="M167">
        <f>L167/(L167+K167)</f>
        <v>0.31224385245901637</v>
      </c>
      <c r="N167">
        <f>-4.0289-2.6537*M167</f>
        <v>-4.8575015112704918</v>
      </c>
      <c r="O167">
        <f>-0.6094*M167^3+0.5993*(M167^2) - 2.6874*M167 - 4.0553</f>
        <v>-4.8545463606582571</v>
      </c>
      <c r="P167">
        <f>E167-(SUM(K167:L167)*N167)</f>
        <v>30.950312000000849</v>
      </c>
      <c r="Q167">
        <f>P167/(2*H167*J167)</f>
        <v>3.7316700340239518E-2</v>
      </c>
      <c r="R167">
        <f>Q167*16.02</f>
        <v>0.59781353945063709</v>
      </c>
      <c r="AA167" s="21">
        <f>O167-N167</f>
        <v>2.9551506122347249E-3</v>
      </c>
      <c r="AB167">
        <f>(E167-(SUM(K167:L167)*O167))/(2*H167*J167)*16.02</f>
        <v>0.3749750814759148</v>
      </c>
    </row>
    <row r="168" spans="2:29" x14ac:dyDescent="0.2">
      <c r="C168">
        <v>100000</v>
      </c>
      <c r="D168">
        <v>867.295838</v>
      </c>
      <c r="E168">
        <v>-18762.876157999999</v>
      </c>
      <c r="F168">
        <v>76644.416096999994</v>
      </c>
      <c r="G168">
        <v>0.64131700000000003</v>
      </c>
      <c r="H168">
        <v>30.690560000000001</v>
      </c>
      <c r="I168">
        <v>184.18653800000001</v>
      </c>
      <c r="J168">
        <v>13.558686</v>
      </c>
      <c r="K168">
        <v>2750</v>
      </c>
      <c r="L168">
        <v>1154</v>
      </c>
      <c r="M168">
        <f>L168/(L168+K168)</f>
        <v>0.29559426229508196</v>
      </c>
      <c r="N168">
        <f t="shared" ref="N168:N171" si="80">-4.0289-2.6537*M168</f>
        <v>-4.8133184938524591</v>
      </c>
      <c r="O168">
        <f t="shared" ref="O168:O171" si="81">-0.6094*M168^3+0.5993*(M168^2) - 2.6874*M168 - 4.0553</f>
        <v>-4.8130550854396938</v>
      </c>
      <c r="P168">
        <f>E168-(SUM(K168:L168)*N168)</f>
        <v>28.319242000001395</v>
      </c>
      <c r="Q168">
        <f>P168/(2*H168*J168)</f>
        <v>3.4027434991053013E-2</v>
      </c>
      <c r="R168">
        <f>Q168*16.02</f>
        <v>0.54511950855666924</v>
      </c>
      <c r="AA168" s="21">
        <f t="shared" ref="AA168:AA171" si="82">O168-N168</f>
        <v>2.6340841276528693E-4</v>
      </c>
      <c r="AB168">
        <f t="shared" ref="AB168:AB171" si="83">(E168-(SUM(K168:L168)*O168))/(2*H168*J168)*16.02</f>
        <v>0.52532478001584826</v>
      </c>
    </row>
    <row r="169" spans="2:29" x14ac:dyDescent="0.2">
      <c r="C169">
        <v>100000</v>
      </c>
      <c r="D169">
        <v>867.69726500000002</v>
      </c>
      <c r="E169">
        <v>-18931.414488999999</v>
      </c>
      <c r="F169">
        <v>76281.818171999999</v>
      </c>
      <c r="G169">
        <v>0.18573400000000001</v>
      </c>
      <c r="H169">
        <v>30.642085999999999</v>
      </c>
      <c r="I169">
        <v>183.89562599999999</v>
      </c>
      <c r="J169">
        <v>13.537269999999999</v>
      </c>
      <c r="K169">
        <v>2685</v>
      </c>
      <c r="L169">
        <v>1219</v>
      </c>
      <c r="M169">
        <f>L169/(L169+K169)</f>
        <v>0.31224385245901637</v>
      </c>
      <c r="N169">
        <f t="shared" si="80"/>
        <v>-4.8575015112704918</v>
      </c>
      <c r="O169">
        <f t="shared" si="81"/>
        <v>-4.8545463606582571</v>
      </c>
      <c r="P169">
        <f>E169-(SUM(K169:L169)*N169)</f>
        <v>32.271411000001535</v>
      </c>
      <c r="Q169">
        <f>P169/(2*H169*J169)</f>
        <v>3.8899009303250819E-2</v>
      </c>
      <c r="R169">
        <f>Q169*16.02</f>
        <v>0.62316212903807811</v>
      </c>
      <c r="AA169" s="21">
        <f t="shared" si="82"/>
        <v>2.9551506122347249E-3</v>
      </c>
      <c r="AB169">
        <f t="shared" si="83"/>
        <v>0.40038401296291964</v>
      </c>
    </row>
    <row r="170" spans="2:29" x14ac:dyDescent="0.2">
      <c r="C170">
        <v>100000</v>
      </c>
      <c r="D170">
        <v>867.52799400000004</v>
      </c>
      <c r="E170">
        <v>-18744.420094000001</v>
      </c>
      <c r="F170">
        <v>76697.341117999997</v>
      </c>
      <c r="G170">
        <v>0.43784699999999999</v>
      </c>
      <c r="H170">
        <v>30.697623</v>
      </c>
      <c r="I170">
        <v>184.228927</v>
      </c>
      <c r="J170">
        <v>13.561806000000001</v>
      </c>
      <c r="K170">
        <v>2759</v>
      </c>
      <c r="L170">
        <v>1145</v>
      </c>
      <c r="M170">
        <f>L170/(L170+K170)</f>
        <v>0.2932889344262295</v>
      </c>
      <c r="N170">
        <f t="shared" si="80"/>
        <v>-4.8072008452868857</v>
      </c>
      <c r="O170">
        <f t="shared" si="81"/>
        <v>-4.8073079480817729</v>
      </c>
      <c r="P170">
        <f>E170-(SUM(K170:L170)*N170)</f>
        <v>22.892006000001857</v>
      </c>
      <c r="Q170">
        <f>P170/(2*H170*J170)</f>
        <v>2.749359808602829E-2</v>
      </c>
      <c r="R170">
        <f>Q170*16.02</f>
        <v>0.44044744133817321</v>
      </c>
      <c r="AA170" s="21">
        <f t="shared" si="82"/>
        <v>-1.0710279488712615E-4</v>
      </c>
      <c r="AB170">
        <f t="shared" si="83"/>
        <v>0.44849234510428243</v>
      </c>
    </row>
    <row r="171" spans="2:29" x14ac:dyDescent="0.2">
      <c r="C171">
        <v>100000</v>
      </c>
      <c r="D171">
        <v>867.46470699999998</v>
      </c>
      <c r="E171">
        <v>-18855.375448999999</v>
      </c>
      <c r="F171">
        <v>76424.602293999997</v>
      </c>
      <c r="G171">
        <v>0.36368499999999998</v>
      </c>
      <c r="H171">
        <v>30.661192</v>
      </c>
      <c r="I171">
        <v>184.010291</v>
      </c>
      <c r="J171">
        <v>13.545711000000001</v>
      </c>
      <c r="K171">
        <v>2715</v>
      </c>
      <c r="L171">
        <v>1189</v>
      </c>
      <c r="M171">
        <f>L171/(L171+K171)</f>
        <v>0.30455942622950821</v>
      </c>
      <c r="N171">
        <f t="shared" si="80"/>
        <v>-4.8371093493852459</v>
      </c>
      <c r="O171">
        <f t="shared" si="81"/>
        <v>-4.8353995233186957</v>
      </c>
      <c r="P171">
        <f>E171-(SUM(K171:L171)*N171)</f>
        <v>28.699451000000408</v>
      </c>
      <c r="Q171">
        <f>P171/(2*H171*J171)</f>
        <v>3.4550374016575236E-2</v>
      </c>
      <c r="R171">
        <f>Q171*16.02</f>
        <v>0.55349699174553524</v>
      </c>
      <c r="AA171" s="21">
        <f t="shared" si="82"/>
        <v>1.7098260665502352E-3</v>
      </c>
      <c r="AB171">
        <f t="shared" si="83"/>
        <v>0.42475998165822576</v>
      </c>
      <c r="AC171">
        <f>AVERAGE(AB167:AB171)</f>
        <v>0.43478724024343818</v>
      </c>
    </row>
    <row r="172" spans="2:29" x14ac:dyDescent="0.2">
      <c r="R172" s="1">
        <f>AVERAGE(R167:R171)</f>
        <v>0.55200792202581861</v>
      </c>
      <c r="S172">
        <f>STDEV(R167:R171)</f>
        <v>7.0100792048347682E-2</v>
      </c>
      <c r="AA172" s="21"/>
    </row>
    <row r="173" spans="2:29" x14ac:dyDescent="0.2">
      <c r="B173" t="s">
        <v>30</v>
      </c>
      <c r="C173">
        <v>100000</v>
      </c>
      <c r="D173">
        <v>930.04845799999998</v>
      </c>
      <c r="E173">
        <v>-15144.008153000001</v>
      </c>
      <c r="F173">
        <v>62393.543814999997</v>
      </c>
      <c r="G173">
        <v>-0.19945599999999999</v>
      </c>
      <c r="H173">
        <v>23.975719000000002</v>
      </c>
      <c r="I173">
        <v>191.84895499999999</v>
      </c>
      <c r="J173">
        <v>13.564641</v>
      </c>
      <c r="K173">
        <v>2264</v>
      </c>
      <c r="L173">
        <v>904</v>
      </c>
      <c r="M173">
        <f>L173/(L173+K173)</f>
        <v>0.28535353535353536</v>
      </c>
      <c r="N173">
        <f>-4.0289-2.6537*M173</f>
        <v>-4.7861426767676774</v>
      </c>
      <c r="O173">
        <f>-0.6094*M173^3+0.5993*(M173^2) - 2.6874*M173 - 4.0553</f>
        <v>-4.7875197458238388</v>
      </c>
      <c r="P173">
        <f>E173-(SUM(K173:L173)*N173)</f>
        <v>18.491847000001144</v>
      </c>
      <c r="Q173">
        <f>P173/(2*H173*J173)</f>
        <v>2.8429573965929666E-2</v>
      </c>
      <c r="R173">
        <f>Q173*16.02</f>
        <v>0.45544177493419324</v>
      </c>
      <c r="AA173" s="21">
        <f t="shared" ref="AA173:AA177" si="84">O173-N173</f>
        <v>-1.3770690561614174E-3</v>
      </c>
      <c r="AB173">
        <f>(E173-(SUM(K173:L173)*O173))/(2*H173*J173)*16.02</f>
        <v>0.56288856960319444</v>
      </c>
    </row>
    <row r="174" spans="2:29" x14ac:dyDescent="0.2">
      <c r="C174">
        <v>100000</v>
      </c>
      <c r="D174">
        <v>929.80049399999996</v>
      </c>
      <c r="E174">
        <v>-15219.635915000001</v>
      </c>
      <c r="F174">
        <v>62241.339985999999</v>
      </c>
      <c r="G174">
        <v>0.34975000000000001</v>
      </c>
      <c r="H174">
        <v>23.956208</v>
      </c>
      <c r="I174">
        <v>191.692826</v>
      </c>
      <c r="J174">
        <v>13.553602</v>
      </c>
      <c r="K174">
        <v>2232</v>
      </c>
      <c r="L174">
        <v>936</v>
      </c>
      <c r="M174">
        <f>L174/(L174+K174)</f>
        <v>0.29545454545454547</v>
      </c>
      <c r="N174">
        <f t="shared" ref="N174:N177" si="85">-4.0289-2.6537*M174</f>
        <v>-4.8129477272727277</v>
      </c>
      <c r="O174">
        <f t="shared" ref="O174:O177" si="86">-0.6094*M174^3+0.5993*(M174^2) - 2.6874*M174 - 4.0553</f>
        <v>-4.8127067923553719</v>
      </c>
      <c r="P174">
        <f>E174-(SUM(K174:L174)*N174)</f>
        <v>27.782484999999724</v>
      </c>
      <c r="Q174">
        <f>P174/(2*H174*J174)</f>
        <v>4.2782709845055347E-2</v>
      </c>
      <c r="R174">
        <f>Q174*16.02</f>
        <v>0.68537901171778659</v>
      </c>
      <c r="AA174" s="21">
        <f t="shared" si="84"/>
        <v>2.4093491735577288E-4</v>
      </c>
      <c r="AB174">
        <f t="shared" ref="AB174:AB177" si="87">(E174-(SUM(K174:L174)*O174))/(2*H174*J174)*16.02</f>
        <v>0.66654925843227997</v>
      </c>
    </row>
    <row r="175" spans="2:29" x14ac:dyDescent="0.2">
      <c r="C175">
        <v>100000</v>
      </c>
      <c r="D175">
        <v>929.75917700000002</v>
      </c>
      <c r="E175">
        <v>-15231.367197</v>
      </c>
      <c r="F175">
        <v>62206.875411000001</v>
      </c>
      <c r="G175">
        <v>0.51832900000000004</v>
      </c>
      <c r="H175">
        <v>23.951785000000001</v>
      </c>
      <c r="I175">
        <v>191.65743699999999</v>
      </c>
      <c r="J175">
        <v>13.5511</v>
      </c>
      <c r="K175">
        <v>2229</v>
      </c>
      <c r="L175">
        <v>939</v>
      </c>
      <c r="M175">
        <f>L175/(L175+K175)</f>
        <v>0.29640151515151514</v>
      </c>
      <c r="N175">
        <f t="shared" si="85"/>
        <v>-4.8154607007575763</v>
      </c>
      <c r="O175">
        <f t="shared" si="86"/>
        <v>-4.8150674007718193</v>
      </c>
      <c r="P175">
        <f>E175-(SUM(K175:L175)*N175)</f>
        <v>24.012303000001339</v>
      </c>
      <c r="Q175">
        <f>P175/(2*H175*J175)</f>
        <v>3.6990600736715777E-2</v>
      </c>
      <c r="R175">
        <f>Q175*16.02</f>
        <v>0.59258942380218671</v>
      </c>
      <c r="AA175" s="21">
        <f t="shared" si="84"/>
        <v>3.9329998575698966E-4</v>
      </c>
      <c r="AB175">
        <f t="shared" si="87"/>
        <v>0.56184055206635863</v>
      </c>
    </row>
    <row r="176" spans="2:29" x14ac:dyDescent="0.2">
      <c r="C176">
        <v>100000</v>
      </c>
      <c r="D176">
        <v>929.54950199999996</v>
      </c>
      <c r="E176">
        <v>-15209.815613999999</v>
      </c>
      <c r="F176">
        <v>62239.291036000002</v>
      </c>
      <c r="G176">
        <v>0.78803699999999999</v>
      </c>
      <c r="H176">
        <v>23.955945</v>
      </c>
      <c r="I176">
        <v>191.69072399999999</v>
      </c>
      <c r="J176">
        <v>13.553454</v>
      </c>
      <c r="K176">
        <v>2238</v>
      </c>
      <c r="L176">
        <v>930</v>
      </c>
      <c r="M176">
        <f>L176/(L176+K176)</f>
        <v>0.29356060606060608</v>
      </c>
      <c r="N176">
        <f t="shared" si="85"/>
        <v>-4.8079217803030305</v>
      </c>
      <c r="O176">
        <f t="shared" si="86"/>
        <v>-4.8079852541603296</v>
      </c>
      <c r="P176">
        <f>E176-(SUM(K176:L176)*N176)</f>
        <v>21.680586000002222</v>
      </c>
      <c r="Q176">
        <f>P176/(2*H176*J176)</f>
        <v>3.3387025386623428E-2</v>
      </c>
      <c r="R176">
        <f>Q176*16.02</f>
        <v>0.53486014669370729</v>
      </c>
      <c r="AA176" s="21">
        <f t="shared" si="84"/>
        <v>-6.3473857299101155E-5</v>
      </c>
      <c r="AB176">
        <f t="shared" si="87"/>
        <v>0.53982091891781425</v>
      </c>
    </row>
    <row r="177" spans="2:29" x14ac:dyDescent="0.2">
      <c r="C177">
        <v>100000</v>
      </c>
      <c r="D177">
        <v>929.72039500000005</v>
      </c>
      <c r="E177">
        <v>-15188.591316</v>
      </c>
      <c r="F177">
        <v>62282.585554999998</v>
      </c>
      <c r="G177">
        <v>4.3524E-2</v>
      </c>
      <c r="H177">
        <v>23.961497999999999</v>
      </c>
      <c r="I177">
        <v>191.73515900000001</v>
      </c>
      <c r="J177">
        <v>13.556595</v>
      </c>
      <c r="K177">
        <v>2247</v>
      </c>
      <c r="L177">
        <v>921</v>
      </c>
      <c r="M177">
        <f>L177/(L177+K177)</f>
        <v>0.29071969696969696</v>
      </c>
      <c r="N177">
        <f t="shared" si="85"/>
        <v>-4.8003828598484848</v>
      </c>
      <c r="O177">
        <f t="shared" si="86"/>
        <v>-4.8009020968873601</v>
      </c>
      <c r="P177">
        <f>E177-(SUM(K177:L177)*N177)</f>
        <v>19.021584000000075</v>
      </c>
      <c r="Q177">
        <f>P177/(2*H177*J177)</f>
        <v>2.9278720690749521E-2</v>
      </c>
      <c r="R177">
        <f>Q177*16.02</f>
        <v>0.4690451054658073</v>
      </c>
      <c r="AA177" s="21">
        <f t="shared" si="84"/>
        <v>-5.1923703887535311E-4</v>
      </c>
      <c r="AB177">
        <f t="shared" si="87"/>
        <v>0.50960704995905437</v>
      </c>
      <c r="AC177">
        <f>AVERAGE(AB173:AB177)</f>
        <v>0.56814126979574042</v>
      </c>
    </row>
    <row r="178" spans="2:29" x14ac:dyDescent="0.2">
      <c r="R178" s="1">
        <f>AVERAGE(R173:R177)</f>
        <v>0.54746309252273617</v>
      </c>
      <c r="S178">
        <f>STDEV(R173:R177)</f>
        <v>9.4648460593028727E-2</v>
      </c>
      <c r="AA178" s="21"/>
    </row>
    <row r="179" spans="2:29" x14ac:dyDescent="0.2">
      <c r="B179" t="s">
        <v>24</v>
      </c>
      <c r="C179">
        <v>100000</v>
      </c>
      <c r="D179">
        <v>929.66675399999997</v>
      </c>
      <c r="E179">
        <v>-11885.495671000001</v>
      </c>
      <c r="F179">
        <v>48544.813064000002</v>
      </c>
      <c r="G179">
        <v>-1.5476E-2</v>
      </c>
      <c r="H179">
        <v>34.551085999999998</v>
      </c>
      <c r="I179">
        <v>138.22592499999999</v>
      </c>
      <c r="J179">
        <v>10.164623000000001</v>
      </c>
      <c r="K179">
        <v>1736</v>
      </c>
      <c r="L179">
        <v>736</v>
      </c>
      <c r="M179">
        <f>L179/(L179+K179)</f>
        <v>0.29773462783171523</v>
      </c>
      <c r="N179">
        <f>-4.0289-2.6537*M179</f>
        <v>-4.818998381877023</v>
      </c>
      <c r="O179">
        <f>-0.6094*M179^3+0.5993*(M179^2) - 2.6874*M179 - 4.0553</f>
        <v>-4.8183904135623452</v>
      </c>
      <c r="P179">
        <f>E179-(SUM(K179:L179)*N179)</f>
        <v>27.068328999999721</v>
      </c>
      <c r="Q179">
        <f>P179/(2*H179*J179)</f>
        <v>3.8537050551646315E-2</v>
      </c>
      <c r="R179">
        <f>Q179*16.02</f>
        <v>0.61736354983737396</v>
      </c>
      <c r="AA179" s="21">
        <f t="shared" ref="AA179:AA183" si="88">O179-N179</f>
        <v>6.0796831467779811E-4</v>
      </c>
      <c r="AB179">
        <f>(E179-(SUM(K179:L179)*O179))/(2*H179*J179)*16.02</f>
        <v>0.58308606477389524</v>
      </c>
    </row>
    <row r="180" spans="2:29" x14ac:dyDescent="0.2">
      <c r="C180">
        <v>100000</v>
      </c>
      <c r="D180">
        <v>929.80644600000005</v>
      </c>
      <c r="E180">
        <v>-11930.001687</v>
      </c>
      <c r="F180">
        <v>48459.442253000001</v>
      </c>
      <c r="G180">
        <v>0.41830499999999998</v>
      </c>
      <c r="H180">
        <v>34.530821000000003</v>
      </c>
      <c r="I180">
        <v>138.14485199999999</v>
      </c>
      <c r="J180">
        <v>10.158661</v>
      </c>
      <c r="K180">
        <v>1718</v>
      </c>
      <c r="L180">
        <v>754</v>
      </c>
      <c r="M180">
        <f>L180/(L180+K180)</f>
        <v>0.30501618122977348</v>
      </c>
      <c r="N180">
        <f t="shared" ref="N180:N183" si="89">-4.0289-2.6537*M180</f>
        <v>-4.8383214401294499</v>
      </c>
      <c r="O180">
        <f t="shared" ref="O180:O183" si="90">-0.6094*M180^3+0.5993*(M180^2) - 2.6874*M180 - 4.0553</f>
        <v>-4.8365377170945862</v>
      </c>
      <c r="P180">
        <f>E180-(SUM(K180:L180)*N180)</f>
        <v>30.328912999999375</v>
      </c>
      <c r="Q180">
        <f>P180/(2*H180*J180)</f>
        <v>4.3229825006422272E-2</v>
      </c>
      <c r="R180">
        <f>Q180*16.02</f>
        <v>0.69254179660288473</v>
      </c>
      <c r="AA180" s="21">
        <f t="shared" si="88"/>
        <v>1.7837230348636268E-3</v>
      </c>
      <c r="AB180">
        <f t="shared" ref="AB180:AB183" si="91">(E180-(SUM(K180:L180)*O180))/(2*H180*J180)*16.02</f>
        <v>0.59185673707340336</v>
      </c>
    </row>
    <row r="181" spans="2:29" x14ac:dyDescent="0.2">
      <c r="C181">
        <v>100000</v>
      </c>
      <c r="D181">
        <v>929.91212399999995</v>
      </c>
      <c r="E181">
        <v>-11801.862058999999</v>
      </c>
      <c r="F181">
        <v>48751.272154999999</v>
      </c>
      <c r="G181">
        <v>0.63849900000000004</v>
      </c>
      <c r="H181">
        <v>34.599998999999997</v>
      </c>
      <c r="I181">
        <v>138.42160699999999</v>
      </c>
      <c r="J181">
        <v>10.179012999999999</v>
      </c>
      <c r="K181">
        <v>1769</v>
      </c>
      <c r="L181">
        <v>703</v>
      </c>
      <c r="M181">
        <f>L181/(L181+K181)</f>
        <v>0.28438511326860844</v>
      </c>
      <c r="N181">
        <f t="shared" si="89"/>
        <v>-4.7835727750809065</v>
      </c>
      <c r="O181">
        <f t="shared" si="90"/>
        <v>-4.7851041959233029</v>
      </c>
      <c r="P181">
        <f>E181-(SUM(K181:L181)*N181)</f>
        <v>23.129841000001761</v>
      </c>
      <c r="Q181">
        <f>P181/(2*H181*J181)</f>
        <v>3.2836805187866032E-2</v>
      </c>
      <c r="R181">
        <f>Q181*16.02</f>
        <v>0.52604561910961378</v>
      </c>
      <c r="AA181" s="21">
        <f t="shared" si="88"/>
        <v>-1.5314208423964359E-3</v>
      </c>
      <c r="AB181">
        <f t="shared" si="91"/>
        <v>0.61214376135730697</v>
      </c>
    </row>
    <row r="182" spans="2:29" x14ac:dyDescent="0.2">
      <c r="C182">
        <v>100000</v>
      </c>
      <c r="D182">
        <v>929.909943</v>
      </c>
      <c r="E182">
        <v>-11882.907311000001</v>
      </c>
      <c r="F182">
        <v>48559.290931000003</v>
      </c>
      <c r="G182">
        <v>0.34384399999999998</v>
      </c>
      <c r="H182">
        <v>34.554521000000001</v>
      </c>
      <c r="I182">
        <v>138.239666</v>
      </c>
      <c r="J182">
        <v>10.165634000000001</v>
      </c>
      <c r="K182">
        <v>1735</v>
      </c>
      <c r="L182">
        <v>737</v>
      </c>
      <c r="M182">
        <f>L182/(L182+K182)</f>
        <v>0.29813915857605178</v>
      </c>
      <c r="N182">
        <f t="shared" si="89"/>
        <v>-4.8200718851132685</v>
      </c>
      <c r="O182">
        <f t="shared" si="90"/>
        <v>-4.8193987370183313</v>
      </c>
      <c r="P182">
        <f>E182-(SUM(K182:L182)*N182)</f>
        <v>32.310388999998395</v>
      </c>
      <c r="Q182">
        <f>P182/(2*H182*J182)</f>
        <v>4.5990999131947874E-2</v>
      </c>
      <c r="R182">
        <f>Q182*16.02</f>
        <v>0.73677580609380489</v>
      </c>
      <c r="AA182" s="21">
        <f t="shared" si="88"/>
        <v>6.7314809493712602E-4</v>
      </c>
      <c r="AB182">
        <f t="shared" si="91"/>
        <v>0.69883100706268808</v>
      </c>
    </row>
    <row r="183" spans="2:29" x14ac:dyDescent="0.2">
      <c r="C183">
        <v>100000</v>
      </c>
      <c r="D183">
        <v>929.69183899999996</v>
      </c>
      <c r="E183">
        <v>-11819.278619000001</v>
      </c>
      <c r="F183">
        <v>48699.119750999998</v>
      </c>
      <c r="G183">
        <v>0.19670899999999999</v>
      </c>
      <c r="H183">
        <v>34.587656000000003</v>
      </c>
      <c r="I183">
        <v>138.372229</v>
      </c>
      <c r="J183">
        <v>10.175382000000001</v>
      </c>
      <c r="K183">
        <v>1762</v>
      </c>
      <c r="L183">
        <v>710</v>
      </c>
      <c r="M183">
        <f>L183/(L183+K183)</f>
        <v>0.2872168284789644</v>
      </c>
      <c r="N183">
        <f t="shared" si="89"/>
        <v>-4.7910872977346282</v>
      </c>
      <c r="O183">
        <f t="shared" si="90"/>
        <v>-4.7921669794861295</v>
      </c>
      <c r="P183">
        <f>E183-(SUM(K183:L183)*N183)</f>
        <v>24.289181000000099</v>
      </c>
      <c r="Q183">
        <f>P183/(2*H183*J183)</f>
        <v>3.4507303395758013E-2</v>
      </c>
      <c r="R183">
        <f>Q183*16.02</f>
        <v>0.55280700040004338</v>
      </c>
      <c r="AA183" s="21">
        <f t="shared" si="88"/>
        <v>-1.0796817515013046E-3</v>
      </c>
      <c r="AB183">
        <f t="shared" si="91"/>
        <v>0.61355121068994856</v>
      </c>
      <c r="AC183">
        <f>AVERAGE(AB179:AB183)</f>
        <v>0.61989375619144838</v>
      </c>
    </row>
    <row r="184" spans="2:29" x14ac:dyDescent="0.2">
      <c r="R184" s="1">
        <f>AVERAGE(R179:R183)</f>
        <v>0.62510675440874408</v>
      </c>
      <c r="S184">
        <f>STDEV(R179:R183)</f>
        <v>8.9607173531855364E-2</v>
      </c>
      <c r="AA184" s="21"/>
    </row>
    <row r="185" spans="2:29" x14ac:dyDescent="0.2">
      <c r="B185" t="s">
        <v>31</v>
      </c>
      <c r="C185">
        <v>100000</v>
      </c>
      <c r="D185">
        <v>929.39540699999998</v>
      </c>
      <c r="E185">
        <v>-15578.692024</v>
      </c>
      <c r="F185">
        <v>63392.599750000001</v>
      </c>
      <c r="G185">
        <v>0.16139500000000001</v>
      </c>
      <c r="H185">
        <v>27.924872000000001</v>
      </c>
      <c r="I185">
        <v>167.57080300000001</v>
      </c>
      <c r="J185">
        <v>13.547176</v>
      </c>
      <c r="K185">
        <v>2255</v>
      </c>
      <c r="L185">
        <v>977</v>
      </c>
      <c r="M185">
        <f>L185/(L185+K185)</f>
        <v>0.30228960396039606</v>
      </c>
      <c r="N185">
        <f>-4.0289-2.6537*M185</f>
        <v>-4.8310859220297031</v>
      </c>
      <c r="O185">
        <f>-0.6094*M185^3+0.5993*(M185^2) - 2.6874*M185 - 4.0553</f>
        <v>-4.8297430535441706</v>
      </c>
      <c r="P185">
        <f>E185-(SUM(K185:L185)*N185)</f>
        <v>35.377676000000065</v>
      </c>
      <c r="Q185">
        <f>P185/(2*H185*J185)</f>
        <v>4.6758367543603609E-2</v>
      </c>
      <c r="R185">
        <f>Q185*16.02</f>
        <v>0.74906904804852981</v>
      </c>
      <c r="AA185" s="21">
        <f t="shared" ref="AA185:AA189" si="92">O185-N185</f>
        <v>1.3428684855325557E-3</v>
      </c>
      <c r="AB185">
        <f>(E185-(SUM(K185:L185)*O185))/(2*H185*J185)*16.02</f>
        <v>0.65717288344633962</v>
      </c>
    </row>
    <row r="186" spans="2:29" x14ac:dyDescent="0.2">
      <c r="C186">
        <v>100000</v>
      </c>
      <c r="D186">
        <v>929.60631100000001</v>
      </c>
      <c r="E186">
        <v>-15556.706528000001</v>
      </c>
      <c r="F186">
        <v>63445.367704999997</v>
      </c>
      <c r="G186">
        <v>0.31371599999999999</v>
      </c>
      <c r="H186">
        <v>27.932618000000002</v>
      </c>
      <c r="I186">
        <v>167.61728500000001</v>
      </c>
      <c r="J186">
        <v>13.550934</v>
      </c>
      <c r="K186">
        <v>2265</v>
      </c>
      <c r="L186">
        <v>967</v>
      </c>
      <c r="M186">
        <f>L186/(L186+K186)</f>
        <v>0.29919554455445546</v>
      </c>
      <c r="N186">
        <f t="shared" ref="N186:N189" si="93">-4.0289-2.6537*M186</f>
        <v>-4.8228752165841584</v>
      </c>
      <c r="O186">
        <f t="shared" ref="O186:O189" si="94">-0.6094*M186^3+0.5993*(M186^2) - 2.6874*M186 - 4.0553</f>
        <v>-4.8220317758163658</v>
      </c>
      <c r="P186">
        <f>E186-(SUM(K186:L186)*N186)</f>
        <v>30.826171999999133</v>
      </c>
      <c r="Q186">
        <f>P186/(2*H186*J186)</f>
        <v>4.0720090026103363E-2</v>
      </c>
      <c r="R186">
        <f>Q186*16.02</f>
        <v>0.65233584221817587</v>
      </c>
      <c r="AA186" s="21">
        <f t="shared" si="92"/>
        <v>8.4344076779263588E-4</v>
      </c>
      <c r="AB186">
        <f t="shared" ref="AB186:AB189" si="95">(E186-(SUM(K186:L186)*O186))/(2*H186*J186)*16.02</f>
        <v>0.59464889126697007</v>
      </c>
    </row>
    <row r="187" spans="2:29" x14ac:dyDescent="0.2">
      <c r="C187">
        <v>100000</v>
      </c>
      <c r="D187">
        <v>929.76961700000004</v>
      </c>
      <c r="E187">
        <v>-15544.040724</v>
      </c>
      <c r="F187">
        <v>63458.255839999998</v>
      </c>
      <c r="G187">
        <v>0.41012900000000002</v>
      </c>
      <c r="H187">
        <v>27.934508999999998</v>
      </c>
      <c r="I187">
        <v>167.62863400000001</v>
      </c>
      <c r="J187">
        <v>13.551850999999999</v>
      </c>
      <c r="K187">
        <v>2268</v>
      </c>
      <c r="L187">
        <v>964</v>
      </c>
      <c r="M187">
        <f>L187/(L187+K187)</f>
        <v>0.29826732673267325</v>
      </c>
      <c r="N187">
        <f t="shared" si="93"/>
        <v>-4.8204120049504953</v>
      </c>
      <c r="O187">
        <f t="shared" si="94"/>
        <v>-4.8197182021211971</v>
      </c>
      <c r="P187">
        <f>E187-(SUM(K187:L187)*N187)</f>
        <v>35.530876000000717</v>
      </c>
      <c r="Q187">
        <f>P187/(2*H187*J187)</f>
        <v>4.6928455285238133E-2</v>
      </c>
      <c r="R187">
        <f>Q187*16.02</f>
        <v>0.7517938536695149</v>
      </c>
      <c r="AA187" s="21">
        <f t="shared" si="92"/>
        <v>6.938028292982068E-4</v>
      </c>
      <c r="AB187">
        <f t="shared" si="95"/>
        <v>0.70434778047933566</v>
      </c>
    </row>
    <row r="188" spans="2:29" x14ac:dyDescent="0.2">
      <c r="C188">
        <v>100000</v>
      </c>
      <c r="D188">
        <v>929.89974400000006</v>
      </c>
      <c r="E188">
        <v>-15541.807925999999</v>
      </c>
      <c r="F188">
        <v>63470.644872999997</v>
      </c>
      <c r="G188">
        <v>0.182944</v>
      </c>
      <c r="H188">
        <v>27.936326999999999</v>
      </c>
      <c r="I188">
        <v>167.63954200000001</v>
      </c>
      <c r="J188">
        <v>13.552733</v>
      </c>
      <c r="K188">
        <v>2270</v>
      </c>
      <c r="L188">
        <v>962</v>
      </c>
      <c r="M188">
        <f>L188/(L188+K188)</f>
        <v>0.29764851485148514</v>
      </c>
      <c r="N188">
        <f t="shared" si="93"/>
        <v>-4.8187698638613865</v>
      </c>
      <c r="O188">
        <f t="shared" si="94"/>
        <v>-4.8181757681356112</v>
      </c>
      <c r="P188">
        <f>E188-(SUM(K188:L188)*N188)</f>
        <v>32.45627400000194</v>
      </c>
      <c r="Q188">
        <f>P188/(2*H188*J188)</f>
        <v>4.2862004485821739E-2</v>
      </c>
      <c r="R188">
        <f>Q188*16.02</f>
        <v>0.68664931186286426</v>
      </c>
      <c r="AA188" s="21">
        <f t="shared" si="92"/>
        <v>5.9409572577528991E-4</v>
      </c>
      <c r="AB188">
        <f t="shared" si="95"/>
        <v>0.64602704938164124</v>
      </c>
    </row>
    <row r="189" spans="2:29" x14ac:dyDescent="0.2">
      <c r="C189">
        <v>100000</v>
      </c>
      <c r="D189">
        <v>930.08667000000003</v>
      </c>
      <c r="E189">
        <v>-15509.230549</v>
      </c>
      <c r="F189">
        <v>63531.195202000003</v>
      </c>
      <c r="G189">
        <v>0.18106900000000001</v>
      </c>
      <c r="H189">
        <v>27.945208000000001</v>
      </c>
      <c r="I189">
        <v>167.69283300000001</v>
      </c>
      <c r="J189">
        <v>13.557041999999999</v>
      </c>
      <c r="K189">
        <v>2284</v>
      </c>
      <c r="L189">
        <v>948</v>
      </c>
      <c r="M189">
        <f>L189/(L189+K189)</f>
        <v>0.2933168316831683</v>
      </c>
      <c r="N189">
        <f t="shared" si="93"/>
        <v>-4.8072748762376243</v>
      </c>
      <c r="O189">
        <f t="shared" si="94"/>
        <v>-4.8073774993177807</v>
      </c>
      <c r="P189">
        <f>E189-(SUM(K189:L189)*N189)</f>
        <v>27.881851000001916</v>
      </c>
      <c r="Q189">
        <f>P189/(2*H189*J189)</f>
        <v>3.6797585101523402E-2</v>
      </c>
      <c r="R189">
        <f>Q189*16.02</f>
        <v>0.58949731332640487</v>
      </c>
      <c r="AA189" s="21">
        <f t="shared" si="92"/>
        <v>-1.0262308015640542E-4</v>
      </c>
      <c r="AB189">
        <f t="shared" si="95"/>
        <v>0.59650987390143018</v>
      </c>
      <c r="AC189">
        <f>AVERAGE(AB185:AB189)</f>
        <v>0.63974129569514326</v>
      </c>
    </row>
    <row r="190" spans="2:29" x14ac:dyDescent="0.2">
      <c r="R190" s="1">
        <f>AVERAGE(R185:R189)</f>
        <v>0.68586907382509787</v>
      </c>
      <c r="S190">
        <f>STDEV(R185:R189)</f>
        <v>6.8470643261170347E-2</v>
      </c>
      <c r="AA190" s="21"/>
    </row>
    <row r="191" spans="2:29" x14ac:dyDescent="0.2">
      <c r="B191" t="s">
        <v>23</v>
      </c>
      <c r="C191">
        <v>100000</v>
      </c>
      <c r="D191">
        <v>929.55696399999999</v>
      </c>
      <c r="E191">
        <v>-13806.437984</v>
      </c>
      <c r="F191">
        <v>56684.604484000003</v>
      </c>
      <c r="G191">
        <v>0.57611699999999999</v>
      </c>
      <c r="H191">
        <v>32.207166999999998</v>
      </c>
      <c r="I191">
        <v>129.21905899999999</v>
      </c>
      <c r="J191">
        <v>13.62027</v>
      </c>
      <c r="K191">
        <v>2037</v>
      </c>
      <c r="L191">
        <v>843</v>
      </c>
      <c r="M191">
        <f>L191/(L191+K191)</f>
        <v>0.29270833333333335</v>
      </c>
      <c r="N191">
        <f>-4.0289-2.6537*M191</f>
        <v>-4.8056601041666669</v>
      </c>
      <c r="O191">
        <f>-0.6094*M191^3+0.5993*(M191^2) - 2.6874*M191 - 4.0553</f>
        <v>-4.80586041691239</v>
      </c>
      <c r="P191">
        <f>E191-(SUM(K191:L191)*N191)</f>
        <v>33.863116000000446</v>
      </c>
      <c r="Q191">
        <f>P191/(2*H191*J191)</f>
        <v>3.8597455983886753E-2</v>
      </c>
      <c r="R191">
        <f>Q191*16.02</f>
        <v>0.61833124486186575</v>
      </c>
      <c r="AA191" s="21">
        <f t="shared" ref="AA191:AA195" si="96">O191-N191</f>
        <v>-2.0031274572307467E-4</v>
      </c>
      <c r="AB191">
        <f>(E191-(SUM(K191:L191)*O191))/(2*H191*J191)*16.02</f>
        <v>0.6288652941426085</v>
      </c>
    </row>
    <row r="192" spans="2:29" x14ac:dyDescent="0.2">
      <c r="C192">
        <v>100000</v>
      </c>
      <c r="D192">
        <v>929.76384099999996</v>
      </c>
      <c r="E192">
        <v>-13912.509695999999</v>
      </c>
      <c r="F192">
        <v>56430.368485999999</v>
      </c>
      <c r="G192">
        <v>0.31260900000000003</v>
      </c>
      <c r="H192">
        <v>32.158945000000003</v>
      </c>
      <c r="I192">
        <v>129.02558300000001</v>
      </c>
      <c r="J192">
        <v>13.599876999999999</v>
      </c>
      <c r="K192">
        <v>1995</v>
      </c>
      <c r="L192">
        <v>885</v>
      </c>
      <c r="M192">
        <f>L192/(L192+K192)</f>
        <v>0.30729166666666669</v>
      </c>
      <c r="N192">
        <f t="shared" ref="N192:N195" si="97">-4.0289-2.6537*M192</f>
        <v>-4.8443598958333336</v>
      </c>
      <c r="O192">
        <f t="shared" ref="O192:O195" si="98">-0.6094*M192^3+0.5993*(M192^2) - 2.6874*M192 - 4.0553</f>
        <v>-4.8422077769244156</v>
      </c>
      <c r="P192">
        <f>E192-(SUM(K192:L192)*N192)</f>
        <v>39.246804000002157</v>
      </c>
      <c r="Q192">
        <f>P192/(2*H192*J192)</f>
        <v>4.4868084314722986E-2</v>
      </c>
      <c r="R192">
        <f>Q192*16.02</f>
        <v>0.71878671072186218</v>
      </c>
      <c r="AA192" s="21">
        <f t="shared" si="96"/>
        <v>2.1521189089179771E-3</v>
      </c>
      <c r="AB192">
        <f t="shared" ref="AB192:AB195" si="99">(E192-(SUM(K192:L192)*O192))/(2*H192*J192)*16.02</f>
        <v>0.60527138656259671</v>
      </c>
    </row>
    <row r="193" spans="2:29" x14ac:dyDescent="0.2">
      <c r="C193">
        <v>100000</v>
      </c>
      <c r="D193">
        <v>929.41167499999995</v>
      </c>
      <c r="E193">
        <v>-13908.012005</v>
      </c>
      <c r="F193">
        <v>56444.552968999997</v>
      </c>
      <c r="G193">
        <v>0.26782</v>
      </c>
      <c r="H193">
        <v>32.161639000000001</v>
      </c>
      <c r="I193">
        <v>129.036395</v>
      </c>
      <c r="J193">
        <v>13.601016</v>
      </c>
      <c r="K193">
        <v>1999</v>
      </c>
      <c r="L193">
        <v>881</v>
      </c>
      <c r="M193">
        <f>L193/(L193+K193)</f>
        <v>0.3059027777777778</v>
      </c>
      <c r="N193">
        <f t="shared" si="97"/>
        <v>-4.8406742013888895</v>
      </c>
      <c r="O193">
        <f t="shared" si="98"/>
        <v>-4.8387469893442745</v>
      </c>
      <c r="P193">
        <f>E193-(SUM(K193:L193)*N193)</f>
        <v>33.129695000001448</v>
      </c>
      <c r="Q193">
        <f>P193/(2*H193*J193)</f>
        <v>3.7868483861118414E-2</v>
      </c>
      <c r="R193">
        <f>Q193*16.02</f>
        <v>0.60665311145511702</v>
      </c>
      <c r="AA193" s="21">
        <f t="shared" si="96"/>
        <v>1.9272120446149898E-3</v>
      </c>
      <c r="AB193">
        <f t="shared" si="99"/>
        <v>0.50501771614276103</v>
      </c>
    </row>
    <row r="194" spans="2:29" x14ac:dyDescent="0.2">
      <c r="C194">
        <v>100000</v>
      </c>
      <c r="D194">
        <v>929.53834700000004</v>
      </c>
      <c r="E194">
        <v>-13929.575161000001</v>
      </c>
      <c r="F194">
        <v>56394.718568999997</v>
      </c>
      <c r="G194">
        <v>0.31210700000000002</v>
      </c>
      <c r="H194">
        <v>32.152171000000003</v>
      </c>
      <c r="I194">
        <v>128.99840699999999</v>
      </c>
      <c r="J194">
        <v>13.597011999999999</v>
      </c>
      <c r="K194">
        <v>1989</v>
      </c>
      <c r="L194">
        <v>891</v>
      </c>
      <c r="M194">
        <f>L194/(L194+K194)</f>
        <v>0.30937500000000001</v>
      </c>
      <c r="N194">
        <f t="shared" si="97"/>
        <v>-4.8498884375000006</v>
      </c>
      <c r="O194">
        <f t="shared" si="98"/>
        <v>-4.8473986900207517</v>
      </c>
      <c r="P194">
        <f>E194-(SUM(K194:L194)*N194)</f>
        <v>38.103539000001547</v>
      </c>
      <c r="Q194">
        <f>P194/(2*H194*J194)</f>
        <v>4.3579428910636667E-2</v>
      </c>
      <c r="R194">
        <f>Q194*16.02</f>
        <v>0.69814245114839935</v>
      </c>
      <c r="AA194" s="21">
        <f t="shared" si="96"/>
        <v>2.4897474792489049E-3</v>
      </c>
      <c r="AB194">
        <f t="shared" si="99"/>
        <v>0.56676327886831257</v>
      </c>
    </row>
    <row r="195" spans="2:29" x14ac:dyDescent="0.2">
      <c r="C195">
        <v>100000</v>
      </c>
      <c r="D195">
        <v>929.29543799999999</v>
      </c>
      <c r="E195">
        <v>-13711.888913999999</v>
      </c>
      <c r="F195">
        <v>56910.531171000002</v>
      </c>
      <c r="G195">
        <v>0.11215899999999999</v>
      </c>
      <c r="H195">
        <v>32.249899999999997</v>
      </c>
      <c r="I195">
        <v>129.39050599999999</v>
      </c>
      <c r="J195">
        <v>13.638341</v>
      </c>
      <c r="K195">
        <v>2075</v>
      </c>
      <c r="L195">
        <v>805</v>
      </c>
      <c r="M195">
        <f>L195/(L195+K195)</f>
        <v>0.2795138888888889</v>
      </c>
      <c r="N195">
        <f t="shared" si="97"/>
        <v>-4.7706460069444443</v>
      </c>
      <c r="O195">
        <f t="shared" si="98"/>
        <v>-4.7729515011205264</v>
      </c>
      <c r="P195">
        <f>E195-(SUM(K195:L195)*N195)</f>
        <v>27.571586000000025</v>
      </c>
      <c r="Q195">
        <f>P195/(2*H195*J195)</f>
        <v>3.1343091882940648E-2</v>
      </c>
      <c r="R195">
        <f>Q195*16.02</f>
        <v>0.50211633196470917</v>
      </c>
      <c r="AA195" s="21">
        <f t="shared" si="96"/>
        <v>-2.3054941760820569E-3</v>
      </c>
      <c r="AB195">
        <f t="shared" si="99"/>
        <v>0.62303660414977413</v>
      </c>
      <c r="AC195">
        <f>AVERAGE(AB191:AB195)</f>
        <v>0.58579085597321057</v>
      </c>
    </row>
    <row r="196" spans="2:29" x14ac:dyDescent="0.2">
      <c r="R196" s="1">
        <f>AVERAGE(R191:R195)</f>
        <v>0.62880597003039063</v>
      </c>
      <c r="S196">
        <f>STDEV(R191:R195)</f>
        <v>8.5957569057122832E-2</v>
      </c>
      <c r="AA196" s="21"/>
    </row>
    <row r="197" spans="2:29" x14ac:dyDescent="0.2">
      <c r="B197" t="s">
        <v>32</v>
      </c>
      <c r="C197">
        <v>100000</v>
      </c>
      <c r="D197">
        <v>929.63758700000005</v>
      </c>
      <c r="E197">
        <v>-17567.535100000001</v>
      </c>
      <c r="F197">
        <v>72528.222733000002</v>
      </c>
      <c r="G197">
        <v>0.174375</v>
      </c>
      <c r="H197">
        <v>25.840762000000002</v>
      </c>
      <c r="I197">
        <v>206.76932400000001</v>
      </c>
      <c r="J197">
        <v>13.574235</v>
      </c>
      <c r="K197">
        <v>2640</v>
      </c>
      <c r="L197">
        <v>1040</v>
      </c>
      <c r="M197">
        <f>L197/(L197+K197)</f>
        <v>0.28260869565217389</v>
      </c>
      <c r="N197">
        <f>-4.0289-2.6537*M197</f>
        <v>-4.7788586956521737</v>
      </c>
      <c r="O197">
        <f>-0.6094*M197^3+0.5993*(M197^2) - 2.6874*M197 - 4.0553</f>
        <v>-4.7806728610175062</v>
      </c>
      <c r="P197">
        <f>E197-(SUM(K197:L197)*N197)</f>
        <v>18.664899999999761</v>
      </c>
      <c r="Q197">
        <f>P197/(2*H197*J197)</f>
        <v>2.6605718526154423E-2</v>
      </c>
      <c r="R197">
        <f>Q197*16.02</f>
        <v>0.42622361078899385</v>
      </c>
      <c r="AA197" s="21">
        <f t="shared" ref="AA197:AA201" si="100">O197-N197</f>
        <v>-1.8141653653325207E-3</v>
      </c>
      <c r="AB197">
        <f>(E197-(SUM(K197:L197)*O197))/(2*H197*J197)*16.02</f>
        <v>0.57867680444635827</v>
      </c>
    </row>
    <row r="198" spans="2:29" x14ac:dyDescent="0.2">
      <c r="C198">
        <v>100000</v>
      </c>
      <c r="D198">
        <v>929.41897900000004</v>
      </c>
      <c r="E198">
        <v>-17800.392918000001</v>
      </c>
      <c r="F198">
        <v>72021.399204999994</v>
      </c>
      <c r="G198">
        <v>0.20549100000000001</v>
      </c>
      <c r="H198">
        <v>25.780429999999999</v>
      </c>
      <c r="I198">
        <v>206.28656899999999</v>
      </c>
      <c r="J198">
        <v>13.542543</v>
      </c>
      <c r="K198">
        <v>2546</v>
      </c>
      <c r="L198">
        <v>1134</v>
      </c>
      <c r="M198">
        <f>L198/(L198+K198)</f>
        <v>0.3081521739130435</v>
      </c>
      <c r="N198">
        <f t="shared" ref="N198:N201" si="101">-4.0289-2.6537*M198</f>
        <v>-4.8466434239130436</v>
      </c>
      <c r="O198">
        <f t="shared" ref="O198:O201" si="102">-0.6094*M198^3+0.5993*(M198^2) - 2.6874*M198 - 4.0553</f>
        <v>-4.8443518873066296</v>
      </c>
      <c r="P198">
        <f>E198-(SUM(K198:L198)*N198)</f>
        <v>35.254881999997451</v>
      </c>
      <c r="Q198">
        <f>P198/(2*H198*J198)</f>
        <v>5.0489246541893046E-2</v>
      </c>
      <c r="R198">
        <f>Q198*16.02</f>
        <v>0.80883772960112654</v>
      </c>
      <c r="AA198" s="21">
        <f t="shared" si="100"/>
        <v>2.291536606414013E-3</v>
      </c>
      <c r="AB198">
        <f t="shared" ref="AB198:AB201" si="103">(E198-(SUM(K198:L198)*O198))/(2*H198*J198)*16.02</f>
        <v>0.61536633863210277</v>
      </c>
    </row>
    <row r="199" spans="2:29" x14ac:dyDescent="0.2">
      <c r="C199">
        <v>100000</v>
      </c>
      <c r="D199">
        <v>929.54732100000001</v>
      </c>
      <c r="E199">
        <v>-17722.504976</v>
      </c>
      <c r="F199">
        <v>72202.473102000004</v>
      </c>
      <c r="G199">
        <v>0.483325</v>
      </c>
      <c r="H199">
        <v>25.802018</v>
      </c>
      <c r="I199">
        <v>206.459306</v>
      </c>
      <c r="J199">
        <v>13.553883000000001</v>
      </c>
      <c r="K199">
        <v>2576</v>
      </c>
      <c r="L199">
        <v>1104</v>
      </c>
      <c r="M199">
        <f>L199/(L199+K199)</f>
        <v>0.3</v>
      </c>
      <c r="N199">
        <f t="shared" si="101"/>
        <v>-4.8250099999999998</v>
      </c>
      <c r="O199">
        <f t="shared" si="102"/>
        <v>-4.8240368</v>
      </c>
      <c r="P199">
        <f>E199-(SUM(K199:L199)*N199)</f>
        <v>33.531823999997869</v>
      </c>
      <c r="Q199">
        <f>P199/(2*H199*J199)</f>
        <v>4.7941296650642902E-2</v>
      </c>
      <c r="R199">
        <f>Q199*16.02</f>
        <v>0.76801957234329932</v>
      </c>
      <c r="AA199" s="21">
        <f t="shared" si="100"/>
        <v>9.7319999999978535E-4</v>
      </c>
      <c r="AB199">
        <f t="shared" si="103"/>
        <v>0.68599102346628604</v>
      </c>
    </row>
    <row r="200" spans="2:29" x14ac:dyDescent="0.2">
      <c r="C200">
        <v>100000</v>
      </c>
      <c r="D200">
        <v>929.76205600000003</v>
      </c>
      <c r="E200">
        <v>-17800.205754999999</v>
      </c>
      <c r="F200">
        <v>72033.714355999997</v>
      </c>
      <c r="G200">
        <v>0.16476199999999999</v>
      </c>
      <c r="H200">
        <v>25.781898999999999</v>
      </c>
      <c r="I200">
        <v>206.298327</v>
      </c>
      <c r="J200">
        <v>13.543315</v>
      </c>
      <c r="K200">
        <v>2543</v>
      </c>
      <c r="L200">
        <v>1137</v>
      </c>
      <c r="M200">
        <f>L200/(L200+K200)</f>
        <v>0.3089673913043478</v>
      </c>
      <c r="N200">
        <f t="shared" si="101"/>
        <v>-4.8488067663043477</v>
      </c>
      <c r="O200">
        <f t="shared" si="102"/>
        <v>-4.8463831006445739</v>
      </c>
      <c r="P200">
        <f>E200-(SUM(K200:L200)*N200)</f>
        <v>43.403145000000222</v>
      </c>
      <c r="Q200">
        <f>P200/(2*H200*J200)</f>
        <v>6.2151458067391127E-2</v>
      </c>
      <c r="R200">
        <f>Q200*16.02</f>
        <v>0.99566635823960581</v>
      </c>
      <c r="AA200" s="21">
        <f t="shared" si="100"/>
        <v>2.4236656597738104E-3</v>
      </c>
      <c r="AB200">
        <f t="shared" si="103"/>
        <v>0.79106280960983999</v>
      </c>
    </row>
    <row r="201" spans="2:29" x14ac:dyDescent="0.2">
      <c r="C201">
        <v>100000</v>
      </c>
      <c r="D201">
        <v>929.71363599999995</v>
      </c>
      <c r="E201">
        <v>-17724.290822999999</v>
      </c>
      <c r="F201">
        <v>72177.850758999994</v>
      </c>
      <c r="G201">
        <v>5.8635E-2</v>
      </c>
      <c r="H201">
        <v>25.799084000000001</v>
      </c>
      <c r="I201">
        <v>206.435832</v>
      </c>
      <c r="J201">
        <v>13.552341999999999</v>
      </c>
      <c r="K201">
        <v>2576</v>
      </c>
      <c r="L201">
        <v>1104</v>
      </c>
      <c r="M201">
        <f>L201/(L201+K201)</f>
        <v>0.3</v>
      </c>
      <c r="N201">
        <f t="shared" si="101"/>
        <v>-4.8250099999999998</v>
      </c>
      <c r="O201">
        <f t="shared" si="102"/>
        <v>-4.8240368</v>
      </c>
      <c r="P201">
        <f>E201-(SUM(K201:L201)*N201)</f>
        <v>31.745976999998675</v>
      </c>
      <c r="Q201">
        <f>P201/(2*H201*J201)</f>
        <v>4.5398349326133382E-2</v>
      </c>
      <c r="R201">
        <f>Q201*16.02</f>
        <v>0.72728155620465673</v>
      </c>
      <c r="AA201" s="21">
        <f t="shared" si="100"/>
        <v>9.7319999999978535E-4</v>
      </c>
      <c r="AB201">
        <f t="shared" si="103"/>
        <v>0.64523435032931509</v>
      </c>
      <c r="AC201">
        <f>AVERAGE(AB197:AB201)</f>
        <v>0.66326626529678046</v>
      </c>
    </row>
    <row r="202" spans="2:29" x14ac:dyDescent="0.2">
      <c r="R202" s="1">
        <f>AVERAGE(R197:R201)</f>
        <v>0.7452057654355364</v>
      </c>
      <c r="S202">
        <f>STDEV(R197:R201)</f>
        <v>0.20577347828161949</v>
      </c>
      <c r="AA202" s="21"/>
    </row>
    <row r="203" spans="2:29" x14ac:dyDescent="0.2">
      <c r="B203" t="s">
        <v>22</v>
      </c>
      <c r="C203">
        <v>100000</v>
      </c>
      <c r="D203">
        <v>867.48377200000004</v>
      </c>
      <c r="E203">
        <v>-18143.798309000002</v>
      </c>
      <c r="F203">
        <v>74244.248179999995</v>
      </c>
      <c r="G203">
        <v>0.43455199999999999</v>
      </c>
      <c r="H203">
        <v>30.228490000000001</v>
      </c>
      <c r="I203">
        <v>90.841536000000005</v>
      </c>
      <c r="J203">
        <v>27.037196999999999</v>
      </c>
      <c r="K203">
        <v>2643</v>
      </c>
      <c r="L203">
        <v>1133</v>
      </c>
      <c r="M203">
        <f>L203/(L203+K203)</f>
        <v>0.30005296610169491</v>
      </c>
      <c r="N203">
        <f>-4.0289-2.6537*M203</f>
        <v>-4.8251505561440684</v>
      </c>
      <c r="O203">
        <f>-0.6094*M203^3+0.5993*(M203^2) - 2.6874*M203 - 4.0553</f>
        <v>-4.8241688103447515</v>
      </c>
      <c r="P203">
        <f>E203-(SUM(K203:L203)*N203)</f>
        <v>75.970191000000341</v>
      </c>
      <c r="Q203">
        <f>P203/(2*H203*J203)</f>
        <v>4.6476680694410556E-2</v>
      </c>
      <c r="R203">
        <f>Q203*16.02</f>
        <v>0.74455642472445704</v>
      </c>
      <c r="AA203" s="21">
        <f t="shared" ref="AA203:AA207" si="104">O203-N203</f>
        <v>9.8174579931686878E-4</v>
      </c>
      <c r="AB203">
        <f>(E203-(SUM(K203:L203)*O203))/(2*H203*J203)*16.02</f>
        <v>0.70822474856179196</v>
      </c>
    </row>
    <row r="204" spans="2:29" x14ac:dyDescent="0.2">
      <c r="C204">
        <v>100000</v>
      </c>
      <c r="D204">
        <v>867.67206699999997</v>
      </c>
      <c r="E204">
        <v>-18121.810084000001</v>
      </c>
      <c r="F204">
        <v>74247.216019</v>
      </c>
      <c r="G204">
        <v>0.38329999999999997</v>
      </c>
      <c r="H204">
        <v>30.228892999999999</v>
      </c>
      <c r="I204">
        <v>90.842747000000003</v>
      </c>
      <c r="J204">
        <v>27.037557</v>
      </c>
      <c r="K204">
        <v>2656</v>
      </c>
      <c r="L204">
        <v>1120</v>
      </c>
      <c r="M204">
        <f>L204/(L204+K204)</f>
        <v>0.29661016949152541</v>
      </c>
      <c r="N204">
        <f t="shared" ref="N204:N207" si="105">-4.0289-2.6537*M204</f>
        <v>-4.8160144067796615</v>
      </c>
      <c r="O204">
        <f t="shared" ref="O204:O207" si="106">-0.6094*M204^3+0.5993*(M204^2) - 2.6874*M204 - 4.0553</f>
        <v>-4.815587520876039</v>
      </c>
      <c r="P204">
        <f>E204-(SUM(K204:L204)*N204)</f>
        <v>63.460316000000603</v>
      </c>
      <c r="Q204">
        <f>P204/(2*H204*J204)</f>
        <v>3.8822414601844671E-2</v>
      </c>
      <c r="R204">
        <f>Q204*16.02</f>
        <v>0.62193508192155156</v>
      </c>
      <c r="AA204" s="21">
        <f t="shared" si="104"/>
        <v>4.2688590362249812E-4</v>
      </c>
      <c r="AB204">
        <f t="shared" ref="AB204:AB207" si="107">(E204-(SUM(K204:L204)*O204))/(2*H204*J204)*16.02</f>
        <v>0.60613764520210278</v>
      </c>
    </row>
    <row r="205" spans="2:29" x14ac:dyDescent="0.2">
      <c r="C205">
        <v>100000</v>
      </c>
      <c r="D205">
        <v>867.53959499999996</v>
      </c>
      <c r="E205">
        <v>-18098.446882</v>
      </c>
      <c r="F205">
        <v>74314.788757000002</v>
      </c>
      <c r="G205">
        <v>0.34053299999999997</v>
      </c>
      <c r="H205">
        <v>30.238060000000001</v>
      </c>
      <c r="I205">
        <v>90.870296999999994</v>
      </c>
      <c r="J205">
        <v>27.045756999999998</v>
      </c>
      <c r="K205">
        <v>2664</v>
      </c>
      <c r="L205">
        <v>1112</v>
      </c>
      <c r="M205">
        <f>L205/(L205+K205)</f>
        <v>0.29449152542372881</v>
      </c>
      <c r="N205">
        <f t="shared" si="105"/>
        <v>-4.8103921610169493</v>
      </c>
      <c r="O205">
        <f t="shared" si="106"/>
        <v>-4.8103060648107432</v>
      </c>
      <c r="P205">
        <f>E205-(SUM(K205:L205)*N205)</f>
        <v>65.593918000002304</v>
      </c>
      <c r="Q205">
        <f>P205/(2*H205*J205)</f>
        <v>4.0103336908539233E-2</v>
      </c>
      <c r="R205">
        <f>Q205*16.02</f>
        <v>0.64245545727479847</v>
      </c>
      <c r="AA205" s="21">
        <f t="shared" si="104"/>
        <v>8.6096206206143222E-5</v>
      </c>
      <c r="AB205">
        <f t="shared" si="107"/>
        <v>0.63927129310966857</v>
      </c>
    </row>
    <row r="206" spans="2:29" x14ac:dyDescent="0.2">
      <c r="C206">
        <v>100000</v>
      </c>
      <c r="D206">
        <v>867.60808399999996</v>
      </c>
      <c r="E206">
        <v>-18084.631658999999</v>
      </c>
      <c r="F206">
        <v>74373.296831</v>
      </c>
      <c r="G206">
        <v>0.42752899999999999</v>
      </c>
      <c r="H206">
        <v>30.245994</v>
      </c>
      <c r="I206">
        <v>90.894138999999996</v>
      </c>
      <c r="J206">
        <v>27.052852999999999</v>
      </c>
      <c r="K206">
        <v>2667</v>
      </c>
      <c r="L206">
        <v>1109</v>
      </c>
      <c r="M206">
        <f>L206/(L206+K206)</f>
        <v>0.29369703389830509</v>
      </c>
      <c r="N206">
        <f t="shared" si="105"/>
        <v>-4.8082838188559327</v>
      </c>
      <c r="O206">
        <f t="shared" si="106"/>
        <v>-4.80832537967866</v>
      </c>
      <c r="P206">
        <f>E206-(SUM(K206:L206)*N206)</f>
        <v>71.448041000003286</v>
      </c>
      <c r="Q206">
        <f>P206/(2*H206*J206)</f>
        <v>4.3659564122148949E-2</v>
      </c>
      <c r="R206">
        <f>Q206*16.02</f>
        <v>0.69942621723682619</v>
      </c>
      <c r="AA206" s="21">
        <f t="shared" si="104"/>
        <v>-4.1560822727326752E-5</v>
      </c>
      <c r="AB206">
        <f t="shared" si="107"/>
        <v>0.70096248778061498</v>
      </c>
    </row>
    <row r="207" spans="2:29" x14ac:dyDescent="0.2">
      <c r="C207">
        <v>100000</v>
      </c>
      <c r="D207">
        <v>867.56531600000005</v>
      </c>
      <c r="E207">
        <v>-18083.797203999999</v>
      </c>
      <c r="F207">
        <v>74370.767217999994</v>
      </c>
      <c r="G207">
        <v>0.53271599999999997</v>
      </c>
      <c r="H207">
        <v>30.245650999999999</v>
      </c>
      <c r="I207">
        <v>90.893107000000001</v>
      </c>
      <c r="J207">
        <v>27.052546</v>
      </c>
      <c r="K207">
        <v>2669</v>
      </c>
      <c r="L207">
        <v>1107</v>
      </c>
      <c r="M207">
        <f>L207/(L207+K207)</f>
        <v>0.29316737288135591</v>
      </c>
      <c r="N207">
        <f t="shared" si="105"/>
        <v>-4.8068782574152547</v>
      </c>
      <c r="O207">
        <f t="shared" si="106"/>
        <v>-4.8070048792986562</v>
      </c>
      <c r="P207">
        <f>E207-(SUM(K207:L207)*N207)</f>
        <v>66.97509600000194</v>
      </c>
      <c r="Q207">
        <f>P207/(2*H207*J207)</f>
        <v>4.0927222106102043E-2</v>
      </c>
      <c r="R207">
        <f>Q207*16.02</f>
        <v>0.65565409813975473</v>
      </c>
      <c r="AA207" s="21">
        <f t="shared" si="104"/>
        <v>-1.2662188340151204E-4</v>
      </c>
      <c r="AB207">
        <f t="shared" si="107"/>
        <v>0.66033470527096283</v>
      </c>
      <c r="AC207">
        <f>AVERAGE(AB203:AB207)</f>
        <v>0.66298617598502818</v>
      </c>
    </row>
    <row r="208" spans="2:29" x14ac:dyDescent="0.2">
      <c r="R208" s="1">
        <f>AVERAGE(R203:R207)</f>
        <v>0.6728054558594776</v>
      </c>
      <c r="S208">
        <f>STDEV(R203:R207)</f>
        <v>4.9142529695970397E-2</v>
      </c>
      <c r="AA208" s="21"/>
    </row>
    <row r="209" spans="2:29" x14ac:dyDescent="0.2">
      <c r="B209" t="s">
        <v>33</v>
      </c>
      <c r="C209">
        <v>100000</v>
      </c>
      <c r="D209">
        <v>929.64724799999999</v>
      </c>
      <c r="E209">
        <v>-31100.383673</v>
      </c>
      <c r="F209">
        <v>127644.586989</v>
      </c>
      <c r="G209">
        <v>0.115659</v>
      </c>
      <c r="H209">
        <v>39.577421000000001</v>
      </c>
      <c r="I209">
        <v>237.529391</v>
      </c>
      <c r="J209">
        <v>13.578049999999999</v>
      </c>
      <c r="K209">
        <v>4599</v>
      </c>
      <c r="L209">
        <v>1889</v>
      </c>
      <c r="M209">
        <f>L209/(L209+K209)</f>
        <v>0.29115289765721331</v>
      </c>
      <c r="N209">
        <f>-4.0289-2.6537*M209</f>
        <v>-4.8015324445129473</v>
      </c>
      <c r="O209">
        <f>-0.6094*M209^3+0.5993*(M209^2) - 2.6874*M209 - 4.0553</f>
        <v>-4.8019822523969724</v>
      </c>
      <c r="P209">
        <f>E209-(SUM(K209:L209)*N209)</f>
        <v>51.958827000002202</v>
      </c>
      <c r="Q209">
        <f>P209/(2*H209*J209)</f>
        <v>4.834420781547083E-2</v>
      </c>
      <c r="R209">
        <f>Q209*16.02</f>
        <v>0.77447420920384269</v>
      </c>
      <c r="AA209" s="21">
        <f t="shared" ref="AA209:AA213" si="108">O209-N209</f>
        <v>-4.4980788402515515E-4</v>
      </c>
      <c r="AB209">
        <f>(E209-(SUM(K209:L209)*O209))/(2*H209*J209)*16.02</f>
        <v>0.81797383553331338</v>
      </c>
    </row>
    <row r="210" spans="2:29" x14ac:dyDescent="0.2">
      <c r="C210">
        <v>100000</v>
      </c>
      <c r="D210">
        <v>929.801154</v>
      </c>
      <c r="E210">
        <v>-31153.723469</v>
      </c>
      <c r="F210">
        <v>127452.04178</v>
      </c>
      <c r="G210">
        <v>7.9227000000000006E-2</v>
      </c>
      <c r="H210">
        <v>39.557512000000003</v>
      </c>
      <c r="I210">
        <v>237.40990099999999</v>
      </c>
      <c r="J210">
        <v>13.57122</v>
      </c>
      <c r="K210">
        <v>4580</v>
      </c>
      <c r="L210">
        <v>1908</v>
      </c>
      <c r="M210">
        <f>L210/(L210+K210)</f>
        <v>0.29408138101109743</v>
      </c>
      <c r="N210">
        <f t="shared" ref="N210:N213" si="109">-4.0289-2.6537*M210</f>
        <v>-4.8093037607891498</v>
      </c>
      <c r="O210">
        <f t="shared" ref="O210:O213" si="110">-0.6094*M210^3+0.5993*(M210^2) - 2.6874*M210 - 4.0553</f>
        <v>-4.8092835753396654</v>
      </c>
      <c r="P210">
        <f>E210-(SUM(K210:L210)*N210)</f>
        <v>49.039331000003585</v>
      </c>
      <c r="Q210">
        <f>P210/(2*H210*J210)</f>
        <v>4.567375120754396E-2</v>
      </c>
      <c r="R210">
        <f>Q210*16.02</f>
        <v>0.7316934943448542</v>
      </c>
      <c r="AA210" s="21">
        <f t="shared" si="108"/>
        <v>2.0185449484344531E-5</v>
      </c>
      <c r="AB210">
        <f t="shared" ref="AB210:AB213" si="111">(E210-(SUM(K210:L210)*O210))/(2*H210*J210)*16.02</f>
        <v>0.72973945221696179</v>
      </c>
    </row>
    <row r="211" spans="2:29" x14ac:dyDescent="0.2">
      <c r="C211">
        <v>100000</v>
      </c>
      <c r="D211">
        <v>929.424575</v>
      </c>
      <c r="E211">
        <v>-31150.224913999999</v>
      </c>
      <c r="F211">
        <v>127470.293089</v>
      </c>
      <c r="G211">
        <v>0.119104</v>
      </c>
      <c r="H211">
        <v>39.559399999999997</v>
      </c>
      <c r="I211">
        <v>237.421232</v>
      </c>
      <c r="J211">
        <v>13.571866999999999</v>
      </c>
      <c r="K211">
        <v>4587</v>
      </c>
      <c r="L211">
        <v>1901</v>
      </c>
      <c r="M211">
        <f>L211/(L211+K211)</f>
        <v>0.29300246609124536</v>
      </c>
      <c r="N211">
        <f t="shared" si="109"/>
        <v>-4.8064406442663383</v>
      </c>
      <c r="O211">
        <f t="shared" si="110"/>
        <v>-4.8065937421738392</v>
      </c>
      <c r="P211">
        <f>E211-(SUM(K211:L211)*N211)</f>
        <v>33.961986000005709</v>
      </c>
      <c r="Q211">
        <f>P211/(2*H211*J211)</f>
        <v>3.1628150151800045E-2</v>
      </c>
      <c r="R211">
        <f>Q211*16.02</f>
        <v>0.50668296543183666</v>
      </c>
      <c r="AA211" s="21">
        <f t="shared" si="108"/>
        <v>-1.5309790750084318E-4</v>
      </c>
      <c r="AB211">
        <f t="shared" si="111"/>
        <v>0.52150211635866317</v>
      </c>
    </row>
    <row r="212" spans="2:29" x14ac:dyDescent="0.2">
      <c r="C212">
        <v>100000</v>
      </c>
      <c r="D212">
        <v>929.53868799999998</v>
      </c>
      <c r="E212">
        <v>-31249.640803999999</v>
      </c>
      <c r="F212">
        <v>127249.81116100001</v>
      </c>
      <c r="G212">
        <v>0.353518</v>
      </c>
      <c r="H212">
        <v>39.536579000000003</v>
      </c>
      <c r="I212">
        <v>237.284268</v>
      </c>
      <c r="J212">
        <v>13.564038</v>
      </c>
      <c r="K212">
        <v>4545</v>
      </c>
      <c r="L212">
        <v>1943</v>
      </c>
      <c r="M212">
        <f>L212/(L212+K212)</f>
        <v>0.29947595561035756</v>
      </c>
      <c r="N212">
        <f t="shared" si="109"/>
        <v>-4.8236193434032062</v>
      </c>
      <c r="O212">
        <f t="shared" si="110"/>
        <v>-4.8227306797236089</v>
      </c>
      <c r="P212">
        <f>E212-(SUM(K212:L212)*N212)</f>
        <v>46.001496000004408</v>
      </c>
      <c r="Q212">
        <f>P212/(2*H212*J212)</f>
        <v>4.2889785455334978E-2</v>
      </c>
      <c r="R212">
        <f>Q212*16.02</f>
        <v>0.68709436299446636</v>
      </c>
      <c r="AA212" s="21">
        <f t="shared" si="108"/>
        <v>8.886636795972791E-4</v>
      </c>
      <c r="AB212">
        <f t="shared" si="111"/>
        <v>0.60097660756621507</v>
      </c>
    </row>
    <row r="213" spans="2:29" x14ac:dyDescent="0.2">
      <c r="C213">
        <v>100000</v>
      </c>
      <c r="D213">
        <v>929.74875699999996</v>
      </c>
      <c r="E213">
        <v>-31305.289174000001</v>
      </c>
      <c r="F213">
        <v>127127.20853600001</v>
      </c>
      <c r="G213">
        <v>0.33735799999999999</v>
      </c>
      <c r="H213">
        <v>39.523876999999999</v>
      </c>
      <c r="I213">
        <v>237.20803699999999</v>
      </c>
      <c r="J213">
        <v>13.55968</v>
      </c>
      <c r="K213">
        <v>4522</v>
      </c>
      <c r="L213">
        <v>1966</v>
      </c>
      <c r="M213">
        <f>L213/(L213+K213)</f>
        <v>0.30302096177558568</v>
      </c>
      <c r="N213">
        <f t="shared" si="109"/>
        <v>-4.8330267262638724</v>
      </c>
      <c r="O213">
        <f t="shared" si="110"/>
        <v>-4.8315656710736725</v>
      </c>
      <c r="P213">
        <f>E213-(SUM(K213:L213)*N213)</f>
        <v>51.38822600000276</v>
      </c>
      <c r="Q213">
        <f>P213/(2*H213*J213)</f>
        <v>4.7942938609811837E-2</v>
      </c>
      <c r="R213">
        <f>Q213*16.02</f>
        <v>0.76804587652918566</v>
      </c>
      <c r="AA213" s="21">
        <f t="shared" si="108"/>
        <v>1.4610551901999003E-3</v>
      </c>
      <c r="AB213">
        <f t="shared" si="111"/>
        <v>0.6263683392773135</v>
      </c>
      <c r="AC213">
        <f>AVERAGE(AB209:AB213)</f>
        <v>0.65931207019049343</v>
      </c>
    </row>
    <row r="214" spans="2:29" x14ac:dyDescent="0.2">
      <c r="R214" s="1">
        <f>AVERAGE(R209:R213)</f>
        <v>0.69359818170083709</v>
      </c>
      <c r="S214">
        <f>STDEV(R209:R213)</f>
        <v>0.11012974355960745</v>
      </c>
      <c r="AA214" s="21"/>
    </row>
    <row r="215" spans="2:29" x14ac:dyDescent="0.2">
      <c r="B215" t="s">
        <v>34</v>
      </c>
      <c r="C215">
        <v>100000</v>
      </c>
      <c r="D215">
        <v>929.88749299999995</v>
      </c>
      <c r="E215">
        <v>-15777.174199999999</v>
      </c>
      <c r="F215">
        <v>64870.631305000003</v>
      </c>
      <c r="G215">
        <v>0.37257699999999999</v>
      </c>
      <c r="H215">
        <v>24.448352</v>
      </c>
      <c r="I215">
        <v>195.63001</v>
      </c>
      <c r="J215">
        <v>13.563219999999999</v>
      </c>
      <c r="K215">
        <v>2346</v>
      </c>
      <c r="L215">
        <v>950</v>
      </c>
      <c r="M215">
        <f>L215/(L215+K215)</f>
        <v>0.28822815533980584</v>
      </c>
      <c r="N215">
        <f>-4.0289-2.6537*M215</f>
        <v>-4.7937710558252427</v>
      </c>
      <c r="O215">
        <f>-0.6094*M215^3+0.5993*(M215^2) - 2.6874*M215 - 4.0553</f>
        <v>-4.7946891094523529</v>
      </c>
      <c r="P215">
        <f>E215-(SUM(K215:L215)*N215)</f>
        <v>23.09519999999975</v>
      </c>
      <c r="Q215">
        <f>P215/(2*H215*J215)</f>
        <v>3.4824054662054786E-2</v>
      </c>
      <c r="R215">
        <f>Q215*16.02</f>
        <v>0.55788135568611763</v>
      </c>
      <c r="AA215" s="21">
        <f t="shared" ref="AA215:AA219" si="112">O215-N215</f>
        <v>-9.1805362711028238E-4</v>
      </c>
      <c r="AB215">
        <f>(E215-(SUM(K215:L215)*O215))/(2*H215*J215)*16.02</f>
        <v>0.63097428611631656</v>
      </c>
    </row>
    <row r="216" spans="2:29" x14ac:dyDescent="0.2">
      <c r="C216">
        <v>100000</v>
      </c>
      <c r="D216">
        <v>929.89402199999995</v>
      </c>
      <c r="E216">
        <v>-15845.637554999999</v>
      </c>
      <c r="F216">
        <v>64717.352924999999</v>
      </c>
      <c r="G216">
        <v>0.43768899999999999</v>
      </c>
      <c r="H216">
        <v>24.429081</v>
      </c>
      <c r="I216">
        <v>195.475808</v>
      </c>
      <c r="J216">
        <v>13.552529</v>
      </c>
      <c r="K216">
        <v>2318</v>
      </c>
      <c r="L216">
        <v>978</v>
      </c>
      <c r="M216">
        <f>L216/(L216+K216)</f>
        <v>0.29672330097087379</v>
      </c>
      <c r="N216">
        <f t="shared" ref="N216:N219" si="113">-4.0289-2.6537*M216</f>
        <v>-4.8163146237864076</v>
      </c>
      <c r="O216">
        <f t="shared" ref="O216:O219" si="114">-0.6094*M216^3+0.5993*(M216^2) - 2.6874*M216 - 4.0553</f>
        <v>-4.8158695256650885</v>
      </c>
      <c r="P216">
        <f>E216-(SUM(K216:L216)*N216)</f>
        <v>28.935445000000982</v>
      </c>
      <c r="Q216">
        <f>P216/(2*H216*J216)</f>
        <v>4.369912040087838E-2</v>
      </c>
      <c r="R216">
        <f>Q216*16.02</f>
        <v>0.70005990882207159</v>
      </c>
      <c r="AA216" s="21">
        <f t="shared" si="112"/>
        <v>4.4509812131909854E-4</v>
      </c>
      <c r="AB216">
        <f t="shared" ref="AB216:AB219" si="115">(E216-(SUM(K216:L216)*O216))/(2*H216*J216)*16.02</f>
        <v>0.66456647596314378</v>
      </c>
    </row>
    <row r="217" spans="2:29" x14ac:dyDescent="0.2">
      <c r="C217">
        <v>100000</v>
      </c>
      <c r="D217">
        <v>929.48812699999996</v>
      </c>
      <c r="E217">
        <v>-15694.218774999999</v>
      </c>
      <c r="F217">
        <v>65052.319423000001</v>
      </c>
      <c r="G217">
        <v>0.21005499999999999</v>
      </c>
      <c r="H217">
        <v>24.471155</v>
      </c>
      <c r="I217">
        <v>195.812477</v>
      </c>
      <c r="J217">
        <v>13.575870999999999</v>
      </c>
      <c r="K217">
        <v>2378</v>
      </c>
      <c r="L217">
        <v>918</v>
      </c>
      <c r="M217">
        <f>L217/(L217+K217)</f>
        <v>0.27851941747572817</v>
      </c>
      <c r="N217">
        <f t="shared" si="113"/>
        <v>-4.7680069781553396</v>
      </c>
      <c r="O217">
        <f t="shared" si="114"/>
        <v>-4.7704699998896203</v>
      </c>
      <c r="P217">
        <f>E217-(SUM(K217:L217)*N217)</f>
        <v>21.13222499999938</v>
      </c>
      <c r="Q217">
        <f>P217/(2*H217*J217)</f>
        <v>3.1804828637583125E-2</v>
      </c>
      <c r="R217">
        <f>Q217*16.02</f>
        <v>0.50951335477408166</v>
      </c>
      <c r="AA217" s="21">
        <f t="shared" si="112"/>
        <v>-2.4630217342807015E-3</v>
      </c>
      <c r="AB217">
        <f t="shared" si="115"/>
        <v>0.70524713909129544</v>
      </c>
    </row>
    <row r="218" spans="2:29" x14ac:dyDescent="0.2">
      <c r="C218">
        <v>100000</v>
      </c>
      <c r="D218">
        <v>929.52297399999998</v>
      </c>
      <c r="E218">
        <v>-15956.834789</v>
      </c>
      <c r="F218">
        <v>64431.465498999998</v>
      </c>
      <c r="G218">
        <v>0.41996699999999998</v>
      </c>
      <c r="H218">
        <v>24.393056000000001</v>
      </c>
      <c r="I218">
        <v>195.187545</v>
      </c>
      <c r="J218">
        <v>13.532543</v>
      </c>
      <c r="K218">
        <v>2278</v>
      </c>
      <c r="L218">
        <v>1018</v>
      </c>
      <c r="M218">
        <f>L218/(L218+K218)</f>
        <v>0.30885922330097088</v>
      </c>
      <c r="N218">
        <f t="shared" si="113"/>
        <v>-4.8485197208737869</v>
      </c>
      <c r="O218">
        <f t="shared" si="114"/>
        <v>-4.8461135895781604</v>
      </c>
      <c r="P218">
        <f>E218-(SUM(K218:L218)*N218)</f>
        <v>23.886211000000912</v>
      </c>
      <c r="Q218">
        <f>P218/(2*H218*J218)</f>
        <v>3.6180256388214489E-2</v>
      </c>
      <c r="R218">
        <f>Q218*16.02</f>
        <v>0.57960770733919609</v>
      </c>
      <c r="AA218" s="21">
        <f t="shared" si="112"/>
        <v>2.4061312956265013E-3</v>
      </c>
      <c r="AB218">
        <f t="shared" si="115"/>
        <v>0.38716856512386399</v>
      </c>
    </row>
    <row r="219" spans="2:29" x14ac:dyDescent="0.2">
      <c r="C219">
        <v>100000</v>
      </c>
      <c r="D219">
        <v>929.33853499999998</v>
      </c>
      <c r="E219">
        <v>-15912.089824000001</v>
      </c>
      <c r="F219">
        <v>64556.501351999999</v>
      </c>
      <c r="G219">
        <v>3.8698999999999997E-2</v>
      </c>
      <c r="H219">
        <v>24.408825</v>
      </c>
      <c r="I219">
        <v>195.313727</v>
      </c>
      <c r="J219">
        <v>13.541292</v>
      </c>
      <c r="K219">
        <v>2295</v>
      </c>
      <c r="L219">
        <v>1001</v>
      </c>
      <c r="M219">
        <f>L219/(L219+K219)</f>
        <v>0.30370145631067963</v>
      </c>
      <c r="N219">
        <f t="shared" si="113"/>
        <v>-4.8348325546116504</v>
      </c>
      <c r="O219">
        <f t="shared" si="114"/>
        <v>-4.8332614886043785</v>
      </c>
      <c r="P219">
        <f>E219-(SUM(K219:L219)*N219)</f>
        <v>23.518275999998878</v>
      </c>
      <c r="Q219">
        <f>P219/(2*H219*J219)</f>
        <v>3.5576933351973428E-2</v>
      </c>
      <c r="R219">
        <f>Q219*16.02</f>
        <v>0.56994247229861428</v>
      </c>
      <c r="AA219" s="21">
        <f t="shared" si="112"/>
        <v>1.5710660072718596E-3</v>
      </c>
      <c r="AB219">
        <f t="shared" si="115"/>
        <v>0.44445303432673317</v>
      </c>
      <c r="AC219">
        <f>AVERAGE(AB215:AB219)</f>
        <v>0.56648190012427058</v>
      </c>
    </row>
    <row r="220" spans="2:29" x14ac:dyDescent="0.2">
      <c r="R220" s="1">
        <f>AVERAGE(R215:R219)</f>
        <v>0.58340095978401618</v>
      </c>
      <c r="S220">
        <f>STDEV(R215:R219)</f>
        <v>7.0561070016663605E-2</v>
      </c>
      <c r="AA220" s="21"/>
    </row>
    <row r="221" spans="2:29" x14ac:dyDescent="0.2">
      <c r="B221" t="s">
        <v>35</v>
      </c>
      <c r="C221">
        <v>100000</v>
      </c>
      <c r="D221">
        <v>929.66125499999998</v>
      </c>
      <c r="E221">
        <v>-22938.915061</v>
      </c>
      <c r="F221">
        <v>93055.431783000007</v>
      </c>
      <c r="G221">
        <v>0.264567</v>
      </c>
      <c r="H221">
        <v>33.846215000000001</v>
      </c>
      <c r="I221">
        <v>203.07728800000001</v>
      </c>
      <c r="J221">
        <v>13.538486000000001</v>
      </c>
      <c r="K221">
        <v>3309</v>
      </c>
      <c r="L221">
        <v>1443</v>
      </c>
      <c r="M221">
        <f>L221/(L221+K221)</f>
        <v>0.30366161616161619</v>
      </c>
      <c r="N221">
        <f>-4.0289-2.6537*M221</f>
        <v>-4.8347268308080809</v>
      </c>
      <c r="O221">
        <f>-0.6094*M221^3+0.5993*(M221^2) - 2.6874*M221 - 4.0553</f>
        <v>-4.8331622066166409</v>
      </c>
      <c r="P221">
        <f>E221-(SUM(K221:L221)*N221)</f>
        <v>35.706839000002219</v>
      </c>
      <c r="Q221">
        <f>P221/(2*H221*J221)</f>
        <v>3.8961996285708893E-2</v>
      </c>
      <c r="R221">
        <f>Q221*16.02</f>
        <v>0.62417118049705644</v>
      </c>
      <c r="AA221" s="21">
        <f t="shared" ref="AA221:AA225" si="116">O221-N221</f>
        <v>1.5646241914399894E-3</v>
      </c>
      <c r="AB221">
        <f>(E221-(SUM(K221:L221)*O221))/(2*H221*J221)*16.02</f>
        <v>0.4942024790521129</v>
      </c>
    </row>
    <row r="222" spans="2:29" x14ac:dyDescent="0.2">
      <c r="C222">
        <v>100000</v>
      </c>
      <c r="D222">
        <v>929.26841400000001</v>
      </c>
      <c r="E222">
        <v>-22950.809197999999</v>
      </c>
      <c r="F222">
        <v>93043.421759999997</v>
      </c>
      <c r="G222">
        <v>0.29256300000000002</v>
      </c>
      <c r="H222">
        <v>33.844757999999999</v>
      </c>
      <c r="I222">
        <v>203.06854999999999</v>
      </c>
      <c r="J222">
        <v>13.537903</v>
      </c>
      <c r="K222">
        <v>3308</v>
      </c>
      <c r="L222">
        <v>1444</v>
      </c>
      <c r="M222">
        <f>L222/(L222+K222)</f>
        <v>0.30387205387205385</v>
      </c>
      <c r="N222">
        <f t="shared" ref="N222:N225" si="117">-4.0289-2.6537*M222</f>
        <v>-4.8352852693602699</v>
      </c>
      <c r="O222">
        <f t="shared" ref="O222:O225" si="118">-0.6094*M222^3+0.5993*(M222^2) - 2.6874*M222 - 4.0553</f>
        <v>-4.8336866175878894</v>
      </c>
      <c r="P222">
        <f>E222-(SUM(K222:L222)*N222)</f>
        <v>26.466402000001835</v>
      </c>
      <c r="Q222">
        <f>P222/(2*H222*J222)</f>
        <v>2.8881656465609931E-2</v>
      </c>
      <c r="R222">
        <f>Q222*16.02</f>
        <v>0.46268413657907109</v>
      </c>
      <c r="AA222" s="21">
        <f t="shared" si="116"/>
        <v>1.5986517723804994E-3</v>
      </c>
      <c r="AB222">
        <f t="shared" ref="AB222:AB225" si="119">(E222-(SUM(K222:L222)*O222))/(2*H222*J222)*16.02</f>
        <v>0.32987742893318034</v>
      </c>
    </row>
    <row r="223" spans="2:29" x14ac:dyDescent="0.2">
      <c r="C223">
        <v>100000</v>
      </c>
      <c r="D223">
        <v>929.52575100000001</v>
      </c>
      <c r="E223">
        <v>-22740.631597</v>
      </c>
      <c r="F223">
        <v>93532.757759</v>
      </c>
      <c r="G223">
        <v>0.20544699999999999</v>
      </c>
      <c r="H223">
        <v>33.903987000000001</v>
      </c>
      <c r="I223">
        <v>203.423922</v>
      </c>
      <c r="J223">
        <v>13.561595000000001</v>
      </c>
      <c r="K223">
        <v>3389</v>
      </c>
      <c r="L223">
        <v>1363</v>
      </c>
      <c r="M223">
        <f>L223/(L223+K223)</f>
        <v>0.28682659932659932</v>
      </c>
      <c r="N223">
        <f t="shared" si="117"/>
        <v>-4.7900517466329973</v>
      </c>
      <c r="O223">
        <f t="shared" si="118"/>
        <v>-4.7911937536033875</v>
      </c>
      <c r="P223">
        <f>E223-(SUM(K223:L223)*N223)</f>
        <v>21.694303000003856</v>
      </c>
      <c r="Q223">
        <f>P223/(2*H223*J223)</f>
        <v>2.3591424347393673E-2</v>
      </c>
      <c r="R223">
        <f>Q223*16.02</f>
        <v>0.37793461804524664</v>
      </c>
      <c r="AA223" s="21">
        <f t="shared" si="116"/>
        <v>-1.1420069703902413E-3</v>
      </c>
      <c r="AB223">
        <f t="shared" si="119"/>
        <v>0.47247474024660407</v>
      </c>
    </row>
    <row r="224" spans="2:29" x14ac:dyDescent="0.2">
      <c r="C224">
        <v>100000</v>
      </c>
      <c r="D224">
        <v>929.935205</v>
      </c>
      <c r="E224">
        <v>-22792.534283000001</v>
      </c>
      <c r="F224">
        <v>93380.057151000001</v>
      </c>
      <c r="G224">
        <v>0.22198000000000001</v>
      </c>
      <c r="H224">
        <v>33.885525999999999</v>
      </c>
      <c r="I224">
        <v>203.31315799999999</v>
      </c>
      <c r="J224">
        <v>13.554211</v>
      </c>
      <c r="K224">
        <v>3368</v>
      </c>
      <c r="L224">
        <v>1384</v>
      </c>
      <c r="M224">
        <f>L224/(L224+K224)</f>
        <v>0.29124579124579125</v>
      </c>
      <c r="N224">
        <f t="shared" si="117"/>
        <v>-4.8017789562289561</v>
      </c>
      <c r="O224">
        <f t="shared" si="118"/>
        <v>-4.8022138727550683</v>
      </c>
      <c r="P224">
        <f>E224-(SUM(K224:L224)*N224)</f>
        <v>25.519316999998409</v>
      </c>
      <c r="Q224">
        <f>P224/(2*H224*J224)</f>
        <v>2.7781172906864961E-2</v>
      </c>
      <c r="R224">
        <f>Q224*16.02</f>
        <v>0.44505438996797669</v>
      </c>
      <c r="AA224" s="21">
        <f t="shared" si="116"/>
        <v>-4.3491652611216125E-4</v>
      </c>
      <c r="AB224">
        <f t="shared" si="119"/>
        <v>0.48109784253349669</v>
      </c>
    </row>
    <row r="225" spans="2:29" x14ac:dyDescent="0.2">
      <c r="C225">
        <v>100000</v>
      </c>
      <c r="D225">
        <v>929.77790700000003</v>
      </c>
      <c r="E225">
        <v>-22847.156497</v>
      </c>
      <c r="F225">
        <v>93255.497969000004</v>
      </c>
      <c r="G225">
        <v>0.13630200000000001</v>
      </c>
      <c r="H225">
        <v>33.870454000000002</v>
      </c>
      <c r="I225">
        <v>203.222722</v>
      </c>
      <c r="J225">
        <v>13.548181</v>
      </c>
      <c r="K225">
        <v>3346</v>
      </c>
      <c r="L225">
        <v>1406</v>
      </c>
      <c r="M225">
        <f>L225/(L225+K225)</f>
        <v>0.2958754208754209</v>
      </c>
      <c r="N225">
        <f t="shared" si="117"/>
        <v>-4.8140646043771049</v>
      </c>
      <c r="O225">
        <f t="shared" si="118"/>
        <v>-4.8137559645640042</v>
      </c>
      <c r="P225">
        <f>E225-(SUM(K225:L225)*N225)</f>
        <v>29.278503000001365</v>
      </c>
      <c r="Q225">
        <f>P225/(2*H225*J225)</f>
        <v>3.1901923106852997E-2</v>
      </c>
      <c r="R225">
        <f>Q225*16.02</f>
        <v>0.51106880817178502</v>
      </c>
      <c r="AA225" s="21">
        <f t="shared" si="116"/>
        <v>3.0863981310069732E-4</v>
      </c>
      <c r="AB225">
        <f t="shared" si="119"/>
        <v>0.48546769276699236</v>
      </c>
      <c r="AC225">
        <f>AVERAGE(AB221:AB225)</f>
        <v>0.45262403670647727</v>
      </c>
    </row>
    <row r="226" spans="2:29" x14ac:dyDescent="0.2">
      <c r="R226" s="1">
        <f>AVERAGE(R221:R225)</f>
        <v>0.48418262665222722</v>
      </c>
      <c r="S226">
        <f>STDEV(R221:R225)</f>
        <v>9.1653566868210939E-2</v>
      </c>
    </row>
    <row r="228" spans="2:29" x14ac:dyDescent="0.2">
      <c r="B228" t="s">
        <v>66</v>
      </c>
    </row>
    <row r="229" spans="2:29" x14ac:dyDescent="0.2">
      <c r="C229" t="s">
        <v>52</v>
      </c>
      <c r="D229" t="s">
        <v>13</v>
      </c>
      <c r="E229" t="s">
        <v>4</v>
      </c>
      <c r="F229" t="s">
        <v>5</v>
      </c>
      <c r="G229" t="s">
        <v>14</v>
      </c>
      <c r="H229" t="s">
        <v>15</v>
      </c>
      <c r="I229" t="s">
        <v>16</v>
      </c>
      <c r="J229" t="s">
        <v>17</v>
      </c>
      <c r="K229" t="s">
        <v>18</v>
      </c>
      <c r="L229" t="s">
        <v>19</v>
      </c>
      <c r="M229" t="s">
        <v>9</v>
      </c>
      <c r="N229" t="s">
        <v>20</v>
      </c>
      <c r="O229" t="s">
        <v>68</v>
      </c>
      <c r="P229" t="s">
        <v>8</v>
      </c>
      <c r="Q229" t="s">
        <v>21</v>
      </c>
      <c r="R229" t="s">
        <v>21</v>
      </c>
    </row>
    <row r="230" spans="2:29" x14ac:dyDescent="0.2">
      <c r="B230" t="s">
        <v>25</v>
      </c>
      <c r="C230">
        <v>100000</v>
      </c>
      <c r="D230">
        <v>867.20520199999999</v>
      </c>
      <c r="E230">
        <v>-22821.067180999999</v>
      </c>
      <c r="F230">
        <v>68753.054036000001</v>
      </c>
      <c r="G230">
        <v>0.54929799999999995</v>
      </c>
      <c r="H230">
        <v>29.598883000000001</v>
      </c>
      <c r="I230">
        <v>177.63494499999999</v>
      </c>
      <c r="J230">
        <v>13.076397</v>
      </c>
      <c r="K230">
        <v>1158</v>
      </c>
      <c r="L230">
        <v>2746</v>
      </c>
      <c r="M230">
        <f>L230/(L230+K230)</f>
        <v>0.70338114754098358</v>
      </c>
      <c r="N230">
        <f>-3.9316-2.7424*M230</f>
        <v>-5.8605524590163931</v>
      </c>
      <c r="O230">
        <f>-0.6094*M230^3+0.5993*(M230^2) - 2.6874*M230 - 4.0553</f>
        <v>-5.861133540773368</v>
      </c>
      <c r="P230">
        <f>E230-(SUM(K230:L230)*N230)</f>
        <v>58.529619000000821</v>
      </c>
      <c r="Q230">
        <f>P230/(2*H230*J230)</f>
        <v>7.5610529963872408E-2</v>
      </c>
      <c r="R230">
        <f>Q230*16.02</f>
        <v>1.2112806900212358</v>
      </c>
      <c r="AA230" s="21">
        <f>O230-N230</f>
        <v>-5.8108175697491049E-4</v>
      </c>
      <c r="AB230">
        <f>(E230-(SUM(K230:L230)*O230))/(2*H230*J230)*16.02</f>
        <v>1.2582285874179606</v>
      </c>
    </row>
    <row r="231" spans="2:29" x14ac:dyDescent="0.2">
      <c r="C231">
        <v>100000</v>
      </c>
      <c r="D231">
        <v>867.37072599999999</v>
      </c>
      <c r="E231">
        <v>-22919.488332000001</v>
      </c>
      <c r="F231">
        <v>68568.078464000006</v>
      </c>
      <c r="G231">
        <v>0.39909</v>
      </c>
      <c r="H231">
        <v>29.572315</v>
      </c>
      <c r="I231">
        <v>177.47549599999999</v>
      </c>
      <c r="J231">
        <v>13.06466</v>
      </c>
      <c r="K231">
        <v>1124</v>
      </c>
      <c r="L231">
        <v>2780</v>
      </c>
      <c r="M231">
        <f>L231/(L231+K231)</f>
        <v>0.71209016393442626</v>
      </c>
      <c r="N231">
        <f t="shared" ref="N231:N234" si="120">-3.9316-2.7424*M231</f>
        <v>-5.8844360655737704</v>
      </c>
      <c r="O231">
        <f t="shared" ref="O231:O234" si="121">-0.6094*M231^3+0.5993*(M231^2) - 2.6874*M231 - 4.0553</f>
        <v>-5.8851255419663513</v>
      </c>
      <c r="P231">
        <f>E231-(SUM(K231:L231)*N231)</f>
        <v>53.350067999999737</v>
      </c>
      <c r="Q231">
        <f>P231/(2*H231*J231)</f>
        <v>6.9043300845612596E-2</v>
      </c>
      <c r="R231">
        <f>Q231*16.02</f>
        <v>1.1060736795467137</v>
      </c>
      <c r="AA231" s="21">
        <f t="shared" ref="AA231:AA234" si="122">O231-N231</f>
        <v>-6.8947639258087889E-4</v>
      </c>
      <c r="AB231">
        <f t="shared" ref="AB231:AB234" si="123">(E231-(SUM(K231:L231)*O231))/(2*H231*J231)*16.02</f>
        <v>1.1618793448688285</v>
      </c>
    </row>
    <row r="232" spans="2:29" x14ac:dyDescent="0.2">
      <c r="C232">
        <v>100000</v>
      </c>
      <c r="D232">
        <v>867.43887600000005</v>
      </c>
      <c r="E232">
        <v>-23103.221027</v>
      </c>
      <c r="F232">
        <v>68267.722941999993</v>
      </c>
      <c r="G232">
        <v>0.68080099999999999</v>
      </c>
      <c r="H232">
        <v>29.529071999999999</v>
      </c>
      <c r="I232">
        <v>177.215979</v>
      </c>
      <c r="J232">
        <v>13.045555999999999</v>
      </c>
      <c r="K232">
        <v>1058</v>
      </c>
      <c r="L232">
        <v>2846</v>
      </c>
      <c r="M232">
        <f>L232/(L232+K232)</f>
        <v>0.72899590163934425</v>
      </c>
      <c r="N232">
        <f t="shared" si="120"/>
        <v>-5.9307983606557375</v>
      </c>
      <c r="O232">
        <f t="shared" si="121"/>
        <v>-5.9320046399505744</v>
      </c>
      <c r="P232">
        <f>E232-(SUM(K232:L232)*N232)</f>
        <v>50.615773000001354</v>
      </c>
      <c r="Q232">
        <f>P232/(2*H232*J232)</f>
        <v>6.5696689529424285E-2</v>
      </c>
      <c r="R232">
        <f>Q232*16.02</f>
        <v>1.0524609662613771</v>
      </c>
      <c r="AA232" s="21">
        <f t="shared" si="122"/>
        <v>-1.2062792948368539E-3</v>
      </c>
      <c r="AB232">
        <f t="shared" si="123"/>
        <v>1.1503824096258037</v>
      </c>
    </row>
    <row r="233" spans="2:29" x14ac:dyDescent="0.2">
      <c r="C233">
        <v>100000</v>
      </c>
      <c r="D233">
        <v>867.38296600000001</v>
      </c>
      <c r="E233">
        <v>-22835.310704</v>
      </c>
      <c r="F233">
        <v>68738.376535999996</v>
      </c>
      <c r="G233">
        <v>0.51074799999999998</v>
      </c>
      <c r="H233">
        <v>29.596776999999999</v>
      </c>
      <c r="I233">
        <v>177.62230299999999</v>
      </c>
      <c r="J233">
        <v>13.075467</v>
      </c>
      <c r="K233">
        <v>1153</v>
      </c>
      <c r="L233">
        <v>2751</v>
      </c>
      <c r="M233">
        <f>L233/(L233+K233)</f>
        <v>0.70466188524590168</v>
      </c>
      <c r="N233">
        <f t="shared" si="120"/>
        <v>-5.8640647540983606</v>
      </c>
      <c r="O233">
        <f t="shared" si="121"/>
        <v>-5.8646551860319036</v>
      </c>
      <c r="P233">
        <f>E233-(SUM(K233:L233)*N233)</f>
        <v>57.99809599999935</v>
      </c>
      <c r="Q233">
        <f>P233/(2*H233*J233)</f>
        <v>7.4934551376721406E-2</v>
      </c>
      <c r="R233">
        <f>Q233*16.02</f>
        <v>1.2004515130550768</v>
      </c>
      <c r="AA233" s="21">
        <f t="shared" si="122"/>
        <v>-5.9043193354302304E-4</v>
      </c>
      <c r="AB233">
        <f t="shared" si="123"/>
        <v>1.2481616358278445</v>
      </c>
    </row>
    <row r="234" spans="2:29" x14ac:dyDescent="0.2">
      <c r="C234">
        <v>100000</v>
      </c>
      <c r="D234">
        <v>867.38630799999999</v>
      </c>
      <c r="E234">
        <v>-22975.778722999999</v>
      </c>
      <c r="F234">
        <v>68497.528049</v>
      </c>
      <c r="G234">
        <v>0.54563200000000001</v>
      </c>
      <c r="H234">
        <v>29.562169000000001</v>
      </c>
      <c r="I234">
        <v>177.41460699999999</v>
      </c>
      <c r="J234">
        <v>13.060176999999999</v>
      </c>
      <c r="K234">
        <v>1103</v>
      </c>
      <c r="L234">
        <v>2801</v>
      </c>
      <c r="M234">
        <f>L234/(L234+K234)</f>
        <v>0.71746926229508201</v>
      </c>
      <c r="N234">
        <f t="shared" si="120"/>
        <v>-5.8991877049180328</v>
      </c>
      <c r="O234">
        <f t="shared" si="121"/>
        <v>-5.8999972168375017</v>
      </c>
      <c r="P234">
        <f>E234-(SUM(K234:L234)*N234)</f>
        <v>54.650077000002057</v>
      </c>
      <c r="Q234">
        <f>P234/(2*H234*J234)</f>
        <v>7.077427419550246E-2</v>
      </c>
      <c r="R234">
        <f>Q234*16.02</f>
        <v>1.1338038726119495</v>
      </c>
      <c r="AA234" s="21">
        <f t="shared" si="122"/>
        <v>-8.0951191946887491E-4</v>
      </c>
      <c r="AB234">
        <f t="shared" si="123"/>
        <v>1.1993701028836785</v>
      </c>
      <c r="AC234">
        <f>AVERAGE(AB230:AB234)</f>
        <v>1.2036044161248232</v>
      </c>
    </row>
    <row r="235" spans="2:29" x14ac:dyDescent="0.2">
      <c r="R235" s="1">
        <f>AVERAGE(R230:R234)</f>
        <v>1.1408141442992705</v>
      </c>
      <c r="S235">
        <f>STDEV(R230:R234)</f>
        <v>6.6303238397251843E-2</v>
      </c>
      <c r="AA235" s="21"/>
    </row>
    <row r="236" spans="2:29" x14ac:dyDescent="0.2">
      <c r="B236" t="s">
        <v>30</v>
      </c>
      <c r="C236">
        <v>100000</v>
      </c>
      <c r="D236">
        <v>929.441822</v>
      </c>
      <c r="E236">
        <v>-18553.415833999999</v>
      </c>
      <c r="F236">
        <v>55756.534549000004</v>
      </c>
      <c r="G236">
        <v>8.0764000000000002E-2</v>
      </c>
      <c r="H236">
        <v>23.093533000000001</v>
      </c>
      <c r="I236">
        <v>184.78987499999999</v>
      </c>
      <c r="J236">
        <v>13.065530000000001</v>
      </c>
      <c r="K236">
        <v>927</v>
      </c>
      <c r="L236">
        <v>2241</v>
      </c>
      <c r="M236">
        <f>L236/(L236+K236)</f>
        <v>0.70738636363636365</v>
      </c>
      <c r="N236">
        <f>-3.9316-2.7424*M236</f>
        <v>-5.8715363636363636</v>
      </c>
      <c r="O236">
        <f>-0.6094*M236^3+0.5993*(M236^2) - 2.6874*M236 - 4.0553</f>
        <v>-5.8721542135947988</v>
      </c>
      <c r="P236">
        <f>E236-(SUM(K236:L236)*N236)</f>
        <v>47.611366000000999</v>
      </c>
      <c r="Q236">
        <f>P236/(2*H236*J236)</f>
        <v>7.889749880277129E-2</v>
      </c>
      <c r="R236">
        <f>Q236*16.02</f>
        <v>1.263937930820396</v>
      </c>
      <c r="AA236" s="21">
        <f t="shared" ref="AA236:AA240" si="124">O236-N236</f>
        <v>-6.1784995843527923E-4</v>
      </c>
      <c r="AB236">
        <f>(E236-(SUM(K236:L236)*O236))/(2*H236*J236)*16.02</f>
        <v>1.3158996247094776</v>
      </c>
    </row>
    <row r="237" spans="2:29" x14ac:dyDescent="0.2">
      <c r="C237">
        <v>100000</v>
      </c>
      <c r="D237">
        <v>929.827539</v>
      </c>
      <c r="E237">
        <v>-18636.868903999999</v>
      </c>
      <c r="F237">
        <v>55629.626104000003</v>
      </c>
      <c r="G237">
        <v>0.112664</v>
      </c>
      <c r="H237">
        <v>23.075998999999999</v>
      </c>
      <c r="I237">
        <v>184.64956799999999</v>
      </c>
      <c r="J237">
        <v>13.05561</v>
      </c>
      <c r="K237">
        <v>902</v>
      </c>
      <c r="L237">
        <v>2266</v>
      </c>
      <c r="M237">
        <f>L237/(L237+K237)</f>
        <v>0.71527777777777779</v>
      </c>
      <c r="N237">
        <f t="shared" ref="N237:N240" si="125">-3.9316-2.7424*M237</f>
        <v>-5.8931777777777778</v>
      </c>
      <c r="O237">
        <f t="shared" ref="O237:O240" si="126">-0.6094*M237^3+0.5993*(M237^2) - 2.6874*M237 - 4.0553</f>
        <v>-5.8939334421751752</v>
      </c>
      <c r="P237">
        <f>E237-(SUM(K237:L237)*N237)</f>
        <v>32.718296000002738</v>
      </c>
      <c r="Q237">
        <f>P237/(2*H237*J237)</f>
        <v>5.4300396614597804E-2</v>
      </c>
      <c r="R237">
        <f>Q237*16.02</f>
        <v>0.86989235376585683</v>
      </c>
      <c r="AA237" s="21">
        <f t="shared" si="124"/>
        <v>-7.55664397397382E-4</v>
      </c>
      <c r="AB237">
        <f t="shared" ref="AB237:AB240" si="127">(E237-(SUM(K237:L237)*O237))/(2*H237*J237)*16.02</f>
        <v>0.93354097062489561</v>
      </c>
    </row>
    <row r="238" spans="2:29" x14ac:dyDescent="0.2">
      <c r="C238">
        <v>100000</v>
      </c>
      <c r="D238">
        <v>929.69424200000003</v>
      </c>
      <c r="E238">
        <v>-18562.501325000001</v>
      </c>
      <c r="F238">
        <v>55744.521876999999</v>
      </c>
      <c r="G238">
        <v>0.47871000000000002</v>
      </c>
      <c r="H238">
        <v>23.091874000000001</v>
      </c>
      <c r="I238">
        <v>184.77660299999999</v>
      </c>
      <c r="J238">
        <v>13.064591999999999</v>
      </c>
      <c r="K238">
        <v>926</v>
      </c>
      <c r="L238">
        <v>2242</v>
      </c>
      <c r="M238">
        <f>L238/(L238+K238)</f>
        <v>0.70770202020202022</v>
      </c>
      <c r="N238">
        <f t="shared" si="125"/>
        <v>-5.8724020202020206</v>
      </c>
      <c r="O238">
        <f t="shared" si="126"/>
        <v>-5.8730237113242101</v>
      </c>
      <c r="P238">
        <f>E238-(SUM(K238:L238)*N238)</f>
        <v>41.268274999998539</v>
      </c>
      <c r="Q238">
        <f>P238/(2*H238*J238)</f>
        <v>6.8396092283363352E-2</v>
      </c>
      <c r="R238">
        <f>Q238*16.02</f>
        <v>1.0957053983794809</v>
      </c>
      <c r="AA238" s="21">
        <f t="shared" si="124"/>
        <v>-6.2169112218946054E-4</v>
      </c>
      <c r="AB238">
        <f t="shared" si="127"/>
        <v>1.1479976478052054</v>
      </c>
    </row>
    <row r="239" spans="2:29" x14ac:dyDescent="0.2">
      <c r="C239">
        <v>100000</v>
      </c>
      <c r="D239">
        <v>929.51234099999999</v>
      </c>
      <c r="E239">
        <v>-18571.992278000002</v>
      </c>
      <c r="F239">
        <v>55726.099054999999</v>
      </c>
      <c r="G239">
        <v>0.85252600000000001</v>
      </c>
      <c r="H239">
        <v>23.08933</v>
      </c>
      <c r="I239">
        <v>184.75624500000001</v>
      </c>
      <c r="J239">
        <v>13.063153</v>
      </c>
      <c r="K239">
        <v>922</v>
      </c>
      <c r="L239">
        <v>2246</v>
      </c>
      <c r="M239">
        <f>L239/(L239+K239)</f>
        <v>0.70896464646464652</v>
      </c>
      <c r="N239">
        <f t="shared" si="125"/>
        <v>-5.8758646464646462</v>
      </c>
      <c r="O239">
        <f t="shared" si="126"/>
        <v>-5.8765030874200184</v>
      </c>
      <c r="P239">
        <f>E239-(SUM(K239:L239)*N239)</f>
        <v>42.746921999998449</v>
      </c>
      <c r="Q239">
        <f>P239/(2*H239*J239)</f>
        <v>7.0862343153203181E-2</v>
      </c>
      <c r="R239">
        <f>Q239*16.02</f>
        <v>1.1352147373143149</v>
      </c>
      <c r="AA239" s="21">
        <f t="shared" si="124"/>
        <v>-6.3844095537213263E-4</v>
      </c>
      <c r="AB239">
        <f t="shared" si="127"/>
        <v>1.1889276969985529</v>
      </c>
    </row>
    <row r="240" spans="2:29" x14ac:dyDescent="0.2">
      <c r="C240">
        <v>100000</v>
      </c>
      <c r="D240">
        <v>929.82301600000005</v>
      </c>
      <c r="E240">
        <v>-18398.20594</v>
      </c>
      <c r="F240">
        <v>56031.008818000002</v>
      </c>
      <c r="G240">
        <v>0.26064900000000002</v>
      </c>
      <c r="H240">
        <v>23.131364999999999</v>
      </c>
      <c r="I240">
        <v>185.092602</v>
      </c>
      <c r="J240">
        <v>13.086935</v>
      </c>
      <c r="K240">
        <v>987</v>
      </c>
      <c r="L240">
        <v>2181</v>
      </c>
      <c r="M240">
        <f>L240/(L240+K240)</f>
        <v>0.68844696969696972</v>
      </c>
      <c r="N240">
        <f t="shared" si="125"/>
        <v>-5.8195969696969696</v>
      </c>
      <c r="O240">
        <f t="shared" si="126"/>
        <v>-5.820233277680555</v>
      </c>
      <c r="P240">
        <f>E240-(SUM(K240:L240)*N240)</f>
        <v>38.277259999998932</v>
      </c>
      <c r="Q240">
        <f>P240/(2*H240*J240)</f>
        <v>6.3222496274597209E-2</v>
      </c>
      <c r="R240">
        <f>Q240*16.02</f>
        <v>1.0128243903190473</v>
      </c>
      <c r="AA240" s="21">
        <f t="shared" si="124"/>
        <v>-6.3630798358538243E-4</v>
      </c>
      <c r="AB240">
        <f t="shared" si="127"/>
        <v>1.0661635112968897</v>
      </c>
      <c r="AC240">
        <f>AVERAGE(AB236:AB240)</f>
        <v>1.1305058902870042</v>
      </c>
    </row>
    <row r="241" spans="2:29" x14ac:dyDescent="0.2">
      <c r="R241" s="1">
        <f>AVERAGE(R236:R240)</f>
        <v>1.0755149621198192</v>
      </c>
      <c r="S241">
        <f>STDEV(R236:R240)</f>
        <v>0.14636059653093175</v>
      </c>
      <c r="AA241" s="21"/>
    </row>
    <row r="242" spans="2:29" x14ac:dyDescent="0.2">
      <c r="B242" t="s">
        <v>24</v>
      </c>
      <c r="C242">
        <v>100000</v>
      </c>
      <c r="D242">
        <v>930.00599</v>
      </c>
      <c r="E242">
        <v>-14503.470883</v>
      </c>
      <c r="F242">
        <v>43476.96529</v>
      </c>
      <c r="G242">
        <v>0.207617</v>
      </c>
      <c r="H242">
        <v>33.304318000000002</v>
      </c>
      <c r="I242">
        <v>133.23807300000001</v>
      </c>
      <c r="J242">
        <v>9.7978349999999992</v>
      </c>
      <c r="K242">
        <v>709</v>
      </c>
      <c r="L242">
        <v>1763</v>
      </c>
      <c r="M242">
        <f>L242/(L242+K242)</f>
        <v>0.7131877022653722</v>
      </c>
      <c r="N242">
        <f>-3.9316-2.7424*M242</f>
        <v>-5.8874459546925566</v>
      </c>
      <c r="O242">
        <f>-0.6094*M242^3+0.5993*(M242^2) - 2.6874*M242 - 4.0553</f>
        <v>-5.8881566029247114</v>
      </c>
      <c r="P242">
        <f>E242-(SUM(K242:L242)*N242)</f>
        <v>50.295517000000473</v>
      </c>
      <c r="Q242">
        <f>P242/(2*H242*J242)</f>
        <v>7.7067028651544189E-2</v>
      </c>
      <c r="R242">
        <f>Q242*16.02</f>
        <v>1.2346137989977379</v>
      </c>
      <c r="AA242" s="21">
        <f t="shared" ref="AA242:AA246" si="128">O242-N242</f>
        <v>-7.1064823215483131E-4</v>
      </c>
      <c r="AB242">
        <f>(E242-(SUM(K242:L242)*O242))/(2*H242*J242)*16.02</f>
        <v>1.2777364047947004</v>
      </c>
    </row>
    <row r="243" spans="2:29" x14ac:dyDescent="0.2">
      <c r="C243">
        <v>100000</v>
      </c>
      <c r="D243">
        <v>929.39842799999997</v>
      </c>
      <c r="E243">
        <v>-14471.296288</v>
      </c>
      <c r="F243">
        <v>43530.352747999998</v>
      </c>
      <c r="G243">
        <v>0.50148099999999995</v>
      </c>
      <c r="H243">
        <v>33.317943999999997</v>
      </c>
      <c r="I243">
        <v>133.292585</v>
      </c>
      <c r="J243">
        <v>9.8018429999999999</v>
      </c>
      <c r="K243">
        <v>722</v>
      </c>
      <c r="L243">
        <v>1750</v>
      </c>
      <c r="M243">
        <f>L243/(L243+K243)</f>
        <v>0.70792880258899671</v>
      </c>
      <c r="N243">
        <f t="shared" ref="N243:N246" si="129">-3.9316-2.7424*M243</f>
        <v>-5.8730239482200641</v>
      </c>
      <c r="O243">
        <f t="shared" ref="O243:O246" si="130">-0.6094*M243^3+0.5993*(M243^2) - 2.6874*M243 - 4.0553</f>
        <v>-5.8736484844435362</v>
      </c>
      <c r="P243">
        <f>E243-(SUM(K243:L243)*N243)</f>
        <v>46.818911999998818</v>
      </c>
      <c r="Q243">
        <f>P243/(2*H243*J243)</f>
        <v>7.1681219551176692E-2</v>
      </c>
      <c r="R243">
        <f>Q243*16.02</f>
        <v>1.1483331372098506</v>
      </c>
      <c r="AA243" s="21">
        <f t="shared" si="128"/>
        <v>-6.2453622347202753E-4</v>
      </c>
      <c r="AB243">
        <f t="shared" ref="AB243:AB246" si="131">(E243-(SUM(K243:L243)*O243))/(2*H243*J243)*16.02</f>
        <v>1.1861994204771671</v>
      </c>
    </row>
    <row r="244" spans="2:29" x14ac:dyDescent="0.2">
      <c r="C244">
        <v>100000</v>
      </c>
      <c r="D244">
        <v>929.88374999999996</v>
      </c>
      <c r="E244">
        <v>-14572.850042</v>
      </c>
      <c r="F244">
        <v>43347.244425999997</v>
      </c>
      <c r="G244">
        <v>0.44397599999999998</v>
      </c>
      <c r="H244">
        <v>33.271160999999999</v>
      </c>
      <c r="I244">
        <v>133.10542699999999</v>
      </c>
      <c r="J244">
        <v>9.788081</v>
      </c>
      <c r="K244">
        <v>684</v>
      </c>
      <c r="L244">
        <v>1788</v>
      </c>
      <c r="M244">
        <f>L244/(L244+K244)</f>
        <v>0.72330097087378642</v>
      </c>
      <c r="N244">
        <f t="shared" si="129"/>
        <v>-5.9151805825242718</v>
      </c>
      <c r="O244">
        <f t="shared" si="130"/>
        <v>-5.9161668219967112</v>
      </c>
      <c r="P244">
        <f>E244-(SUM(K244:L244)*N244)</f>
        <v>49.476357999999891</v>
      </c>
      <c r="Q244">
        <f>P244/(2*H244*J244)</f>
        <v>7.5963019096745008E-2</v>
      </c>
      <c r="R244">
        <f>Q244*16.02</f>
        <v>1.2169275659298551</v>
      </c>
      <c r="AA244" s="21">
        <f t="shared" si="128"/>
        <v>-9.8623947243936527E-4</v>
      </c>
      <c r="AB244">
        <f t="shared" si="131"/>
        <v>1.2768925679118275</v>
      </c>
    </row>
    <row r="245" spans="2:29" x14ac:dyDescent="0.2">
      <c r="C245">
        <v>100000</v>
      </c>
      <c r="D245">
        <v>929.35571900000002</v>
      </c>
      <c r="E245">
        <v>-14552.562153000001</v>
      </c>
      <c r="F245">
        <v>43375.213585999998</v>
      </c>
      <c r="G245">
        <v>1.1542680000000001</v>
      </c>
      <c r="H245">
        <v>33.278314999999999</v>
      </c>
      <c r="I245">
        <v>133.13404800000001</v>
      </c>
      <c r="J245">
        <v>9.7901849999999992</v>
      </c>
      <c r="K245">
        <v>693</v>
      </c>
      <c r="L245">
        <v>1779</v>
      </c>
      <c r="M245">
        <f>L245/(L245+K245)</f>
        <v>0.71966019417475724</v>
      </c>
      <c r="N245">
        <f t="shared" si="129"/>
        <v>-5.9051961165048539</v>
      </c>
      <c r="O245">
        <f t="shared" si="130"/>
        <v>-5.9060663023088535</v>
      </c>
      <c r="P245">
        <f>E245-(SUM(K245:L245)*N245)</f>
        <v>45.082646999997451</v>
      </c>
      <c r="Q245">
        <f>P245/(2*H245*J245)</f>
        <v>6.9187427794372161E-2</v>
      </c>
      <c r="R245">
        <f>Q245*16.02</f>
        <v>1.108382593265842</v>
      </c>
      <c r="AA245" s="21">
        <f t="shared" si="128"/>
        <v>-8.7018580399966794E-4</v>
      </c>
      <c r="AB245">
        <f t="shared" si="131"/>
        <v>1.1612685968052099</v>
      </c>
    </row>
    <row r="246" spans="2:29" x14ac:dyDescent="0.2">
      <c r="C246">
        <v>100000</v>
      </c>
      <c r="D246">
        <v>929.66828699999996</v>
      </c>
      <c r="E246">
        <v>-14489.745505000001</v>
      </c>
      <c r="F246">
        <v>43486.820002</v>
      </c>
      <c r="G246">
        <v>0.70175900000000002</v>
      </c>
      <c r="H246">
        <v>33.306834000000002</v>
      </c>
      <c r="I246">
        <v>133.24813800000001</v>
      </c>
      <c r="J246">
        <v>9.7985749999999996</v>
      </c>
      <c r="K246">
        <v>713</v>
      </c>
      <c r="L246">
        <v>1759</v>
      </c>
      <c r="M246">
        <f>L246/(L246+K246)</f>
        <v>0.71156957928802589</v>
      </c>
      <c r="N246">
        <f t="shared" si="129"/>
        <v>-5.8830084142394821</v>
      </c>
      <c r="O246">
        <f t="shared" si="130"/>
        <v>-5.8836884404975045</v>
      </c>
      <c r="P246">
        <f>E246-(SUM(K246:L246)*N246)</f>
        <v>53.0512949999993</v>
      </c>
      <c r="Q246">
        <f>P246/(2*H246*J246)</f>
        <v>8.1277384629751953E-2</v>
      </c>
      <c r="R246">
        <f>Q246*16.02</f>
        <v>1.3020637017686263</v>
      </c>
      <c r="AA246" s="21">
        <f t="shared" si="128"/>
        <v>-6.8002625802243699E-4</v>
      </c>
      <c r="AB246">
        <f t="shared" si="131"/>
        <v>1.3433219126541385</v>
      </c>
      <c r="AC246">
        <f>AVERAGE(AB242:AB246)</f>
        <v>1.2490837805286088</v>
      </c>
    </row>
    <row r="247" spans="2:29" x14ac:dyDescent="0.2">
      <c r="R247" s="1">
        <f>AVERAGE(R242:R246)</f>
        <v>1.2020641594343822</v>
      </c>
      <c r="S247">
        <f>STDEV(R242:R246)</f>
        <v>7.5735670170164859E-2</v>
      </c>
      <c r="AA247" s="21"/>
    </row>
    <row r="248" spans="2:29" x14ac:dyDescent="0.2">
      <c r="B248" t="s">
        <v>31</v>
      </c>
      <c r="C248">
        <v>100000</v>
      </c>
      <c r="D248">
        <v>930.11085200000002</v>
      </c>
      <c r="E248">
        <v>-18886.503799999999</v>
      </c>
      <c r="F248">
        <v>56974.020669999998</v>
      </c>
      <c r="G248">
        <v>0.15493499999999999</v>
      </c>
      <c r="H248">
        <v>26.948668999999999</v>
      </c>
      <c r="I248">
        <v>161.712829</v>
      </c>
      <c r="J248">
        <v>13.073591</v>
      </c>
      <c r="K248">
        <v>956</v>
      </c>
      <c r="L248">
        <v>2276</v>
      </c>
      <c r="M248">
        <f>L248/(L248+K248)</f>
        <v>0.70420792079207917</v>
      </c>
      <c r="N248">
        <f>-3.9316-2.7424*M248</f>
        <v>-5.8628198019801978</v>
      </c>
      <c r="O248">
        <f>-0.6094*M248^3+0.5993*(M248^2) - 2.6874*M248 - 4.0553</f>
        <v>-5.8634066615040616</v>
      </c>
      <c r="P248">
        <f>E248-(SUM(K248:L248)*N248)</f>
        <v>62.129800000002433</v>
      </c>
      <c r="Q248">
        <f>P248/(2*H248*J248)</f>
        <v>8.8173432059249823E-2</v>
      </c>
      <c r="R248">
        <f>Q248*16.02</f>
        <v>1.4125383815891821</v>
      </c>
      <c r="AA248" s="21">
        <f t="shared" ref="AA248:AA252" si="132">O248-N248</f>
        <v>-5.8685952386383633E-4</v>
      </c>
      <c r="AB248">
        <f>(E248-(SUM(K248:L248)*O248))/(2*H248*J248)*16.02</f>
        <v>1.4556610682524593</v>
      </c>
    </row>
    <row r="249" spans="2:29" x14ac:dyDescent="0.2">
      <c r="C249">
        <v>100000</v>
      </c>
      <c r="D249">
        <v>929.87970099999995</v>
      </c>
      <c r="E249">
        <v>-18865.015040999999</v>
      </c>
      <c r="F249">
        <v>57032.002943</v>
      </c>
      <c r="G249">
        <v>0.108754</v>
      </c>
      <c r="H249">
        <v>26.957806999999999</v>
      </c>
      <c r="I249">
        <v>161.76766900000001</v>
      </c>
      <c r="J249">
        <v>13.078025</v>
      </c>
      <c r="K249">
        <v>966</v>
      </c>
      <c r="L249">
        <v>2266</v>
      </c>
      <c r="M249">
        <f>L249/(L249+K249)</f>
        <v>0.70111386138613863</v>
      </c>
      <c r="N249">
        <f t="shared" ref="N249:N252" si="133">-3.9316-2.7424*M249</f>
        <v>-5.8543346534653464</v>
      </c>
      <c r="O249">
        <f t="shared" ref="O249:O252" si="134">-0.6094*M249^3+0.5993*(M249^2) - 2.6874*M249 - 4.0553</f>
        <v>-5.8549047012434707</v>
      </c>
      <c r="P249">
        <f>E249-(SUM(K249:L249)*N249)</f>
        <v>56.194558999999572</v>
      </c>
      <c r="Q249">
        <f>P249/(2*H249*J249)</f>
        <v>7.969618797178428E-2</v>
      </c>
      <c r="R249">
        <f>Q249*16.02</f>
        <v>1.276732931307984</v>
      </c>
      <c r="AA249" s="21">
        <f t="shared" si="132"/>
        <v>-5.7004777812430518E-4</v>
      </c>
      <c r="AB249">
        <f t="shared" ref="AB249:AB252" si="135">(E249-(SUM(K249:L249)*O249))/(2*H249*J249)*16.02</f>
        <v>1.3185918882768461</v>
      </c>
    </row>
    <row r="250" spans="2:29" x14ac:dyDescent="0.2">
      <c r="C250">
        <v>100000</v>
      </c>
      <c r="D250">
        <v>929.40366300000005</v>
      </c>
      <c r="E250">
        <v>-18997.644359999998</v>
      </c>
      <c r="F250">
        <v>56759.108460000003</v>
      </c>
      <c r="G250">
        <v>7.6965000000000006E-2</v>
      </c>
      <c r="H250">
        <v>26.914740999999999</v>
      </c>
      <c r="I250">
        <v>161.50924000000001</v>
      </c>
      <c r="J250">
        <v>13.057131999999999</v>
      </c>
      <c r="K250">
        <v>913</v>
      </c>
      <c r="L250">
        <v>2319</v>
      </c>
      <c r="M250">
        <f>L250/(L250+K250)</f>
        <v>0.71751237623762376</v>
      </c>
      <c r="N250">
        <f t="shared" si="133"/>
        <v>-5.8993059405940595</v>
      </c>
      <c r="O250">
        <f t="shared" si="134"/>
        <v>-5.9001165803831199</v>
      </c>
      <c r="P250">
        <f>E250-(SUM(K250:L250)*N250)</f>
        <v>68.912440000003699</v>
      </c>
      <c r="Q250">
        <f>P250/(2*H250*J250)</f>
        <v>9.8045943956558329E-2</v>
      </c>
      <c r="R250">
        <f>Q250*16.02</f>
        <v>1.5706960221840645</v>
      </c>
      <c r="AA250" s="21">
        <f t="shared" si="132"/>
        <v>-8.1063978906037448E-4</v>
      </c>
      <c r="AB250">
        <f t="shared" si="135"/>
        <v>1.6304124451240438</v>
      </c>
    </row>
    <row r="251" spans="2:29" x14ac:dyDescent="0.2">
      <c r="C251">
        <v>100000</v>
      </c>
      <c r="D251">
        <v>929.92965900000002</v>
      </c>
      <c r="E251">
        <v>-18971.895715999999</v>
      </c>
      <c r="F251">
        <v>56836.561614999999</v>
      </c>
      <c r="G251">
        <v>0.41580699999999998</v>
      </c>
      <c r="H251">
        <v>26.926977999999998</v>
      </c>
      <c r="I251">
        <v>161.582671</v>
      </c>
      <c r="J251">
        <v>13.063069</v>
      </c>
      <c r="K251">
        <v>922</v>
      </c>
      <c r="L251">
        <v>2310</v>
      </c>
      <c r="M251">
        <f>L251/(L251+K251)</f>
        <v>0.71472772277227725</v>
      </c>
      <c r="N251">
        <f t="shared" si="133"/>
        <v>-5.8916693069306927</v>
      </c>
      <c r="O251">
        <f t="shared" si="134"/>
        <v>-5.8924125255169004</v>
      </c>
      <c r="P251">
        <f>E251-(SUM(K251:L251)*N251)</f>
        <v>69.979483999999502</v>
      </c>
      <c r="Q251">
        <f>P251/(2*H251*J251)</f>
        <v>9.9473615639246532E-2</v>
      </c>
      <c r="R251">
        <f>Q251*16.02</f>
        <v>1.5935673225407294</v>
      </c>
      <c r="AA251" s="21">
        <f t="shared" si="132"/>
        <v>-7.4321858620773895E-4</v>
      </c>
      <c r="AB251">
        <f t="shared" si="135"/>
        <v>1.6482673562139463</v>
      </c>
    </row>
    <row r="252" spans="2:29" x14ac:dyDescent="0.2">
      <c r="C252">
        <v>100000</v>
      </c>
      <c r="D252">
        <v>929.98179100000004</v>
      </c>
      <c r="E252">
        <v>-18918.518854999998</v>
      </c>
      <c r="F252">
        <v>56898.955901000001</v>
      </c>
      <c r="G252">
        <v>0.54408299999999998</v>
      </c>
      <c r="H252">
        <v>26.936827999999998</v>
      </c>
      <c r="I252">
        <v>161.64177799999999</v>
      </c>
      <c r="J252">
        <v>13.067847</v>
      </c>
      <c r="K252">
        <v>946</v>
      </c>
      <c r="L252">
        <v>2286</v>
      </c>
      <c r="M252">
        <f>L252/(L252+K252)</f>
        <v>0.70730198019801982</v>
      </c>
      <c r="N252">
        <f t="shared" si="133"/>
        <v>-5.8713049504950492</v>
      </c>
      <c r="O252">
        <f t="shared" si="134"/>
        <v>-5.8719217970377731</v>
      </c>
      <c r="P252">
        <f>E252-(SUM(K252:L252)*N252)</f>
        <v>57.538745000001654</v>
      </c>
      <c r="Q252">
        <f>P252/(2*H252*J252)</f>
        <v>8.1729698193506214E-2</v>
      </c>
      <c r="R252">
        <f>Q252*16.02</f>
        <v>1.3093097650599694</v>
      </c>
      <c r="AA252" s="21">
        <f t="shared" si="132"/>
        <v>-6.1684654272387007E-4</v>
      </c>
      <c r="AB252">
        <f t="shared" si="135"/>
        <v>1.3546757671972114</v>
      </c>
      <c r="AC252">
        <f>AVERAGE(AB248:AB252)</f>
        <v>1.4815217050129015</v>
      </c>
    </row>
    <row r="253" spans="2:29" x14ac:dyDescent="0.2">
      <c r="R253" s="1">
        <f>AVERAGE(R248:R252)</f>
        <v>1.432568884536386</v>
      </c>
      <c r="S253">
        <f>STDEV(R248:R252)</f>
        <v>0.14566955678487123</v>
      </c>
      <c r="AA253" s="21"/>
    </row>
    <row r="254" spans="2:29" x14ac:dyDescent="0.2">
      <c r="B254" t="s">
        <v>23</v>
      </c>
      <c r="C254">
        <v>100000</v>
      </c>
      <c r="D254">
        <v>929.67116799999997</v>
      </c>
      <c r="E254">
        <v>-16834.738848000001</v>
      </c>
      <c r="F254">
        <v>50735.354321999999</v>
      </c>
      <c r="G254">
        <v>0.24448500000000001</v>
      </c>
      <c r="H254">
        <v>31.038526000000001</v>
      </c>
      <c r="I254">
        <v>124.530328</v>
      </c>
      <c r="J254">
        <v>13.126056999999999</v>
      </c>
      <c r="K254">
        <v>847</v>
      </c>
      <c r="L254">
        <v>2033</v>
      </c>
      <c r="M254">
        <f>L254/(L254+K254)</f>
        <v>0.70590277777777777</v>
      </c>
      <c r="N254">
        <f>-3.9316-2.7424*M254</f>
        <v>-5.8674677777777777</v>
      </c>
      <c r="O254">
        <f>-0.6094*M254^3+0.5993*(M254^2) - 2.6874*M254 - 4.0553</f>
        <v>-5.8680694247320062</v>
      </c>
      <c r="P254">
        <f>E254-(SUM(K254:L254)*N254)</f>
        <v>63.568351999998413</v>
      </c>
      <c r="Q254">
        <f>P254/(2*H254*J254)</f>
        <v>7.8014545432944712E-2</v>
      </c>
      <c r="R254">
        <f>Q254*16.02</f>
        <v>1.2497930178357743</v>
      </c>
      <c r="AA254" s="21">
        <f t="shared" ref="AA254:AA258" si="136">O254-N254</f>
        <v>-6.0164695422848524E-4</v>
      </c>
      <c r="AB254">
        <f>(E254-(SUM(K254:L254)*O254))/(2*H254*J254)*16.02</f>
        <v>1.2838598186910066</v>
      </c>
    </row>
    <row r="255" spans="2:29" x14ac:dyDescent="0.2">
      <c r="C255">
        <v>100000</v>
      </c>
      <c r="D255">
        <v>929.67465000000004</v>
      </c>
      <c r="E255">
        <v>-16866.766113999998</v>
      </c>
      <c r="F255">
        <v>50678.802617000001</v>
      </c>
      <c r="G255">
        <v>-5.8131000000000002E-2</v>
      </c>
      <c r="H255">
        <v>31.026990000000001</v>
      </c>
      <c r="I255">
        <v>124.484043</v>
      </c>
      <c r="J255">
        <v>13.121178</v>
      </c>
      <c r="K255">
        <v>838</v>
      </c>
      <c r="L255">
        <v>2042</v>
      </c>
      <c r="M255">
        <f>L255/(L255+K255)</f>
        <v>0.70902777777777781</v>
      </c>
      <c r="N255">
        <f t="shared" ref="N255:N258" si="137">-3.9316-2.7424*M255</f>
        <v>-5.8760377777777784</v>
      </c>
      <c r="O255">
        <f t="shared" ref="O255:O258" si="138">-0.6094*M255^3+0.5993*(M255^2) - 2.6874*M255 - 4.0553</f>
        <v>-5.8766771144860117</v>
      </c>
      <c r="P255">
        <f>E255-(SUM(K255:L255)*N255)</f>
        <v>56.222686000004614</v>
      </c>
      <c r="Q255">
        <f>P255/(2*H255*J255)</f>
        <v>6.9050864688909475E-2</v>
      </c>
      <c r="R255">
        <f>Q255*16.02</f>
        <v>1.1061948523163299</v>
      </c>
      <c r="AA255" s="21">
        <f t="shared" si="136"/>
        <v>-6.393367082333512E-4</v>
      </c>
      <c r="AB255">
        <f t="shared" ref="AB255:AB258" si="139">(E255-(SUM(K255:L255)*O255))/(2*H255*J255)*16.02</f>
        <v>1.1424226698483573</v>
      </c>
    </row>
    <row r="256" spans="2:29" x14ac:dyDescent="0.2">
      <c r="C256">
        <v>100000</v>
      </c>
      <c r="D256">
        <v>929.95741999999996</v>
      </c>
      <c r="E256">
        <v>-16831.815666999999</v>
      </c>
      <c r="F256">
        <v>50736.890474</v>
      </c>
      <c r="G256">
        <v>0.79896299999999998</v>
      </c>
      <c r="H256">
        <v>31.038838999999999</v>
      </c>
      <c r="I256">
        <v>124.53158500000001</v>
      </c>
      <c r="J256">
        <v>13.126189</v>
      </c>
      <c r="K256">
        <v>847</v>
      </c>
      <c r="L256">
        <v>2033</v>
      </c>
      <c r="M256">
        <f>L256/(L256+K256)</f>
        <v>0.70590277777777777</v>
      </c>
      <c r="N256">
        <f t="shared" si="137"/>
        <v>-5.8674677777777777</v>
      </c>
      <c r="O256">
        <f t="shared" si="138"/>
        <v>-5.8680694247320062</v>
      </c>
      <c r="P256">
        <f>E256-(SUM(K256:L256)*N256)</f>
        <v>66.491533000000345</v>
      </c>
      <c r="Q256">
        <f>P256/(2*H256*J256)</f>
        <v>8.1600388954147493E-2</v>
      </c>
      <c r="R256">
        <f>Q256*16.02</f>
        <v>1.3072382310454429</v>
      </c>
      <c r="AA256" s="21">
        <f t="shared" si="136"/>
        <v>-6.0164695422848524E-4</v>
      </c>
      <c r="AB256">
        <f t="shared" si="139"/>
        <v>1.3413043457860905</v>
      </c>
    </row>
    <row r="257" spans="2:29" x14ac:dyDescent="0.2">
      <c r="C257">
        <v>100000</v>
      </c>
      <c r="D257">
        <v>929.82269899999994</v>
      </c>
      <c r="E257">
        <v>-16837.249522999999</v>
      </c>
      <c r="F257">
        <v>50721.546478999997</v>
      </c>
      <c r="G257">
        <v>-0.51973199999999997</v>
      </c>
      <c r="H257">
        <v>31.035710000000002</v>
      </c>
      <c r="I257">
        <v>124.51903</v>
      </c>
      <c r="J257">
        <v>13.124866000000001</v>
      </c>
      <c r="K257">
        <v>841</v>
      </c>
      <c r="L257">
        <v>2039</v>
      </c>
      <c r="M257">
        <f>L257/(L257+K257)</f>
        <v>0.70798611111111109</v>
      </c>
      <c r="N257">
        <f t="shared" si="137"/>
        <v>-5.8731811111111112</v>
      </c>
      <c r="O257">
        <f t="shared" si="138"/>
        <v>-5.8738063776118103</v>
      </c>
      <c r="P257">
        <f>E257-(SUM(K257:L257)*N257)</f>
        <v>77.512077000003046</v>
      </c>
      <c r="Q257">
        <f>P257/(2*H257*J257)</f>
        <v>9.5144308797192712E-2</v>
      </c>
      <c r="R257">
        <f>Q257*16.02</f>
        <v>1.5242118269310272</v>
      </c>
      <c r="AA257" s="21">
        <f t="shared" si="136"/>
        <v>-6.2526650069916201E-4</v>
      </c>
      <c r="AB257">
        <f t="shared" si="139"/>
        <v>1.5596224527435918</v>
      </c>
    </row>
    <row r="258" spans="2:29" x14ac:dyDescent="0.2">
      <c r="C258">
        <v>100000</v>
      </c>
      <c r="D258">
        <v>929.55534699999998</v>
      </c>
      <c r="E258">
        <v>-16778.523864999999</v>
      </c>
      <c r="F258">
        <v>50855.876668999997</v>
      </c>
      <c r="G258">
        <v>0.65844599999999998</v>
      </c>
      <c r="H258">
        <v>31.063084</v>
      </c>
      <c r="I258">
        <v>124.62885799999999</v>
      </c>
      <c r="J258">
        <v>13.136442000000001</v>
      </c>
      <c r="K258">
        <v>870</v>
      </c>
      <c r="L258">
        <v>2010</v>
      </c>
      <c r="M258">
        <f>L258/(L258+K258)</f>
        <v>0.69791666666666663</v>
      </c>
      <c r="N258">
        <f t="shared" si="137"/>
        <v>-5.8455666666666666</v>
      </c>
      <c r="O258">
        <f t="shared" si="138"/>
        <v>-5.8461330686216</v>
      </c>
      <c r="P258">
        <f>E258-(SUM(K258:L258)*N258)</f>
        <v>56.708135000000766</v>
      </c>
      <c r="Q258">
        <f>P258/(2*H258*J258)</f>
        <v>6.9485317320202647E-2</v>
      </c>
      <c r="R258">
        <f>Q258*16.02</f>
        <v>1.1131547834696465</v>
      </c>
      <c r="AA258" s="21">
        <f t="shared" si="136"/>
        <v>-5.6640195493340428E-4</v>
      </c>
      <c r="AB258">
        <f t="shared" si="139"/>
        <v>1.1451752329350051</v>
      </c>
      <c r="AC258">
        <f>AVERAGE(AB254:AB258)</f>
        <v>1.2944769040008104</v>
      </c>
    </row>
    <row r="259" spans="2:29" x14ac:dyDescent="0.2">
      <c r="R259" s="1">
        <f>AVERAGE(R254:R258)</f>
        <v>1.2601185423196442</v>
      </c>
      <c r="S259">
        <f>STDEV(R254:R258)</f>
        <v>0.17129141342889212</v>
      </c>
      <c r="AA259" s="21"/>
    </row>
    <row r="260" spans="2:29" x14ac:dyDescent="0.2">
      <c r="B260" t="s">
        <v>32</v>
      </c>
      <c r="C260">
        <v>100000</v>
      </c>
      <c r="D260">
        <v>929.640401</v>
      </c>
      <c r="E260">
        <v>-21536.431788999998</v>
      </c>
      <c r="F260">
        <v>64776.476921000001</v>
      </c>
      <c r="G260">
        <v>0.70106599999999997</v>
      </c>
      <c r="H260">
        <v>24.885255000000001</v>
      </c>
      <c r="I260">
        <v>199.12367399999999</v>
      </c>
      <c r="J260">
        <v>13.072305</v>
      </c>
      <c r="K260">
        <v>1083</v>
      </c>
      <c r="L260">
        <v>2597</v>
      </c>
      <c r="M260">
        <f>L260/(L260+K260)</f>
        <v>0.7057065217391304</v>
      </c>
      <c r="N260">
        <f>-3.9316-2.7424*M260</f>
        <v>-5.866929565217391</v>
      </c>
      <c r="O260">
        <f>-0.6094*M260^3+0.5993*(M260^2) - 2.6874*M260 - 4.0553</f>
        <v>-5.867529296901691</v>
      </c>
      <c r="P260">
        <f>E260-(SUM(K260:L260)*N260)</f>
        <v>53.869010999998864</v>
      </c>
      <c r="Q260">
        <f>P260/(2*H260*J260)</f>
        <v>8.2797026290472794E-2</v>
      </c>
      <c r="R260">
        <f>Q260*16.02</f>
        <v>1.3264083611733741</v>
      </c>
      <c r="AA260" s="21">
        <f t="shared" ref="AA260:AA264" si="140">O260-N260</f>
        <v>-5.997316843000533E-4</v>
      </c>
      <c r="AB260">
        <f>(E260-(SUM(K260:L260)*O260))/(2*H260*J260)*16.02</f>
        <v>1.3807512924646144</v>
      </c>
    </row>
    <row r="261" spans="2:29" x14ac:dyDescent="0.2">
      <c r="C261">
        <v>100000</v>
      </c>
      <c r="D261">
        <v>929.39582600000006</v>
      </c>
      <c r="E261">
        <v>-21598.678085</v>
      </c>
      <c r="F261">
        <v>64688.902542999997</v>
      </c>
      <c r="G261">
        <v>0.108462</v>
      </c>
      <c r="H261">
        <v>24.874036</v>
      </c>
      <c r="I261">
        <v>199.03390099999999</v>
      </c>
      <c r="J261">
        <v>13.066411</v>
      </c>
      <c r="K261">
        <v>1059</v>
      </c>
      <c r="L261">
        <v>2621</v>
      </c>
      <c r="M261">
        <f>L261/(L261+K261)</f>
        <v>0.71222826086956526</v>
      </c>
      <c r="N261">
        <f t="shared" ref="N261:N264" si="141">-3.9316-2.7424*M261</f>
        <v>-5.8848147826086956</v>
      </c>
      <c r="O261">
        <f t="shared" ref="O261:O264" si="142">-0.6094*M261^3+0.5993*(M261^2) - 2.6874*M261 - 4.0553</f>
        <v>-5.8855068297481914</v>
      </c>
      <c r="P261">
        <f>E261-(SUM(K261:L261)*N261)</f>
        <v>57.440314999999828</v>
      </c>
      <c r="Q261">
        <f>P261/(2*H261*J261)</f>
        <v>8.8365806188803228E-2</v>
      </c>
      <c r="R261">
        <f>Q261*16.02</f>
        <v>1.4156202151446278</v>
      </c>
      <c r="AA261" s="21">
        <f t="shared" si="140"/>
        <v>-6.9204713949577723E-4</v>
      </c>
      <c r="AB261">
        <f t="shared" ref="AB261:AB264" si="143">(E261-(SUM(K261:L261)*O261))/(2*H261*J261)*16.02</f>
        <v>1.4783846235127078</v>
      </c>
    </row>
    <row r="262" spans="2:29" x14ac:dyDescent="0.2">
      <c r="C262">
        <v>100000</v>
      </c>
      <c r="D262">
        <v>929.77730599999995</v>
      </c>
      <c r="E262">
        <v>-21516.513578999999</v>
      </c>
      <c r="F262">
        <v>64852.191114000001</v>
      </c>
      <c r="G262">
        <v>-6.2964000000000006E-2</v>
      </c>
      <c r="H262">
        <v>24.894946999999998</v>
      </c>
      <c r="I262">
        <v>199.20122599999999</v>
      </c>
      <c r="J262">
        <v>13.077396</v>
      </c>
      <c r="K262">
        <v>1092</v>
      </c>
      <c r="L262">
        <v>2588</v>
      </c>
      <c r="M262">
        <f>L262/(L262+K262)</f>
        <v>0.70326086956521738</v>
      </c>
      <c r="N262">
        <f t="shared" si="141"/>
        <v>-5.8602226086956524</v>
      </c>
      <c r="O262">
        <f t="shared" si="142"/>
        <v>-5.8608029281717453</v>
      </c>
      <c r="P262">
        <f>E262-(SUM(K262:L262)*N262)</f>
        <v>49.105621000002429</v>
      </c>
      <c r="Q262">
        <f>P262/(2*H262*J262)</f>
        <v>7.5416909404581567E-2</v>
      </c>
      <c r="R262">
        <f>Q262*16.02</f>
        <v>1.2081788886613967</v>
      </c>
      <c r="AA262" s="21">
        <f t="shared" si="140"/>
        <v>-5.8031947609293866E-4</v>
      </c>
      <c r="AB262">
        <f t="shared" si="143"/>
        <v>1.2607219049094962</v>
      </c>
    </row>
    <row r="263" spans="2:29" x14ac:dyDescent="0.2">
      <c r="C263">
        <v>100000</v>
      </c>
      <c r="D263">
        <v>929.73616300000003</v>
      </c>
      <c r="E263">
        <v>-21585.387096999999</v>
      </c>
      <c r="F263">
        <v>64712.797089</v>
      </c>
      <c r="G263">
        <v>5.4196000000000001E-2</v>
      </c>
      <c r="H263">
        <v>24.877098</v>
      </c>
      <c r="I263">
        <v>199.058402</v>
      </c>
      <c r="J263">
        <v>13.068020000000001</v>
      </c>
      <c r="K263">
        <v>1065</v>
      </c>
      <c r="L263">
        <v>2615</v>
      </c>
      <c r="M263">
        <f>L263/(L263+K263)</f>
        <v>0.71059782608695654</v>
      </c>
      <c r="N263">
        <f t="shared" si="141"/>
        <v>-5.8803434782608699</v>
      </c>
      <c r="O263">
        <f t="shared" si="142"/>
        <v>-5.8810068813930645</v>
      </c>
      <c r="P263">
        <f>E263-(SUM(K263:L263)*N263)</f>
        <v>54.276903000001766</v>
      </c>
      <c r="Q263">
        <f>P263/(2*H263*J263)</f>
        <v>8.3478676698540921E-2</v>
      </c>
      <c r="R263">
        <f>Q263*16.02</f>
        <v>1.3373284007106254</v>
      </c>
      <c r="AA263" s="21">
        <f t="shared" si="140"/>
        <v>-6.6340313219459546E-4</v>
      </c>
      <c r="AB263">
        <f t="shared" si="143"/>
        <v>1.3974801615301387</v>
      </c>
    </row>
    <row r="264" spans="2:29" x14ac:dyDescent="0.2">
      <c r="C264">
        <v>100000</v>
      </c>
      <c r="D264">
        <v>929.829564</v>
      </c>
      <c r="E264">
        <v>-21566.40927</v>
      </c>
      <c r="F264">
        <v>64743.882139000001</v>
      </c>
      <c r="G264">
        <v>9.1996999999999995E-2</v>
      </c>
      <c r="H264">
        <v>24.881080999999998</v>
      </c>
      <c r="I264">
        <v>199.090271</v>
      </c>
      <c r="J264">
        <v>13.070112</v>
      </c>
      <c r="K264">
        <v>1070</v>
      </c>
      <c r="L264">
        <v>2610</v>
      </c>
      <c r="M264">
        <f>L264/(L264+K264)</f>
        <v>0.70923913043478259</v>
      </c>
      <c r="N264">
        <f t="shared" si="141"/>
        <v>-5.8766173913043476</v>
      </c>
      <c r="O264">
        <f t="shared" si="142"/>
        <v>-5.8772597672744089</v>
      </c>
      <c r="P264">
        <f>E264-(SUM(K264:L264)*N264)</f>
        <v>59.542729999997391</v>
      </c>
      <c r="Q264">
        <f>P264/(2*H264*J264)</f>
        <v>9.1548280802754151E-2</v>
      </c>
      <c r="R264">
        <f>Q264*16.02</f>
        <v>1.4666034584601215</v>
      </c>
      <c r="AA264" s="21">
        <f t="shared" si="140"/>
        <v>-6.423759700613374E-4</v>
      </c>
      <c r="AB264">
        <f t="shared" si="143"/>
        <v>1.524830009629579</v>
      </c>
      <c r="AC264">
        <f>AVERAGE(AB260:AB264)</f>
        <v>1.4084335984093073</v>
      </c>
    </row>
    <row r="265" spans="2:29" x14ac:dyDescent="0.2">
      <c r="R265" s="1">
        <f>AVERAGE(R260:R264)</f>
        <v>1.3508278648300291</v>
      </c>
      <c r="S265">
        <f>STDEV(R260:R264)</f>
        <v>9.8398824728750556E-2</v>
      </c>
      <c r="AA265" s="21"/>
    </row>
    <row r="266" spans="2:29" x14ac:dyDescent="0.2">
      <c r="B266" t="s">
        <v>22</v>
      </c>
      <c r="C266">
        <v>100000</v>
      </c>
      <c r="D266">
        <v>867.28209800000002</v>
      </c>
      <c r="E266">
        <v>-22003.408512000002</v>
      </c>
      <c r="F266">
        <v>66730.532093999995</v>
      </c>
      <c r="G266">
        <v>0.56861799999999996</v>
      </c>
      <c r="H266">
        <v>29.172281999999999</v>
      </c>
      <c r="I266">
        <v>87.667458999999994</v>
      </c>
      <c r="J266">
        <v>26.092495</v>
      </c>
      <c r="K266">
        <v>1127</v>
      </c>
      <c r="L266">
        <v>2649</v>
      </c>
      <c r="M266">
        <f>L266/(L266+K266)</f>
        <v>0.70153601694915257</v>
      </c>
      <c r="N266">
        <f>-3.9316-2.7424*M266</f>
        <v>-5.8554923728813559</v>
      </c>
      <c r="O266">
        <f>-0.6094*M266^3+0.5993*(M266^2) - 2.6874*M266 - 4.0553</f>
        <v>-5.8560639422430949</v>
      </c>
      <c r="P266">
        <f>E266-(SUM(K266:L266)*N266)</f>
        <v>106.93068799999674</v>
      </c>
      <c r="Q266">
        <f>P266/(2*H266*J266)</f>
        <v>7.0240299292841452E-2</v>
      </c>
      <c r="R266">
        <f>Q266*16.02</f>
        <v>1.1252495946713201</v>
      </c>
      <c r="AA266" s="21">
        <f t="shared" ref="AA266:AA270" si="144">O266-N266</f>
        <v>-5.7156936173896611E-4</v>
      </c>
      <c r="AB266">
        <f>(E266-(SUM(K266:L266)*O266))/(2*H266*J266)*16.02</f>
        <v>1.1479611789767135</v>
      </c>
    </row>
    <row r="267" spans="2:29" x14ac:dyDescent="0.2">
      <c r="C267">
        <v>100000</v>
      </c>
      <c r="D267">
        <v>867.24803399999996</v>
      </c>
      <c r="E267">
        <v>-22003.096711999999</v>
      </c>
      <c r="F267">
        <v>66743.459034</v>
      </c>
      <c r="G267">
        <v>0.54561300000000001</v>
      </c>
      <c r="H267">
        <v>29.174164999999999</v>
      </c>
      <c r="I267">
        <v>87.673119999999997</v>
      </c>
      <c r="J267">
        <v>26.094180000000001</v>
      </c>
      <c r="K267">
        <v>1124</v>
      </c>
      <c r="L267">
        <v>2652</v>
      </c>
      <c r="M267">
        <f>L267/(L267+K267)</f>
        <v>0.70233050847457623</v>
      </c>
      <c r="N267">
        <f t="shared" ref="N267:N270" si="145">-3.9316-2.7424*M267</f>
        <v>-5.8576711864406779</v>
      </c>
      <c r="O267">
        <f t="shared" ref="O267:O270" si="146">-0.6094*M267^3+0.5993*(M267^2) - 2.6874*M267 - 4.0553</f>
        <v>-5.8582462800616568</v>
      </c>
      <c r="P267">
        <f>E267-(SUM(K267:L267)*N267)</f>
        <v>115.46968800000104</v>
      </c>
      <c r="Q267">
        <f>P267/(2*H267*J267)</f>
        <v>7.5839578035671817E-2</v>
      </c>
      <c r="R267">
        <f>Q267*16.02</f>
        <v>1.2149500401314626</v>
      </c>
      <c r="AA267" s="21">
        <f t="shared" si="144"/>
        <v>-5.7509362097896144E-4</v>
      </c>
      <c r="AB267">
        <f t="shared" ref="AB267:AB270" si="147">(E267-(SUM(K267:L267)*O267))/(2*H267*J267)*16.02</f>
        <v>1.2377987121357075</v>
      </c>
    </row>
    <row r="268" spans="2:29" x14ac:dyDescent="0.2">
      <c r="C268">
        <v>100000</v>
      </c>
      <c r="D268">
        <v>867.33711300000004</v>
      </c>
      <c r="E268">
        <v>-22074.468816000001</v>
      </c>
      <c r="F268">
        <v>66575.376980999994</v>
      </c>
      <c r="G268">
        <v>0.23333300000000001</v>
      </c>
      <c r="H268">
        <v>29.149654999999999</v>
      </c>
      <c r="I268">
        <v>87.599461000000005</v>
      </c>
      <c r="J268">
        <v>26.072257</v>
      </c>
      <c r="K268">
        <v>1101</v>
      </c>
      <c r="L268">
        <v>2675</v>
      </c>
      <c r="M268">
        <f>L268/(L268+K268)</f>
        <v>0.70842161016949157</v>
      </c>
      <c r="N268">
        <f t="shared" si="145"/>
        <v>-5.8743754237288135</v>
      </c>
      <c r="O268">
        <f t="shared" si="146"/>
        <v>-5.8750063889710411</v>
      </c>
      <c r="P268">
        <f>E268-(SUM(K268:L268)*N268)</f>
        <v>107.1727839999985</v>
      </c>
      <c r="Q268">
        <f>P268/(2*H268*J268)</f>
        <v>7.0508661331065786E-2</v>
      </c>
      <c r="R268">
        <f>Q268*16.02</f>
        <v>1.1295487545236738</v>
      </c>
      <c r="AA268" s="21">
        <f t="shared" si="144"/>
        <v>-6.3096524222761019E-4</v>
      </c>
      <c r="AB268">
        <f t="shared" si="147"/>
        <v>1.1546594007978155</v>
      </c>
    </row>
    <row r="269" spans="2:29" x14ac:dyDescent="0.2">
      <c r="C269">
        <v>100000</v>
      </c>
      <c r="D269">
        <v>867.33506899999998</v>
      </c>
      <c r="E269">
        <v>-22151.214372999999</v>
      </c>
      <c r="F269">
        <v>66458.583522000001</v>
      </c>
      <c r="G269">
        <v>0.68498700000000001</v>
      </c>
      <c r="H269">
        <v>29.132598999999999</v>
      </c>
      <c r="I269">
        <v>87.548204999999996</v>
      </c>
      <c r="J269">
        <v>26.057001</v>
      </c>
      <c r="K269">
        <v>1072</v>
      </c>
      <c r="L269">
        <v>2704</v>
      </c>
      <c r="M269">
        <f>L269/(L269+K269)</f>
        <v>0.71610169491525422</v>
      </c>
      <c r="N269">
        <f t="shared" si="145"/>
        <v>-5.895437288135593</v>
      </c>
      <c r="O269">
        <f t="shared" si="146"/>
        <v>-5.8962123969740086</v>
      </c>
      <c r="P269">
        <f>E269-(SUM(K269:L269)*N269)</f>
        <v>109.95682700000179</v>
      </c>
      <c r="Q269">
        <f>P269/(2*H269*J269)</f>
        <v>7.2425006480783496E-2</v>
      </c>
      <c r="R269">
        <f>Q269*16.02</f>
        <v>1.1602486038221516</v>
      </c>
      <c r="AA269" s="21">
        <f t="shared" si="144"/>
        <v>-7.7510883841558353E-4</v>
      </c>
      <c r="AB269">
        <f t="shared" si="147"/>
        <v>1.191131891733566</v>
      </c>
    </row>
    <row r="270" spans="2:29" x14ac:dyDescent="0.2">
      <c r="C270">
        <v>100000</v>
      </c>
      <c r="D270">
        <v>867.463438</v>
      </c>
      <c r="E270">
        <v>-22093.865753999999</v>
      </c>
      <c r="F270">
        <v>66541.600349999993</v>
      </c>
      <c r="G270">
        <v>0.61161200000000004</v>
      </c>
      <c r="H270">
        <v>29.144724</v>
      </c>
      <c r="I270">
        <v>87.584643999999997</v>
      </c>
      <c r="J270">
        <v>26.067847</v>
      </c>
      <c r="K270">
        <v>1095</v>
      </c>
      <c r="L270">
        <v>2681</v>
      </c>
      <c r="M270">
        <f>L270/(L270+K270)</f>
        <v>0.71001059322033899</v>
      </c>
      <c r="N270">
        <f t="shared" si="145"/>
        <v>-5.8787330508474573</v>
      </c>
      <c r="O270">
        <f t="shared" si="146"/>
        <v>-5.8793870494701457</v>
      </c>
      <c r="P270">
        <f>E270-(SUM(K270:L270)*N270)</f>
        <v>104.23024599999917</v>
      </c>
      <c r="Q270">
        <f>P270/(2*H270*J270)</f>
        <v>6.8595978707330529E-2</v>
      </c>
      <c r="R270">
        <f>Q270*16.02</f>
        <v>1.0989075788914351</v>
      </c>
      <c r="AA270" s="21">
        <f t="shared" si="144"/>
        <v>-6.5399862268833431E-4</v>
      </c>
      <c r="AB270">
        <f t="shared" si="147"/>
        <v>1.1249436965322288</v>
      </c>
      <c r="AC270">
        <f>AVERAGE(AB266:AB270)</f>
        <v>1.1712989760352062</v>
      </c>
    </row>
    <row r="271" spans="2:29" x14ac:dyDescent="0.2">
      <c r="R271" s="1">
        <f>AVERAGE(R266:R270)</f>
        <v>1.1457809144080087</v>
      </c>
      <c r="S271">
        <f>STDEV(R266:R270)</f>
        <v>4.4372879322343677E-2</v>
      </c>
      <c r="AA271" s="21"/>
    </row>
    <row r="272" spans="2:29" x14ac:dyDescent="0.2">
      <c r="B272" t="s">
        <v>33</v>
      </c>
      <c r="C272">
        <v>100000</v>
      </c>
      <c r="D272">
        <v>929.68498299999999</v>
      </c>
      <c r="E272">
        <v>-37877.815121</v>
      </c>
      <c r="F272">
        <v>114428.48304799999</v>
      </c>
      <c r="G272">
        <v>-8.5916000000000006E-2</v>
      </c>
      <c r="H272">
        <v>38.161439999999999</v>
      </c>
      <c r="I272">
        <v>229.03118499999999</v>
      </c>
      <c r="J272">
        <v>13.092261000000001</v>
      </c>
      <c r="K272">
        <v>1948</v>
      </c>
      <c r="L272">
        <v>4540</v>
      </c>
      <c r="M272">
        <f>L272/(L272+K272)</f>
        <v>0.6997533908754624</v>
      </c>
      <c r="N272">
        <f>-3.9316-2.7424*M272</f>
        <v>-5.850603699136868</v>
      </c>
      <c r="O272">
        <f>-0.6094*M272^3+0.5993*(M272^2) - 2.6874*M272 - 4.0553</f>
        <v>-5.8511704971062022</v>
      </c>
      <c r="P272">
        <f>E272-(SUM(K272:L272)*N272)</f>
        <v>80.901679000002332</v>
      </c>
      <c r="Q272">
        <f>P272/(2*H272*J272)</f>
        <v>8.0963286779870594E-2</v>
      </c>
      <c r="R272">
        <f>Q272*16.02</f>
        <v>1.2970318542135268</v>
      </c>
      <c r="AA272" s="21">
        <f t="shared" ref="AA272:AA276" si="148">O272-N272</f>
        <v>-5.6679796933423177E-4</v>
      </c>
      <c r="AB272">
        <f>(E272-(SUM(K272:L272)*O272))/(2*H272*J272)*16.02</f>
        <v>1.3559884276252103</v>
      </c>
    </row>
    <row r="273" spans="2:29" x14ac:dyDescent="0.2">
      <c r="C273">
        <v>100000</v>
      </c>
      <c r="D273">
        <v>929.58718799999997</v>
      </c>
      <c r="E273">
        <v>-38044.299870000003</v>
      </c>
      <c r="F273">
        <v>114095.135669</v>
      </c>
      <c r="G273">
        <v>-2.3999999999999998E-3</v>
      </c>
      <c r="H273">
        <v>38.124347999999998</v>
      </c>
      <c r="I273">
        <v>228.80856900000001</v>
      </c>
      <c r="J273">
        <v>13.079535999999999</v>
      </c>
      <c r="K273">
        <v>1885</v>
      </c>
      <c r="L273">
        <v>4603</v>
      </c>
      <c r="M273">
        <f>L273/(L273+K273)</f>
        <v>0.70946362515413075</v>
      </c>
      <c r="N273">
        <f t="shared" ref="N273:N276" si="149">-3.9316-2.7424*M273</f>
        <v>-5.8772330456226882</v>
      </c>
      <c r="O273">
        <f t="shared" ref="O273:O276" si="150">-0.6094*M273^3+0.5993*(M273^2) - 2.6874*M273 - 4.0553</f>
        <v>-5.8778787180695291</v>
      </c>
      <c r="P273">
        <f>E273-(SUM(K273:L273)*N273)</f>
        <v>87.188129999994999</v>
      </c>
      <c r="Q273">
        <f>P273/(2*H273*J273)</f>
        <v>8.7424388790619936E-2</v>
      </c>
      <c r="R273">
        <f>Q273*16.02</f>
        <v>1.4005387084257312</v>
      </c>
      <c r="AA273" s="21">
        <f t="shared" si="148"/>
        <v>-6.4567244684088365E-4</v>
      </c>
      <c r="AB273">
        <f t="shared" ref="AB273:AB276" si="151">(E273-(SUM(K273:L273)*O273))/(2*H273*J273)*16.02</f>
        <v>1.4678303074647316</v>
      </c>
    </row>
    <row r="274" spans="2:29" x14ac:dyDescent="0.2">
      <c r="C274">
        <v>100000</v>
      </c>
      <c r="D274">
        <v>929.47199699999999</v>
      </c>
      <c r="E274">
        <v>-38051.429429000003</v>
      </c>
      <c r="F274">
        <v>114050.97551400001</v>
      </c>
      <c r="G274">
        <v>7.2700000000000001E-2</v>
      </c>
      <c r="H274">
        <v>38.119427999999999</v>
      </c>
      <c r="I274">
        <v>228.779045</v>
      </c>
      <c r="J274">
        <v>13.077847999999999</v>
      </c>
      <c r="K274">
        <v>1881</v>
      </c>
      <c r="L274">
        <v>4607</v>
      </c>
      <c r="M274">
        <f>L274/(L274+K274)</f>
        <v>0.7100801479654747</v>
      </c>
      <c r="N274">
        <f t="shared" si="149"/>
        <v>-5.8789237977805175</v>
      </c>
      <c r="O274">
        <f t="shared" si="150"/>
        <v>-5.8795788851455351</v>
      </c>
      <c r="P274">
        <f>E274-(SUM(K274:L274)*N274)</f>
        <v>91.028170999990834</v>
      </c>
      <c r="Q274">
        <f>P274/(2*H274*J274)</f>
        <v>9.1298398697237257E-2</v>
      </c>
      <c r="R274">
        <f>Q274*16.02</f>
        <v>1.4626003471297409</v>
      </c>
      <c r="AA274" s="21">
        <f t="shared" si="148"/>
        <v>-6.5508736501751486E-4</v>
      </c>
      <c r="AB274">
        <f t="shared" si="151"/>
        <v>1.5308907885196508</v>
      </c>
    </row>
    <row r="275" spans="2:29" x14ac:dyDescent="0.2">
      <c r="C275">
        <v>100000</v>
      </c>
      <c r="D275">
        <v>929.65127199999995</v>
      </c>
      <c r="E275">
        <v>-38055.294643000001</v>
      </c>
      <c r="F275">
        <v>114078.057826</v>
      </c>
      <c r="G275">
        <v>0.27438600000000002</v>
      </c>
      <c r="H275">
        <v>38.122445999999997</v>
      </c>
      <c r="I275">
        <v>228.79715200000001</v>
      </c>
      <c r="J275">
        <v>13.078882999999999</v>
      </c>
      <c r="K275">
        <v>1882</v>
      </c>
      <c r="L275">
        <v>4606</v>
      </c>
      <c r="M275">
        <f>L275/(L275+K275)</f>
        <v>0.70992601726263871</v>
      </c>
      <c r="N275">
        <f t="shared" si="149"/>
        <v>-5.8785011097410607</v>
      </c>
      <c r="O275">
        <f t="shared" si="150"/>
        <v>-5.8791537936024678</v>
      </c>
      <c r="P275">
        <f>E275-(SUM(K275:L275)*N275)</f>
        <v>84.420556999997643</v>
      </c>
      <c r="Q275">
        <f>P275/(2*H275*J275)</f>
        <v>8.4657766214066454E-2</v>
      </c>
      <c r="R275">
        <f>Q275*16.02</f>
        <v>1.3562174147493447</v>
      </c>
      <c r="AA275" s="21">
        <f t="shared" si="148"/>
        <v>-6.5268386140715506E-4</v>
      </c>
      <c r="AB275">
        <f t="shared" si="151"/>
        <v>1.4242465293872959</v>
      </c>
    </row>
    <row r="276" spans="2:29" x14ac:dyDescent="0.2">
      <c r="C276">
        <v>100000</v>
      </c>
      <c r="D276">
        <v>929.72158100000001</v>
      </c>
      <c r="E276">
        <v>-37865.305438000003</v>
      </c>
      <c r="F276">
        <v>114403.09995</v>
      </c>
      <c r="G276">
        <v>-0.119645</v>
      </c>
      <c r="H276">
        <v>38.158619000000002</v>
      </c>
      <c r="I276">
        <v>229.01425</v>
      </c>
      <c r="J276">
        <v>13.091293</v>
      </c>
      <c r="K276">
        <v>1951</v>
      </c>
      <c r="L276">
        <v>4537</v>
      </c>
      <c r="M276">
        <f>L276/(L276+K276)</f>
        <v>0.69929099876695433</v>
      </c>
      <c r="N276">
        <f t="shared" si="149"/>
        <v>-5.8493356350184955</v>
      </c>
      <c r="O276">
        <f t="shared" si="150"/>
        <v>-5.8499019020625358</v>
      </c>
      <c r="P276">
        <f>E276-(SUM(K276:L276)*N276)</f>
        <v>85.184161999997741</v>
      </c>
      <c r="Q276">
        <f>P276/(2*H276*J276)</f>
        <v>8.5261637236835525E-2</v>
      </c>
      <c r="R276">
        <f>Q276*16.02</f>
        <v>1.3658914285341051</v>
      </c>
      <c r="AA276" s="21">
        <f t="shared" si="148"/>
        <v>-5.6626704404028061E-4</v>
      </c>
      <c r="AB276">
        <f t="shared" si="151"/>
        <v>1.4248014868325707</v>
      </c>
      <c r="AC276">
        <f>AVERAGE(AB272:AB276)</f>
        <v>1.4407515079658917</v>
      </c>
    </row>
    <row r="277" spans="2:29" x14ac:dyDescent="0.2">
      <c r="R277" s="1">
        <f>AVERAGE(R272:R276)</f>
        <v>1.3764559506104899</v>
      </c>
      <c r="S277">
        <f>STDEV(R272:R276)</f>
        <v>6.0889717573316245E-2</v>
      </c>
      <c r="AA277" s="21"/>
    </row>
    <row r="278" spans="2:29" x14ac:dyDescent="0.2">
      <c r="B278" t="s">
        <v>34</v>
      </c>
      <c r="C278">
        <v>100000</v>
      </c>
      <c r="D278">
        <v>929.27961100000005</v>
      </c>
      <c r="E278">
        <v>-19227.14489</v>
      </c>
      <c r="F278">
        <v>58122.347377999999</v>
      </c>
      <c r="G278">
        <v>8.3747000000000002E-2</v>
      </c>
      <c r="H278">
        <v>23.569368999999998</v>
      </c>
      <c r="I278">
        <v>188.59659400000001</v>
      </c>
      <c r="J278">
        <v>13.075585999999999</v>
      </c>
      <c r="K278">
        <v>995</v>
      </c>
      <c r="L278">
        <v>2301</v>
      </c>
      <c r="M278">
        <f>L278/(L278+K278)</f>
        <v>0.69811893203883491</v>
      </c>
      <c r="N278">
        <f>-3.9316-2.7424*M278</f>
        <v>-5.846121359223301</v>
      </c>
      <c r="O278">
        <f>-0.6094*M278^3+0.5993*(M278^2) - 2.6874*M278 - 4.0553</f>
        <v>-5.8466875806871803</v>
      </c>
      <c r="P278">
        <f>E278-(SUM(K278:L278)*N278)</f>
        <v>41.671109999999317</v>
      </c>
      <c r="Q278">
        <f>P278/(2*H278*J278)</f>
        <v>6.7607668015518693E-2</v>
      </c>
      <c r="R278">
        <f>Q278*16.02</f>
        <v>1.0830748416086093</v>
      </c>
      <c r="AA278" s="21">
        <f t="shared" ref="AA278:AA282" si="152">O278-N278</f>
        <v>-5.6622146387930172E-4</v>
      </c>
      <c r="AB278">
        <f>(E278-(SUM(K278:L278)*O278))/(2*H278*J278)*16.02</f>
        <v>1.1315810055366509</v>
      </c>
    </row>
    <row r="279" spans="2:29" x14ac:dyDescent="0.2">
      <c r="C279">
        <v>100000</v>
      </c>
      <c r="D279">
        <v>929.73765700000001</v>
      </c>
      <c r="E279">
        <v>-19479.651709999998</v>
      </c>
      <c r="F279">
        <v>57672.958373000001</v>
      </c>
      <c r="G279">
        <v>0.171013</v>
      </c>
      <c r="H279">
        <v>23.508468000000001</v>
      </c>
      <c r="I279">
        <v>188.109275</v>
      </c>
      <c r="J279">
        <v>13.0418</v>
      </c>
      <c r="K279">
        <v>902</v>
      </c>
      <c r="L279">
        <v>2394</v>
      </c>
      <c r="M279">
        <f>L279/(L279+K279)</f>
        <v>0.72633495145631066</v>
      </c>
      <c r="N279">
        <f t="shared" ref="N279:N282" si="153">-3.9316-2.7424*M279</f>
        <v>-5.9235009708737865</v>
      </c>
      <c r="O279">
        <f t="shared" ref="O279:O282" si="154">-0.6094*M279^3+0.5993*(M279^2) - 2.6874*M279 - 4.0553</f>
        <v>-5.9245985565682853</v>
      </c>
      <c r="P279">
        <f>E279-(SUM(K279:L279)*N279)</f>
        <v>44.207490000000689</v>
      </c>
      <c r="Q279">
        <f>P279/(2*H279*J279)</f>
        <v>7.2094809377745636E-2</v>
      </c>
      <c r="R279">
        <f>Q279*16.02</f>
        <v>1.154958846231485</v>
      </c>
      <c r="AA279" s="21">
        <f t="shared" si="152"/>
        <v>-1.0975856944988038E-3</v>
      </c>
      <c r="AB279">
        <f t="shared" ref="AB279:AB282" si="155">(E279-(SUM(K279:L279)*O279))/(2*H279*J279)*16.02</f>
        <v>1.2494728787869485</v>
      </c>
    </row>
    <row r="280" spans="2:29" x14ac:dyDescent="0.2">
      <c r="C280">
        <v>100000</v>
      </c>
      <c r="D280">
        <v>929.88351899999998</v>
      </c>
      <c r="E280">
        <v>-19271.393218000001</v>
      </c>
      <c r="F280">
        <v>58056.527524999998</v>
      </c>
      <c r="G280">
        <v>0.25715100000000002</v>
      </c>
      <c r="H280">
        <v>23.560469000000001</v>
      </c>
      <c r="I280">
        <v>188.52537799999999</v>
      </c>
      <c r="J280">
        <v>13.070649</v>
      </c>
      <c r="K280">
        <v>978</v>
      </c>
      <c r="L280">
        <v>2318</v>
      </c>
      <c r="M280">
        <f>L280/(L280+K280)</f>
        <v>0.70327669902912626</v>
      </c>
      <c r="N280">
        <f t="shared" si="153"/>
        <v>-5.8602660194174758</v>
      </c>
      <c r="O280">
        <f t="shared" si="154"/>
        <v>-5.8608464380803156</v>
      </c>
      <c r="P280">
        <f>E280-(SUM(K280:L280)*N280)</f>
        <v>44.043581999998423</v>
      </c>
      <c r="Q280">
        <f>P280/(2*H280*J280)</f>
        <v>7.1510786238796253E-2</v>
      </c>
      <c r="R280">
        <f>Q280*16.02</f>
        <v>1.1456027955455159</v>
      </c>
      <c r="AA280" s="21">
        <f t="shared" si="152"/>
        <v>-5.8041866283975452E-4</v>
      </c>
      <c r="AB280">
        <f t="shared" si="155"/>
        <v>1.1953627533994979</v>
      </c>
    </row>
    <row r="281" spans="2:29" x14ac:dyDescent="0.2">
      <c r="C281">
        <v>100000</v>
      </c>
      <c r="D281">
        <v>929.656701</v>
      </c>
      <c r="E281">
        <v>-19260.905981</v>
      </c>
      <c r="F281">
        <v>58086.624234000003</v>
      </c>
      <c r="G281">
        <v>0.65456700000000001</v>
      </c>
      <c r="H281">
        <v>23.564539</v>
      </c>
      <c r="I281">
        <v>188.55794599999999</v>
      </c>
      <c r="J281">
        <v>13.072907000000001</v>
      </c>
      <c r="K281">
        <v>980</v>
      </c>
      <c r="L281">
        <v>2316</v>
      </c>
      <c r="M281">
        <f>L281/(L281+K281)</f>
        <v>0.70266990291262132</v>
      </c>
      <c r="N281">
        <f t="shared" si="153"/>
        <v>-5.8586019417475725</v>
      </c>
      <c r="O281">
        <f t="shared" si="154"/>
        <v>-5.8591788042671133</v>
      </c>
      <c r="P281">
        <f>E281-(SUM(K281:L281)*N281)</f>
        <v>49.046018999997614</v>
      </c>
      <c r="Q281">
        <f>P281/(2*H281*J281)</f>
        <v>7.9605421603798562E-2</v>
      </c>
      <c r="R281">
        <f>Q281*16.02</f>
        <v>1.275278854092853</v>
      </c>
      <c r="AA281" s="21">
        <f t="shared" si="152"/>
        <v>-5.7686251954081058E-4</v>
      </c>
      <c r="AB281">
        <f t="shared" si="155"/>
        <v>1.3247168573739287</v>
      </c>
    </row>
    <row r="282" spans="2:29" x14ac:dyDescent="0.2">
      <c r="C282">
        <v>100000</v>
      </c>
      <c r="D282">
        <v>929.68598899999995</v>
      </c>
      <c r="E282">
        <v>-19192.711426999998</v>
      </c>
      <c r="F282">
        <v>58205.227165999997</v>
      </c>
      <c r="G282">
        <v>-4.9902000000000002E-2</v>
      </c>
      <c r="H282">
        <v>23.580566999999999</v>
      </c>
      <c r="I282">
        <v>188.686195</v>
      </c>
      <c r="J282">
        <v>13.081797999999999</v>
      </c>
      <c r="K282">
        <v>1004</v>
      </c>
      <c r="L282">
        <v>2292</v>
      </c>
      <c r="M282">
        <f>L282/(L282+K282)</f>
        <v>0.69538834951456308</v>
      </c>
      <c r="N282">
        <f t="shared" si="153"/>
        <v>-5.8386330097087376</v>
      </c>
      <c r="O282">
        <f t="shared" si="154"/>
        <v>-5.8392063293281247</v>
      </c>
      <c r="P282">
        <f>E282-(SUM(K282:L282)*N282)</f>
        <v>51.422973000000638</v>
      </c>
      <c r="Q282">
        <f>P282/(2*H282*J282)</f>
        <v>8.33499806948092E-2</v>
      </c>
      <c r="R282">
        <f>Q282*16.02</f>
        <v>1.3352666907308433</v>
      </c>
      <c r="AA282" s="21">
        <f t="shared" si="152"/>
        <v>-5.7331961938711373E-4</v>
      </c>
      <c r="AB282">
        <f t="shared" si="155"/>
        <v>1.3843342934857046</v>
      </c>
      <c r="AC282">
        <f>AVERAGE(AB278:AB282)</f>
        <v>1.2570935577165461</v>
      </c>
    </row>
    <row r="283" spans="2:29" x14ac:dyDescent="0.2">
      <c r="R283" s="1">
        <f>AVERAGE(R278:R282)</f>
        <v>1.1988364056418612</v>
      </c>
      <c r="S283">
        <f>STDEV(R278:R282)</f>
        <v>0.10321878194612759</v>
      </c>
      <c r="AA283" s="21"/>
    </row>
    <row r="284" spans="2:29" x14ac:dyDescent="0.2">
      <c r="B284" t="s">
        <v>35</v>
      </c>
      <c r="C284">
        <v>100000</v>
      </c>
      <c r="D284">
        <v>929.83028200000001</v>
      </c>
      <c r="E284">
        <v>-27617.581144</v>
      </c>
      <c r="F284">
        <v>83974.644360000006</v>
      </c>
      <c r="G284">
        <v>-5.4709000000000001E-2</v>
      </c>
      <c r="H284">
        <v>32.707369</v>
      </c>
      <c r="I284">
        <v>196.24421100000001</v>
      </c>
      <c r="J284">
        <v>13.082947000000001</v>
      </c>
      <c r="K284">
        <v>1475</v>
      </c>
      <c r="L284">
        <v>3277</v>
      </c>
      <c r="M284">
        <f>L284/(L284+K284)</f>
        <v>0.68960437710437705</v>
      </c>
      <c r="N284">
        <f>-3.9316-2.7424*M284</f>
        <v>-5.8227710437710432</v>
      </c>
      <c r="O284">
        <f>-0.6094*M284^3+0.5993*(M284^2) - 2.6874*M284 - 4.0553</f>
        <v>-5.823392402267725</v>
      </c>
      <c r="P284">
        <f>E284-(SUM(K284:L284)*N284)</f>
        <v>52.226855999997497</v>
      </c>
      <c r="Q284">
        <f>P284/(2*H284*J284)</f>
        <v>6.1025689392960498E-2</v>
      </c>
      <c r="R284">
        <f>Q284*16.02</f>
        <v>0.97763154407522712</v>
      </c>
      <c r="AA284" s="21">
        <f t="shared" ref="AA284:AA288" si="156">O284-N284</f>
        <v>-6.2135849668187859E-4</v>
      </c>
      <c r="AB284">
        <f>(E284-(SUM(K284:L284)*O284))/(2*H284*J284)*16.02</f>
        <v>1.0329028844632888</v>
      </c>
    </row>
    <row r="285" spans="2:29" x14ac:dyDescent="0.2">
      <c r="C285">
        <v>100000</v>
      </c>
      <c r="D285">
        <v>929.68779600000005</v>
      </c>
      <c r="E285">
        <v>-27742.387016000001</v>
      </c>
      <c r="F285">
        <v>83768.233565999995</v>
      </c>
      <c r="G285">
        <v>0.24940999999999999</v>
      </c>
      <c r="H285">
        <v>32.680548000000002</v>
      </c>
      <c r="I285">
        <v>196.08329000000001</v>
      </c>
      <c r="J285">
        <v>13.072219</v>
      </c>
      <c r="K285">
        <v>1429</v>
      </c>
      <c r="L285">
        <v>3323</v>
      </c>
      <c r="M285">
        <f>L285/(L285+K285)</f>
        <v>0.69928451178451179</v>
      </c>
      <c r="N285">
        <f t="shared" ref="N285:N288" si="157">-3.9316-2.7424*M285</f>
        <v>-5.8493178451178451</v>
      </c>
      <c r="O285">
        <f t="shared" ref="O285:O288" si="158">-0.6094*M285^3+0.5993*(M285^2) - 2.6874*M285 - 4.0553</f>
        <v>-5.8498841067799745</v>
      </c>
      <c r="P285">
        <f>E285-(SUM(K285:L285)*N285)</f>
        <v>53.571383999998943</v>
      </c>
      <c r="Q285">
        <f>P285/(2*H285*J285)</f>
        <v>6.2699521339851114E-2</v>
      </c>
      <c r="R285">
        <f>Q285*16.02</f>
        <v>1.0044463318644148</v>
      </c>
      <c r="AA285" s="21">
        <f t="shared" si="156"/>
        <v>-5.6626166212936369E-4</v>
      </c>
      <c r="AB285">
        <f t="shared" ref="AB285:AB288" si="159">(E285-(SUM(K285:L285)*O285))/(2*H285*J285)*16.02</f>
        <v>1.0548993861210829</v>
      </c>
    </row>
    <row r="286" spans="2:29" x14ac:dyDescent="0.2">
      <c r="C286">
        <v>100000</v>
      </c>
      <c r="D286">
        <v>929.53175299999998</v>
      </c>
      <c r="E286">
        <v>-27826.078624999998</v>
      </c>
      <c r="F286">
        <v>83574.112089999995</v>
      </c>
      <c r="G286">
        <v>0.13306699999999999</v>
      </c>
      <c r="H286">
        <v>32.655284999999999</v>
      </c>
      <c r="I286">
        <v>195.93170699999999</v>
      </c>
      <c r="J286">
        <v>13.062113999999999</v>
      </c>
      <c r="K286">
        <v>1393</v>
      </c>
      <c r="L286">
        <v>3359</v>
      </c>
      <c r="M286">
        <f>L286/(L286+K286)</f>
        <v>0.70686026936026936</v>
      </c>
      <c r="N286">
        <f t="shared" si="157"/>
        <v>-5.8700936026936024</v>
      </c>
      <c r="O286">
        <f t="shared" si="158"/>
        <v>-5.8707053579619153</v>
      </c>
      <c r="P286">
        <f>E286-(SUM(K286:L286)*N286)</f>
        <v>68.606175000000803</v>
      </c>
      <c r="Q286">
        <f>P286/(2*H286*J286)</f>
        <v>8.0420406302054076E-2</v>
      </c>
      <c r="R286">
        <f>Q286*16.02</f>
        <v>1.2883349089589062</v>
      </c>
      <c r="AA286" s="21">
        <f t="shared" si="156"/>
        <v>-6.1175526831291904E-4</v>
      </c>
      <c r="AB286">
        <f t="shared" si="159"/>
        <v>1.3429257415463749</v>
      </c>
    </row>
    <row r="287" spans="2:29" x14ac:dyDescent="0.2">
      <c r="C287">
        <v>100000</v>
      </c>
      <c r="D287">
        <v>929.65663099999995</v>
      </c>
      <c r="E287">
        <v>-27787.564487</v>
      </c>
      <c r="F287">
        <v>83680.738205000001</v>
      </c>
      <c r="G287">
        <v>0.28496100000000002</v>
      </c>
      <c r="H287">
        <v>32.669165999999997</v>
      </c>
      <c r="I287">
        <v>196.014995</v>
      </c>
      <c r="J287">
        <v>13.067665999999999</v>
      </c>
      <c r="K287">
        <v>1412</v>
      </c>
      <c r="L287">
        <v>3340</v>
      </c>
      <c r="M287">
        <f>L287/(L287+K287)</f>
        <v>0.70286195286195285</v>
      </c>
      <c r="N287">
        <f t="shared" si="157"/>
        <v>-5.8591286195286196</v>
      </c>
      <c r="O287">
        <f t="shared" si="158"/>
        <v>-5.8597065529355676</v>
      </c>
      <c r="P287">
        <f>E287-(SUM(K287:L287)*N287)</f>
        <v>55.014713000000484</v>
      </c>
      <c r="Q287">
        <f>P287/(2*H287*J287)</f>
        <v>6.4433657263047339E-2</v>
      </c>
      <c r="R287">
        <f>Q287*16.02</f>
        <v>1.0322271893540182</v>
      </c>
      <c r="AA287" s="21">
        <f t="shared" si="156"/>
        <v>-5.7793340694800577E-4</v>
      </c>
      <c r="AB287">
        <f t="shared" si="159"/>
        <v>1.0837560659023431</v>
      </c>
    </row>
    <row r="288" spans="2:29" x14ac:dyDescent="0.2">
      <c r="C288">
        <v>100000</v>
      </c>
      <c r="D288">
        <v>929.54664000000002</v>
      </c>
      <c r="E288">
        <v>-27660.481457999998</v>
      </c>
      <c r="F288">
        <v>83938.649145000003</v>
      </c>
      <c r="G288">
        <v>0.23624700000000001</v>
      </c>
      <c r="H288">
        <v>32.702694999999999</v>
      </c>
      <c r="I288">
        <v>196.21616800000001</v>
      </c>
      <c r="J288">
        <v>13.081078</v>
      </c>
      <c r="K288">
        <v>1458</v>
      </c>
      <c r="L288">
        <v>3294</v>
      </c>
      <c r="M288">
        <f>L288/(L288+K288)</f>
        <v>0.69318181818181823</v>
      </c>
      <c r="N288">
        <f t="shared" si="157"/>
        <v>-5.8325818181818185</v>
      </c>
      <c r="O288">
        <f t="shared" si="158"/>
        <v>-5.8331681979597105</v>
      </c>
      <c r="P288">
        <f>E288-(SUM(K288:L288)*N288)</f>
        <v>55.947342000003118</v>
      </c>
      <c r="Q288">
        <f>P288/(2*H288*J288)</f>
        <v>6.5391663204788023E-2</v>
      </c>
      <c r="R288">
        <f>Q288*16.02</f>
        <v>1.047574444540704</v>
      </c>
      <c r="AA288" s="21">
        <f t="shared" si="156"/>
        <v>-5.863797778919988E-4</v>
      </c>
      <c r="AB288">
        <f t="shared" si="159"/>
        <v>1.0997492518083505</v>
      </c>
      <c r="AC288">
        <f>AVERAGE(AB284:AB288)</f>
        <v>1.1228466659682881</v>
      </c>
    </row>
    <row r="289" spans="18:19" x14ac:dyDescent="0.2">
      <c r="R289" s="1">
        <f>AVERAGE(R284:R288)</f>
        <v>1.0700428837586542</v>
      </c>
      <c r="S289">
        <f>STDEV(R284:R288)</f>
        <v>0.12492900893379594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X287"/>
  <sheetViews>
    <sheetView topLeftCell="D62" workbookViewId="0">
      <selection activeCell="U77" activeCellId="3" sqref="U35:V47 U49:V62 U63:V76 U77:V90"/>
    </sheetView>
  </sheetViews>
  <sheetFormatPr baseColWidth="10" defaultRowHeight="16" x14ac:dyDescent="0.2"/>
  <sheetData>
    <row r="2" spans="1:23" x14ac:dyDescent="0.2">
      <c r="A2" t="s">
        <v>58</v>
      </c>
      <c r="C2" t="s">
        <v>47</v>
      </c>
    </row>
    <row r="4" spans="1:23" x14ac:dyDescent="0.2">
      <c r="A4" t="s">
        <v>1</v>
      </c>
      <c r="G4" t="s">
        <v>10</v>
      </c>
      <c r="H4" t="s">
        <v>4</v>
      </c>
      <c r="I4" t="s">
        <v>5</v>
      </c>
      <c r="J4" t="s">
        <v>6</v>
      </c>
      <c r="K4" t="s">
        <v>7</v>
      </c>
      <c r="L4" t="s">
        <v>9</v>
      </c>
      <c r="R4" t="s">
        <v>28</v>
      </c>
      <c r="S4" t="s">
        <v>4</v>
      </c>
      <c r="T4" t="s">
        <v>5</v>
      </c>
      <c r="U4" t="s">
        <v>6</v>
      </c>
      <c r="V4" t="s">
        <v>7</v>
      </c>
      <c r="W4" t="s">
        <v>9</v>
      </c>
    </row>
    <row r="5" spans="1:23" x14ac:dyDescent="0.2">
      <c r="H5">
        <v>-8657.7165889999997</v>
      </c>
      <c r="I5">
        <v>41882.366044000002</v>
      </c>
      <c r="J5">
        <f>H5/2000</f>
        <v>-4.3288582944999998</v>
      </c>
      <c r="K5">
        <f>I5/2000</f>
        <v>20.941183022000001</v>
      </c>
      <c r="L5">
        <f>232/2000</f>
        <v>0.11600000000000001</v>
      </c>
      <c r="S5">
        <v>-9619.7978149999999</v>
      </c>
      <c r="T5">
        <v>39368.718866000003</v>
      </c>
      <c r="U5">
        <f>S5/2000</f>
        <v>-4.8098989075</v>
      </c>
      <c r="V5">
        <f>T5/2000</f>
        <v>19.684359433000001</v>
      </c>
      <c r="W5">
        <f>609/2000</f>
        <v>0.30449999999999999</v>
      </c>
    </row>
    <row r="6" spans="1:23" x14ac:dyDescent="0.2">
      <c r="H6">
        <v>-8674.5242789999993</v>
      </c>
      <c r="I6">
        <v>41803.125470999999</v>
      </c>
      <c r="J6">
        <f t="shared" ref="J6:K14" si="0">H6/2000</f>
        <v>-4.3372621394999999</v>
      </c>
      <c r="K6">
        <f t="shared" si="0"/>
        <v>20.901562735500001</v>
      </c>
      <c r="L6">
        <f>238/2000</f>
        <v>0.11899999999999999</v>
      </c>
      <c r="S6">
        <v>-9615.6705739999998</v>
      </c>
      <c r="T6">
        <v>39366.404951999997</v>
      </c>
      <c r="U6">
        <f t="shared" ref="U6:V14" si="1">S6/2000</f>
        <v>-4.8078352869999996</v>
      </c>
      <c r="V6">
        <f t="shared" si="1"/>
        <v>19.683202475999998</v>
      </c>
      <c r="W6">
        <f>608/2000</f>
        <v>0.30399999999999999</v>
      </c>
    </row>
    <row r="7" spans="1:23" x14ac:dyDescent="0.2">
      <c r="H7">
        <v>-8683.2980420000004</v>
      </c>
      <c r="I7">
        <v>41788.062876999997</v>
      </c>
      <c r="J7">
        <f t="shared" si="0"/>
        <v>-4.3416490210000003</v>
      </c>
      <c r="K7">
        <f t="shared" si="0"/>
        <v>20.894031438499997</v>
      </c>
      <c r="L7">
        <f>241/2000</f>
        <v>0.1205</v>
      </c>
      <c r="S7">
        <v>-9664.8071170000003</v>
      </c>
      <c r="T7">
        <v>39276.127636999998</v>
      </c>
      <c r="U7">
        <f t="shared" si="1"/>
        <v>-4.8324035585000003</v>
      </c>
      <c r="V7">
        <f t="shared" si="1"/>
        <v>19.638063818499997</v>
      </c>
      <c r="W7">
        <f>628/2000</f>
        <v>0.314</v>
      </c>
    </row>
    <row r="8" spans="1:23" x14ac:dyDescent="0.2">
      <c r="H8">
        <v>-8634.5804200000002</v>
      </c>
      <c r="I8">
        <v>41927.911348000001</v>
      </c>
      <c r="J8">
        <f t="shared" si="0"/>
        <v>-4.3172902100000004</v>
      </c>
      <c r="K8">
        <f t="shared" si="0"/>
        <v>20.963955674000001</v>
      </c>
      <c r="L8">
        <f>222/2000</f>
        <v>0.111</v>
      </c>
      <c r="S8">
        <v>-9635.9267519999994</v>
      </c>
      <c r="T8">
        <v>39312.477091000001</v>
      </c>
      <c r="U8">
        <f t="shared" si="1"/>
        <v>-4.8179633759999998</v>
      </c>
      <c r="V8">
        <f t="shared" si="1"/>
        <v>19.656238545499999</v>
      </c>
      <c r="W8">
        <f>615/2000</f>
        <v>0.3075</v>
      </c>
    </row>
    <row r="9" spans="1:23" x14ac:dyDescent="0.2">
      <c r="H9">
        <v>-8662.7903119999992</v>
      </c>
      <c r="I9">
        <v>41843.700049999999</v>
      </c>
      <c r="J9">
        <f t="shared" si="0"/>
        <v>-4.3313951559999992</v>
      </c>
      <c r="K9">
        <f t="shared" si="0"/>
        <v>20.921850025000001</v>
      </c>
      <c r="L9">
        <f>234/2000</f>
        <v>0.11700000000000001</v>
      </c>
      <c r="S9">
        <v>-9614.5748910000002</v>
      </c>
      <c r="T9">
        <v>39376.552765</v>
      </c>
      <c r="U9">
        <f t="shared" si="1"/>
        <v>-4.8072874455000001</v>
      </c>
      <c r="V9">
        <f t="shared" si="1"/>
        <v>19.6882763825</v>
      </c>
      <c r="W9">
        <f>608/2000</f>
        <v>0.30399999999999999</v>
      </c>
    </row>
    <row r="10" spans="1:23" x14ac:dyDescent="0.2">
      <c r="H10">
        <v>-8664.7339819999997</v>
      </c>
      <c r="I10">
        <v>41839.466295999999</v>
      </c>
      <c r="J10">
        <f t="shared" si="0"/>
        <v>-4.3323669909999998</v>
      </c>
      <c r="K10">
        <f t="shared" si="0"/>
        <v>20.919733147999999</v>
      </c>
      <c r="L10">
        <f>235/2000</f>
        <v>0.11749999999999999</v>
      </c>
      <c r="S10">
        <v>-9646.1558480000003</v>
      </c>
      <c r="T10">
        <v>39312.816335000003</v>
      </c>
      <c r="U10">
        <f t="shared" si="1"/>
        <v>-4.8230779240000006</v>
      </c>
      <c r="V10">
        <f t="shared" si="1"/>
        <v>19.6564081675</v>
      </c>
      <c r="W10">
        <f>619/2000</f>
        <v>0.3095</v>
      </c>
    </row>
    <row r="11" spans="1:23" x14ac:dyDescent="0.2">
      <c r="H11">
        <v>-8653.8959300000006</v>
      </c>
      <c r="I11">
        <v>41878.411171</v>
      </c>
      <c r="J11">
        <f t="shared" si="0"/>
        <v>-4.3269479650000005</v>
      </c>
      <c r="K11">
        <f t="shared" si="0"/>
        <v>20.939205585499998</v>
      </c>
      <c r="L11">
        <f>230/2000</f>
        <v>0.115</v>
      </c>
      <c r="S11">
        <v>-9684.9976929999993</v>
      </c>
      <c r="T11">
        <v>39226.051471999999</v>
      </c>
      <c r="U11">
        <f t="shared" si="1"/>
        <v>-4.8424988464999998</v>
      </c>
      <c r="V11">
        <f t="shared" si="1"/>
        <v>19.613025736000001</v>
      </c>
      <c r="W11">
        <f>635/2000</f>
        <v>0.3175</v>
      </c>
    </row>
    <row r="12" spans="1:23" x14ac:dyDescent="0.2">
      <c r="H12">
        <v>-8680.1126280000008</v>
      </c>
      <c r="I12">
        <v>41797.552997999999</v>
      </c>
      <c r="J12">
        <f t="shared" si="0"/>
        <v>-4.3400563140000008</v>
      </c>
      <c r="K12">
        <f t="shared" si="0"/>
        <v>20.898776499</v>
      </c>
      <c r="L12">
        <f>241/2000</f>
        <v>0.1205</v>
      </c>
      <c r="S12">
        <v>-9645.7892260000008</v>
      </c>
      <c r="T12">
        <v>39315.693700000003</v>
      </c>
      <c r="U12">
        <f t="shared" si="1"/>
        <v>-4.8228946130000008</v>
      </c>
      <c r="V12">
        <f t="shared" si="1"/>
        <v>19.657846850000002</v>
      </c>
      <c r="W12">
        <f>620/2000</f>
        <v>0.31</v>
      </c>
    </row>
    <row r="13" spans="1:23" x14ac:dyDescent="0.2">
      <c r="H13">
        <v>-8728.49143</v>
      </c>
      <c r="I13">
        <v>41656.743221999997</v>
      </c>
      <c r="J13">
        <f t="shared" si="0"/>
        <v>-4.364245715</v>
      </c>
      <c r="K13">
        <f t="shared" si="0"/>
        <v>20.828371610999998</v>
      </c>
      <c r="L13">
        <f>257/2000</f>
        <v>0.1285</v>
      </c>
      <c r="S13">
        <v>-9624.0354879999995</v>
      </c>
      <c r="T13">
        <v>39355.409534999999</v>
      </c>
      <c r="U13">
        <f t="shared" si="1"/>
        <v>-4.8120177439999994</v>
      </c>
      <c r="V13">
        <f t="shared" si="1"/>
        <v>19.6777047675</v>
      </c>
      <c r="W13">
        <f>611/2000</f>
        <v>0.30549999999999999</v>
      </c>
    </row>
    <row r="14" spans="1:23" x14ac:dyDescent="0.2">
      <c r="H14">
        <v>-8625.9520429999993</v>
      </c>
      <c r="I14">
        <v>41977.516255000002</v>
      </c>
      <c r="J14">
        <f t="shared" si="0"/>
        <v>-4.3129760214999999</v>
      </c>
      <c r="K14">
        <f t="shared" si="0"/>
        <v>20.988758127500002</v>
      </c>
      <c r="L14">
        <f>219/2000</f>
        <v>0.1095</v>
      </c>
      <c r="S14">
        <v>-9704.5738860000001</v>
      </c>
      <c r="T14">
        <v>39179.150494000001</v>
      </c>
      <c r="U14">
        <f t="shared" si="1"/>
        <v>-4.8522869430000002</v>
      </c>
      <c r="V14">
        <f t="shared" si="1"/>
        <v>19.589575246999999</v>
      </c>
      <c r="W14">
        <f>641/2000</f>
        <v>0.32050000000000001</v>
      </c>
    </row>
    <row r="16" spans="1:23" x14ac:dyDescent="0.2">
      <c r="G16" t="s">
        <v>27</v>
      </c>
      <c r="R16" t="s">
        <v>29</v>
      </c>
      <c r="S16" t="s">
        <v>4</v>
      </c>
      <c r="T16" t="s">
        <v>5</v>
      </c>
      <c r="U16" t="s">
        <v>6</v>
      </c>
      <c r="V16" t="s">
        <v>7</v>
      </c>
      <c r="W16" t="s">
        <v>9</v>
      </c>
    </row>
    <row r="17" spans="1:23" x14ac:dyDescent="0.2">
      <c r="H17">
        <v>-9082.9885799999993</v>
      </c>
      <c r="I17">
        <v>40682.949928000002</v>
      </c>
      <c r="J17">
        <f t="shared" ref="J17:K26" si="2">H17/2000</f>
        <v>-4.5414942899999993</v>
      </c>
      <c r="K17">
        <f t="shared" si="2"/>
        <v>20.341474964</v>
      </c>
      <c r="L17">
        <f>397/2000</f>
        <v>0.19850000000000001</v>
      </c>
      <c r="S17">
        <v>-11720.857345</v>
      </c>
      <c r="T17">
        <v>35259.709769000001</v>
      </c>
      <c r="U17">
        <f>S17/2000</f>
        <v>-5.8604286725000003</v>
      </c>
      <c r="V17">
        <f>T17/2000</f>
        <v>17.629854884500002</v>
      </c>
      <c r="W17">
        <f>1431/2000</f>
        <v>0.71550000000000002</v>
      </c>
    </row>
    <row r="18" spans="1:23" x14ac:dyDescent="0.2">
      <c r="H18">
        <v>-9147.2819589999999</v>
      </c>
      <c r="I18">
        <v>40516.907476</v>
      </c>
      <c r="J18">
        <f t="shared" si="2"/>
        <v>-4.5736409795000004</v>
      </c>
      <c r="K18">
        <f t="shared" si="2"/>
        <v>20.258453738</v>
      </c>
      <c r="L18">
        <f>422/2000</f>
        <v>0.21099999999999999</v>
      </c>
      <c r="S18">
        <v>-11844.811573999999</v>
      </c>
      <c r="T18">
        <v>35013.954787000002</v>
      </c>
      <c r="U18">
        <f t="shared" ref="U18:V26" si="3">S18/2000</f>
        <v>-5.9224057869999998</v>
      </c>
      <c r="V18">
        <f t="shared" si="3"/>
        <v>17.506977393500001</v>
      </c>
      <c r="W18">
        <f>1477/2000</f>
        <v>0.73850000000000005</v>
      </c>
    </row>
    <row r="19" spans="1:23" x14ac:dyDescent="0.2">
      <c r="A19" t="s">
        <v>2</v>
      </c>
      <c r="B19" t="s">
        <v>4</v>
      </c>
      <c r="C19" t="s">
        <v>5</v>
      </c>
      <c r="D19" t="s">
        <v>6</v>
      </c>
      <c r="E19" t="s">
        <v>7</v>
      </c>
      <c r="H19">
        <v>-9194.0925239999997</v>
      </c>
      <c r="I19">
        <v>40395.693966999999</v>
      </c>
      <c r="J19">
        <f t="shared" si="2"/>
        <v>-4.5970462620000001</v>
      </c>
      <c r="K19">
        <f t="shared" si="2"/>
        <v>20.1978469835</v>
      </c>
      <c r="L19">
        <f>442/2000</f>
        <v>0.221</v>
      </c>
      <c r="S19">
        <v>-11692.482892</v>
      </c>
      <c r="T19">
        <v>35305.834602000003</v>
      </c>
      <c r="U19">
        <f t="shared" si="3"/>
        <v>-5.8462414459999996</v>
      </c>
      <c r="V19">
        <f t="shared" si="3"/>
        <v>17.652917301000002</v>
      </c>
      <c r="W19">
        <f>1419/2000</f>
        <v>0.70950000000000002</v>
      </c>
    </row>
    <row r="20" spans="1:23" x14ac:dyDescent="0.2">
      <c r="D20">
        <f>B20/8192</f>
        <v>0</v>
      </c>
      <c r="E20">
        <f>C20/8192</f>
        <v>0</v>
      </c>
      <c r="H20">
        <v>-9120.9740459999994</v>
      </c>
      <c r="I20">
        <v>40586.642204999996</v>
      </c>
      <c r="J20">
        <f t="shared" si="2"/>
        <v>-4.5604870229999994</v>
      </c>
      <c r="K20">
        <f t="shared" si="2"/>
        <v>20.293321102499998</v>
      </c>
      <c r="L20">
        <f>413/2000</f>
        <v>0.20649999999999999</v>
      </c>
      <c r="S20">
        <v>-11722.217231000001</v>
      </c>
      <c r="T20">
        <v>35244.984842999998</v>
      </c>
      <c r="U20">
        <f t="shared" si="3"/>
        <v>-5.8611086155000001</v>
      </c>
      <c r="V20">
        <f t="shared" si="3"/>
        <v>17.622492421499999</v>
      </c>
      <c r="W20">
        <f>1430/2000</f>
        <v>0.71499999999999997</v>
      </c>
    </row>
    <row r="21" spans="1:23" x14ac:dyDescent="0.2">
      <c r="D21">
        <f t="shared" ref="D21:E29" si="4">B21/8192</f>
        <v>0</v>
      </c>
      <c r="E21">
        <f t="shared" si="4"/>
        <v>0</v>
      </c>
      <c r="H21">
        <v>-9175.1457289999998</v>
      </c>
      <c r="I21">
        <v>40449.118207</v>
      </c>
      <c r="J21">
        <f t="shared" si="2"/>
        <v>-4.5875728645000002</v>
      </c>
      <c r="K21">
        <f t="shared" si="2"/>
        <v>20.224559103499999</v>
      </c>
      <c r="L21">
        <f>435/2000</f>
        <v>0.2175</v>
      </c>
      <c r="R21" t="s">
        <v>51</v>
      </c>
      <c r="S21">
        <v>-11786.521924999999</v>
      </c>
      <c r="T21">
        <v>35161.740489999996</v>
      </c>
      <c r="U21">
        <f t="shared" si="3"/>
        <v>-5.8932609624999994</v>
      </c>
      <c r="V21">
        <f t="shared" si="3"/>
        <v>17.580870245</v>
      </c>
      <c r="W21">
        <f>1454/2000</f>
        <v>0.72699999999999998</v>
      </c>
    </row>
    <row r="22" spans="1:23" x14ac:dyDescent="0.2">
      <c r="D22">
        <f t="shared" si="4"/>
        <v>0</v>
      </c>
      <c r="E22">
        <f t="shared" si="4"/>
        <v>0</v>
      </c>
      <c r="H22">
        <v>-9194.0527930000007</v>
      </c>
      <c r="I22">
        <v>40396.084272</v>
      </c>
      <c r="J22">
        <f t="shared" si="2"/>
        <v>-4.5970263965000004</v>
      </c>
      <c r="K22">
        <f t="shared" si="2"/>
        <v>20.198042136000002</v>
      </c>
      <c r="L22">
        <f>441/2000</f>
        <v>0.2205</v>
      </c>
      <c r="S22">
        <v>-11713.646194999999</v>
      </c>
      <c r="T22">
        <v>35258.285328999998</v>
      </c>
      <c r="U22">
        <f t="shared" si="3"/>
        <v>-5.8568230974999995</v>
      </c>
      <c r="V22">
        <f t="shared" si="3"/>
        <v>17.629142664499998</v>
      </c>
      <c r="W22">
        <f>1428/2000</f>
        <v>0.71399999999999997</v>
      </c>
    </row>
    <row r="23" spans="1:23" x14ac:dyDescent="0.2">
      <c r="D23">
        <f t="shared" si="4"/>
        <v>0</v>
      </c>
      <c r="E23">
        <f t="shared" si="4"/>
        <v>0</v>
      </c>
      <c r="H23">
        <v>-9173.6812250000003</v>
      </c>
      <c r="I23">
        <v>40445.537640000002</v>
      </c>
      <c r="J23">
        <f t="shared" si="2"/>
        <v>-4.5868406125000005</v>
      </c>
      <c r="K23">
        <f t="shared" si="2"/>
        <v>20.222768820000002</v>
      </c>
      <c r="L23">
        <f>434/2000</f>
        <v>0.217</v>
      </c>
      <c r="S23">
        <v>-11783.234592000001</v>
      </c>
      <c r="T23">
        <v>35112.228610999999</v>
      </c>
      <c r="U23">
        <f t="shared" si="3"/>
        <v>-5.8916172960000006</v>
      </c>
      <c r="V23">
        <f t="shared" si="3"/>
        <v>17.5561143055</v>
      </c>
      <c r="W23">
        <f>1453/2000</f>
        <v>0.72650000000000003</v>
      </c>
    </row>
    <row r="24" spans="1:23" x14ac:dyDescent="0.2">
      <c r="D24">
        <f t="shared" si="4"/>
        <v>0</v>
      </c>
      <c r="E24">
        <f t="shared" si="4"/>
        <v>0</v>
      </c>
      <c r="H24">
        <v>-9105.9874540000001</v>
      </c>
      <c r="I24">
        <v>40634.686960999999</v>
      </c>
      <c r="J24">
        <f t="shared" si="2"/>
        <v>-4.5529937269999996</v>
      </c>
      <c r="K24">
        <f t="shared" si="2"/>
        <v>20.3173434805</v>
      </c>
      <c r="L24">
        <f>406/2000</f>
        <v>0.20300000000000001</v>
      </c>
      <c r="S24">
        <v>-11692.457971</v>
      </c>
      <c r="T24">
        <v>35284.111879999997</v>
      </c>
      <c r="U24">
        <f t="shared" si="3"/>
        <v>-5.8462289854999998</v>
      </c>
      <c r="V24">
        <f t="shared" si="3"/>
        <v>17.642055939999999</v>
      </c>
      <c r="W24">
        <f>1419/2000</f>
        <v>0.70950000000000002</v>
      </c>
    </row>
    <row r="25" spans="1:23" x14ac:dyDescent="0.2">
      <c r="D25">
        <f t="shared" si="4"/>
        <v>0</v>
      </c>
      <c r="E25">
        <f t="shared" si="4"/>
        <v>0</v>
      </c>
      <c r="H25">
        <v>-9087.3489420000005</v>
      </c>
      <c r="I25">
        <v>40670.764603000003</v>
      </c>
      <c r="J25">
        <f t="shared" si="2"/>
        <v>-4.5436744710000001</v>
      </c>
      <c r="K25">
        <f t="shared" si="2"/>
        <v>20.335382301500001</v>
      </c>
      <c r="L25">
        <f>400/2000</f>
        <v>0.2</v>
      </c>
      <c r="S25">
        <v>-11766.63241</v>
      </c>
      <c r="T25">
        <v>35191.910971999998</v>
      </c>
      <c r="U25">
        <f t="shared" si="3"/>
        <v>-5.8833162049999999</v>
      </c>
      <c r="V25">
        <f t="shared" si="3"/>
        <v>17.595955485999998</v>
      </c>
      <c r="W25">
        <f>1445/2000</f>
        <v>0.72250000000000003</v>
      </c>
    </row>
    <row r="26" spans="1:23" x14ac:dyDescent="0.2">
      <c r="D26">
        <f t="shared" si="4"/>
        <v>0</v>
      </c>
      <c r="E26">
        <f t="shared" si="4"/>
        <v>0</v>
      </c>
      <c r="H26">
        <v>-9010.1185000000005</v>
      </c>
      <c r="I26">
        <v>40857.929644000003</v>
      </c>
      <c r="J26">
        <f t="shared" si="2"/>
        <v>-4.5050592500000004</v>
      </c>
      <c r="K26">
        <f t="shared" si="2"/>
        <v>20.428964822000001</v>
      </c>
      <c r="L26">
        <f>369/2000</f>
        <v>0.1845</v>
      </c>
      <c r="S26">
        <v>-11678.188416000001</v>
      </c>
      <c r="T26">
        <v>35303.945744999997</v>
      </c>
      <c r="U26">
        <f t="shared" si="3"/>
        <v>-5.8390942080000006</v>
      </c>
      <c r="V26">
        <f t="shared" si="3"/>
        <v>17.6519728725</v>
      </c>
      <c r="W26">
        <f>1414/2000</f>
        <v>0.70699999999999996</v>
      </c>
    </row>
    <row r="27" spans="1:23" x14ac:dyDescent="0.2">
      <c r="D27">
        <f t="shared" si="4"/>
        <v>0</v>
      </c>
      <c r="E27">
        <f t="shared" si="4"/>
        <v>0</v>
      </c>
    </row>
    <row r="28" spans="1:23" x14ac:dyDescent="0.2">
      <c r="D28">
        <f t="shared" si="4"/>
        <v>0</v>
      </c>
      <c r="E28">
        <f t="shared" si="4"/>
        <v>0</v>
      </c>
    </row>
    <row r="29" spans="1:23" x14ac:dyDescent="0.2">
      <c r="D29">
        <f t="shared" si="4"/>
        <v>0</v>
      </c>
      <c r="E29">
        <f t="shared" si="4"/>
        <v>0</v>
      </c>
    </row>
    <row r="30" spans="1:23" x14ac:dyDescent="0.2">
      <c r="D30">
        <f>AVERAGE(D20:D29)</f>
        <v>0</v>
      </c>
    </row>
    <row r="34" spans="2:24" x14ac:dyDescent="0.2">
      <c r="S34" t="s">
        <v>53</v>
      </c>
      <c r="T34" t="s">
        <v>54</v>
      </c>
      <c r="U34" t="s">
        <v>4</v>
      </c>
      <c r="V34" t="s">
        <v>55</v>
      </c>
    </row>
    <row r="35" spans="2:24" x14ac:dyDescent="0.2">
      <c r="C35" t="s">
        <v>52</v>
      </c>
      <c r="D35" t="s">
        <v>13</v>
      </c>
      <c r="E35" t="s">
        <v>4</v>
      </c>
      <c r="F35" t="s">
        <v>5</v>
      </c>
      <c r="G35" t="s">
        <v>14</v>
      </c>
      <c r="H35" t="s">
        <v>15</v>
      </c>
      <c r="I35" t="s">
        <v>16</v>
      </c>
      <c r="J35" t="s">
        <v>17</v>
      </c>
      <c r="K35" t="s">
        <v>18</v>
      </c>
      <c r="L35" t="s">
        <v>19</v>
      </c>
      <c r="M35" t="s">
        <v>9</v>
      </c>
      <c r="N35" t="s">
        <v>20</v>
      </c>
      <c r="O35" t="s">
        <v>8</v>
      </c>
      <c r="P35" t="s">
        <v>21</v>
      </c>
      <c r="Q35" t="s">
        <v>21</v>
      </c>
      <c r="S35">
        <v>0</v>
      </c>
      <c r="T35" s="3"/>
      <c r="U35">
        <v>0</v>
      </c>
    </row>
    <row r="36" spans="2:24" x14ac:dyDescent="0.2">
      <c r="B36" t="s">
        <v>25</v>
      </c>
      <c r="C36">
        <v>100000</v>
      </c>
      <c r="D36">
        <v>1041.2459490000001</v>
      </c>
      <c r="E36">
        <v>-16978.656922999999</v>
      </c>
      <c r="F36">
        <v>81466.360707</v>
      </c>
      <c r="G36">
        <v>0.61186399999999996</v>
      </c>
      <c r="H36">
        <v>31.321127000000001</v>
      </c>
      <c r="I36">
        <v>187.97082700000001</v>
      </c>
      <c r="J36">
        <v>13.837262000000001</v>
      </c>
      <c r="K36">
        <v>3411</v>
      </c>
      <c r="L36">
        <v>493</v>
      </c>
      <c r="M36">
        <f>L36/(L36+K36)</f>
        <v>0.12628073770491804</v>
      </c>
      <c r="N36">
        <f>-4.0208-2.661*M36</f>
        <v>-4.3568330430327871</v>
      </c>
      <c r="O36">
        <f>E36-(SUM(K36:L36)*N36)</f>
        <v>30.419277000000875</v>
      </c>
      <c r="P36">
        <f>O36/(2*H36*J36)</f>
        <v>3.5093876816872517E-2</v>
      </c>
      <c r="Q36">
        <f>P36*16.02</f>
        <v>0.56220390660629771</v>
      </c>
      <c r="S36" s="2">
        <v>12.68</v>
      </c>
      <c r="T36" s="3" t="s">
        <v>36</v>
      </c>
      <c r="U36" s="4">
        <v>0.56440139666209743</v>
      </c>
      <c r="V36" s="6">
        <v>2.1634053294481165E-2</v>
      </c>
      <c r="X36" s="4"/>
    </row>
    <row r="37" spans="2:24" x14ac:dyDescent="0.2">
      <c r="C37">
        <v>100000</v>
      </c>
      <c r="D37">
        <v>1040.9377260000001</v>
      </c>
      <c r="E37">
        <v>-16886.632319</v>
      </c>
      <c r="F37">
        <v>81742.169630999997</v>
      </c>
      <c r="G37">
        <v>0.27348099999999997</v>
      </c>
      <c r="H37">
        <v>31.356432999999999</v>
      </c>
      <c r="I37">
        <v>188.182716</v>
      </c>
      <c r="J37">
        <v>13.85286</v>
      </c>
      <c r="K37">
        <v>3446</v>
      </c>
      <c r="L37">
        <v>458</v>
      </c>
      <c r="M37">
        <f>L37/(L37+K37)</f>
        <v>0.1173155737704918</v>
      </c>
      <c r="N37">
        <f t="shared" ref="N37:N40" si="5">-4.0208-2.661*M37</f>
        <v>-4.3329767418032787</v>
      </c>
      <c r="O37">
        <f>E37-(SUM(K37:L37)*N37)</f>
        <v>29.308881000000838</v>
      </c>
      <c r="P37">
        <f>O37/(2*H37*J37)</f>
        <v>3.3736742300524578E-2</v>
      </c>
      <c r="Q37">
        <f>P37*16.02</f>
        <v>0.54046261165440368</v>
      </c>
      <c r="S37" s="6">
        <v>16.260000000000002</v>
      </c>
      <c r="T37" s="3" t="s">
        <v>37</v>
      </c>
      <c r="U37" s="4">
        <v>0.53950169901013578</v>
      </c>
      <c r="V37" s="6">
        <v>9.3559864459006797E-2</v>
      </c>
    </row>
    <row r="38" spans="2:24" x14ac:dyDescent="0.2">
      <c r="C38">
        <v>100000</v>
      </c>
      <c r="D38">
        <v>1041.4053590000001</v>
      </c>
      <c r="E38">
        <v>-16992.650761000001</v>
      </c>
      <c r="F38">
        <v>81431.247600999995</v>
      </c>
      <c r="G38">
        <v>0.41947600000000002</v>
      </c>
      <c r="H38">
        <v>31.316627</v>
      </c>
      <c r="I38">
        <v>187.94382100000001</v>
      </c>
      <c r="J38">
        <v>13.835274</v>
      </c>
      <c r="K38">
        <v>3405</v>
      </c>
      <c r="L38">
        <v>499</v>
      </c>
      <c r="M38">
        <f>L38/(L38+K38)</f>
        <v>0.12781762295081966</v>
      </c>
      <c r="N38">
        <f t="shared" si="5"/>
        <v>-4.3609226946721318</v>
      </c>
      <c r="O38">
        <f>E38-(SUM(K38:L38)*N38)</f>
        <v>32.39143900000272</v>
      </c>
      <c r="P38">
        <f>O38/(2*H38*J38)</f>
        <v>3.7379845525176543E-2</v>
      </c>
      <c r="Q38">
        <f>P38*16.02</f>
        <v>0.59882512531332821</v>
      </c>
      <c r="S38" s="2">
        <v>22.62</v>
      </c>
      <c r="T38" s="3" t="s">
        <v>38</v>
      </c>
      <c r="U38" s="4">
        <v>0.71901845517434682</v>
      </c>
      <c r="V38" s="6">
        <v>4.6460392782902149E-2</v>
      </c>
      <c r="X38" s="4"/>
    </row>
    <row r="39" spans="2:24" x14ac:dyDescent="0.2">
      <c r="C39">
        <v>100000</v>
      </c>
      <c r="D39">
        <v>1041.1709450000001</v>
      </c>
      <c r="E39">
        <v>-16882.561986000001</v>
      </c>
      <c r="F39">
        <v>81758.134938999996</v>
      </c>
      <c r="G39">
        <v>0.27498699999999998</v>
      </c>
      <c r="H39">
        <v>31.358474000000001</v>
      </c>
      <c r="I39">
        <v>188.19496699999999</v>
      </c>
      <c r="J39">
        <v>13.853761</v>
      </c>
      <c r="K39">
        <v>3447</v>
      </c>
      <c r="L39">
        <v>457</v>
      </c>
      <c r="M39">
        <f>L39/(L39+K39)</f>
        <v>0.1170594262295082</v>
      </c>
      <c r="N39">
        <f t="shared" si="5"/>
        <v>-4.3322951331967214</v>
      </c>
      <c r="O39">
        <f>E39-(SUM(K39:L39)*N39)</f>
        <v>30.718214000000444</v>
      </c>
      <c r="P39">
        <f>O39/(2*H39*J39)</f>
        <v>3.5354390493339563E-2</v>
      </c>
      <c r="Q39">
        <f>P39*16.02</f>
        <v>0.56637733570329973</v>
      </c>
      <c r="S39" s="6">
        <v>27.6760219742164</v>
      </c>
      <c r="T39" s="5" t="s">
        <v>39</v>
      </c>
      <c r="U39" s="4">
        <v>0.67091843535653806</v>
      </c>
      <c r="V39" s="6">
        <v>6.9272525864162937E-2</v>
      </c>
    </row>
    <row r="40" spans="2:24" x14ac:dyDescent="0.2">
      <c r="C40">
        <v>100000</v>
      </c>
      <c r="D40">
        <v>1041.2953480000001</v>
      </c>
      <c r="E40">
        <v>-16872.574842000002</v>
      </c>
      <c r="F40">
        <v>81786.528342000005</v>
      </c>
      <c r="G40">
        <v>0.53024400000000005</v>
      </c>
      <c r="H40">
        <v>31.362105</v>
      </c>
      <c r="I40">
        <v>188.21675400000001</v>
      </c>
      <c r="J40">
        <v>13.855365000000001</v>
      </c>
      <c r="K40">
        <v>3451</v>
      </c>
      <c r="L40">
        <v>453</v>
      </c>
      <c r="M40">
        <f>L40/(L40+K40)</f>
        <v>0.11603483606557377</v>
      </c>
      <c r="N40">
        <f t="shared" si="5"/>
        <v>-4.3295686987704922</v>
      </c>
      <c r="O40">
        <f>E40-(SUM(K40:L40)*N40)</f>
        <v>30.061357999999018</v>
      </c>
      <c r="P40">
        <f>O40/(2*H40*J40)</f>
        <v>3.4590387267987389E-2</v>
      </c>
      <c r="Q40">
        <f>P40*16.02</f>
        <v>0.55413800403315794</v>
      </c>
      <c r="S40" s="2">
        <v>36.869999999999997</v>
      </c>
      <c r="T40" s="5" t="s">
        <v>40</v>
      </c>
      <c r="U40" s="4">
        <v>0.53907752476538751</v>
      </c>
      <c r="V40" s="6">
        <v>1.9644902740656122E-2</v>
      </c>
      <c r="X40" s="4"/>
    </row>
    <row r="41" spans="2:24" x14ac:dyDescent="0.2">
      <c r="Q41" s="1">
        <f>AVERAGE(Q36:Q40)</f>
        <v>0.56440139666209743</v>
      </c>
      <c r="R41">
        <f>STDEV(Q36:Q40)</f>
        <v>2.1634053294481165E-2</v>
      </c>
      <c r="S41" s="6">
        <v>46.145146311133402</v>
      </c>
      <c r="T41" s="5" t="s">
        <v>41</v>
      </c>
      <c r="U41" s="4">
        <v>0.70229589229448108</v>
      </c>
      <c r="V41" s="6">
        <v>0.10339238199161391</v>
      </c>
    </row>
    <row r="42" spans="2:24" x14ac:dyDescent="0.2">
      <c r="B42" t="s">
        <v>30</v>
      </c>
      <c r="C42">
        <v>100000</v>
      </c>
      <c r="D42">
        <v>1116.017777</v>
      </c>
      <c r="E42">
        <v>-13652.829564</v>
      </c>
      <c r="F42">
        <v>66511.509225000002</v>
      </c>
      <c r="G42">
        <v>-0.30647600000000003</v>
      </c>
      <c r="H42">
        <v>24.491985</v>
      </c>
      <c r="I42">
        <v>195.98001199999999</v>
      </c>
      <c r="J42">
        <v>13.856726999999999</v>
      </c>
      <c r="K42">
        <v>2817</v>
      </c>
      <c r="L42">
        <v>351</v>
      </c>
      <c r="M42">
        <f>L42/(L42+K42)</f>
        <v>0.11079545454545454</v>
      </c>
      <c r="N42">
        <f>-4.0208-2.661*M42</f>
        <v>-4.3156267045454548</v>
      </c>
      <c r="O42">
        <f>E42-(SUM(K42:L42)*N42)</f>
        <v>19.0758360000018</v>
      </c>
      <c r="P42">
        <f>O42/(2*H42*J42)</f>
        <v>2.8104051902753512E-2</v>
      </c>
      <c r="Q42">
        <f>P42*16.02</f>
        <v>0.45022691148211125</v>
      </c>
      <c r="S42" s="2">
        <v>53.13</v>
      </c>
      <c r="T42" s="5" t="s">
        <v>42</v>
      </c>
      <c r="U42" s="4">
        <v>0.68543152610966085</v>
      </c>
      <c r="V42" s="6">
        <v>2.1892526356167879E-2</v>
      </c>
      <c r="X42" s="4"/>
    </row>
    <row r="43" spans="2:24" x14ac:dyDescent="0.2">
      <c r="C43">
        <v>100000</v>
      </c>
      <c r="D43">
        <v>1115.7772199999999</v>
      </c>
      <c r="E43">
        <v>-13674.914618000001</v>
      </c>
      <c r="F43">
        <v>66449.896192999993</v>
      </c>
      <c r="G43">
        <v>0.18013100000000001</v>
      </c>
      <c r="H43">
        <v>24.48442</v>
      </c>
      <c r="I43">
        <v>195.919477</v>
      </c>
      <c r="J43">
        <v>13.852447</v>
      </c>
      <c r="K43">
        <v>2808</v>
      </c>
      <c r="L43">
        <v>360</v>
      </c>
      <c r="M43">
        <f>L43/(L43+K43)</f>
        <v>0.11363636363636363</v>
      </c>
      <c r="N43">
        <f t="shared" ref="N43:N46" si="6">-4.0208-2.661*M43</f>
        <v>-4.3231863636363643</v>
      </c>
      <c r="O43">
        <f>E43-(SUM(K43:L43)*N43)</f>
        <v>20.939782000001287</v>
      </c>
      <c r="P43">
        <f>O43/(2*H43*J43)</f>
        <v>3.0869233259529952E-2</v>
      </c>
      <c r="Q43">
        <f>P43*16.02</f>
        <v>0.49452511681766981</v>
      </c>
      <c r="S43" s="2">
        <v>61.71</v>
      </c>
      <c r="T43" s="5" t="s">
        <v>43</v>
      </c>
      <c r="U43" s="4">
        <v>0.7917810759862951</v>
      </c>
      <c r="V43" s="6">
        <v>0.10981560612512764</v>
      </c>
    </row>
    <row r="44" spans="2:24" x14ac:dyDescent="0.2">
      <c r="C44">
        <v>100000</v>
      </c>
      <c r="D44">
        <v>1115.85229</v>
      </c>
      <c r="E44">
        <v>-13697.183075999999</v>
      </c>
      <c r="F44">
        <v>66384.101364000002</v>
      </c>
      <c r="G44">
        <v>0.306315</v>
      </c>
      <c r="H44">
        <v>24.476336</v>
      </c>
      <c r="I44">
        <v>195.85479000000001</v>
      </c>
      <c r="J44">
        <v>13.847873</v>
      </c>
      <c r="K44">
        <v>2800</v>
      </c>
      <c r="L44">
        <v>368</v>
      </c>
      <c r="M44">
        <f>L44/(L44+K44)</f>
        <v>0.11616161616161616</v>
      </c>
      <c r="N44">
        <f t="shared" si="6"/>
        <v>-4.3299060606060609</v>
      </c>
      <c r="O44">
        <f>E44-(SUM(K44:L44)*N44)</f>
        <v>19.959324000001288</v>
      </c>
      <c r="P44">
        <f>O44/(2*H44*J44)</f>
        <v>2.9443291195120545E-2</v>
      </c>
      <c r="Q44">
        <f>P44*16.02</f>
        <v>0.4716815249458311</v>
      </c>
      <c r="S44" s="6">
        <v>67.724661178359398</v>
      </c>
      <c r="T44" s="5" t="s">
        <v>44</v>
      </c>
      <c r="U44" s="4">
        <v>0.71209472635710058</v>
      </c>
      <c r="V44" s="6">
        <v>0.11882410254495938</v>
      </c>
    </row>
    <row r="45" spans="2:24" x14ac:dyDescent="0.2">
      <c r="C45">
        <v>100000</v>
      </c>
      <c r="D45">
        <v>1115.4218069999999</v>
      </c>
      <c r="E45">
        <v>-13799.282945000001</v>
      </c>
      <c r="F45">
        <v>66097.269516</v>
      </c>
      <c r="G45">
        <v>0.110498</v>
      </c>
      <c r="H45">
        <v>24.441033000000001</v>
      </c>
      <c r="I45">
        <v>195.572305</v>
      </c>
      <c r="J45">
        <v>13.8279</v>
      </c>
      <c r="K45">
        <v>2759</v>
      </c>
      <c r="L45">
        <v>409</v>
      </c>
      <c r="M45">
        <f>L45/(L45+K45)</f>
        <v>0.12910353535353536</v>
      </c>
      <c r="N45">
        <f t="shared" si="6"/>
        <v>-4.3643445075757583</v>
      </c>
      <c r="O45">
        <f>E45-(SUM(K45:L45)*N45)</f>
        <v>26.960455000002185</v>
      </c>
      <c r="P45">
        <f>O45/(2*H45*J45)</f>
        <v>3.9886087172230168E-2</v>
      </c>
      <c r="Q45">
        <f>P45*16.02</f>
        <v>0.6389751164991273</v>
      </c>
      <c r="S45" s="6">
        <v>73.933636606903903</v>
      </c>
      <c r="T45" s="5" t="s">
        <v>45</v>
      </c>
      <c r="U45" s="4">
        <v>0.60658471085627774</v>
      </c>
      <c r="V45" s="6">
        <v>7.5043819772390316E-2</v>
      </c>
    </row>
    <row r="46" spans="2:24" x14ac:dyDescent="0.2">
      <c r="C46">
        <v>100000</v>
      </c>
      <c r="D46">
        <v>1115.833758</v>
      </c>
      <c r="E46">
        <v>-13721.919264</v>
      </c>
      <c r="F46">
        <v>66327.372568000006</v>
      </c>
      <c r="G46">
        <v>-0.18803600000000001</v>
      </c>
      <c r="H46">
        <v>24.469362</v>
      </c>
      <c r="I46">
        <v>195.79898700000001</v>
      </c>
      <c r="J46">
        <v>13.843927000000001</v>
      </c>
      <c r="K46">
        <v>2788</v>
      </c>
      <c r="L46">
        <v>380</v>
      </c>
      <c r="M46">
        <f>L46/(L46+K46)</f>
        <v>0.11994949494949494</v>
      </c>
      <c r="N46">
        <f t="shared" si="6"/>
        <v>-4.3399856060606066</v>
      </c>
      <c r="O46">
        <f>E46-(SUM(K46:L46)*N46)</f>
        <v>27.155136000001221</v>
      </c>
      <c r="P46">
        <f>O46/(2*H46*J46)</f>
        <v>4.0081137659546767E-2</v>
      </c>
      <c r="Q46">
        <f>P46*16.02</f>
        <v>0.64209982530593923</v>
      </c>
      <c r="S46" s="2">
        <v>90</v>
      </c>
      <c r="U46" s="1">
        <v>0</v>
      </c>
    </row>
    <row r="47" spans="2:24" x14ac:dyDescent="0.2">
      <c r="Q47" s="1">
        <f>AVERAGE(Q42:Q46)</f>
        <v>0.53950169901013578</v>
      </c>
      <c r="R47">
        <f>STDEV(Q42:Q46)</f>
        <v>9.3559864459006797E-2</v>
      </c>
      <c r="T47" s="5" t="s">
        <v>46</v>
      </c>
      <c r="U47" s="6">
        <f>AVERAGE(U36:U45)</f>
        <v>0.65311054425723203</v>
      </c>
    </row>
    <row r="48" spans="2:24" x14ac:dyDescent="0.2">
      <c r="B48" t="s">
        <v>24</v>
      </c>
      <c r="C48">
        <v>100000</v>
      </c>
      <c r="D48">
        <v>1115.2288430000001</v>
      </c>
      <c r="E48">
        <v>-10743.304792999999</v>
      </c>
      <c r="F48">
        <v>51665.858519000001</v>
      </c>
      <c r="G48">
        <v>-0.254131</v>
      </c>
      <c r="H48">
        <v>35.276211000000004</v>
      </c>
      <c r="I48">
        <v>141.12687700000001</v>
      </c>
      <c r="J48">
        <v>10.377948</v>
      </c>
      <c r="K48">
        <v>2157</v>
      </c>
      <c r="L48">
        <v>315</v>
      </c>
      <c r="M48">
        <f>L48/(L48+K48)</f>
        <v>0.12742718446601942</v>
      </c>
      <c r="N48">
        <f>-4.0208-2.661*M48</f>
        <v>-4.3598837378640782</v>
      </c>
      <c r="O48">
        <f>E48-(SUM(K48:L48)*N48)</f>
        <v>34.327807000001485</v>
      </c>
      <c r="P48">
        <f>O48/(2*H48*J48)</f>
        <v>4.6883782470777742E-2</v>
      </c>
      <c r="Q48">
        <f>P48*16.02</f>
        <v>0.75107819518185936</v>
      </c>
      <c r="V48" s="5"/>
    </row>
    <row r="49" spans="2:22" x14ac:dyDescent="0.2">
      <c r="C49">
        <v>100000</v>
      </c>
      <c r="D49">
        <v>1115.9131359999999</v>
      </c>
      <c r="E49">
        <v>-10823.61895</v>
      </c>
      <c r="F49">
        <v>51425.774203000001</v>
      </c>
      <c r="G49">
        <v>-0.10705000000000001</v>
      </c>
      <c r="H49">
        <v>35.221483999999997</v>
      </c>
      <c r="I49">
        <v>140.90793600000001</v>
      </c>
      <c r="J49">
        <v>10.361848</v>
      </c>
      <c r="K49">
        <v>2127</v>
      </c>
      <c r="L49">
        <v>345</v>
      </c>
      <c r="M49">
        <f>L49/(L49+K49)</f>
        <v>0.1395631067961165</v>
      </c>
      <c r="N49">
        <f t="shared" ref="N49:N52" si="7">-4.0208-2.661*M49</f>
        <v>-4.3921774271844667</v>
      </c>
      <c r="O49">
        <f>E49-(SUM(K49:L49)*N49)</f>
        <v>33.843650000000707</v>
      </c>
      <c r="P49">
        <f>O49/(2*H49*J49)</f>
        <v>4.6366288361160052E-2</v>
      </c>
      <c r="Q49">
        <f>P49*16.02</f>
        <v>0.74278793954578404</v>
      </c>
      <c r="V49" s="5"/>
    </row>
    <row r="50" spans="2:22" x14ac:dyDescent="0.2">
      <c r="C50">
        <v>100000</v>
      </c>
      <c r="D50">
        <v>1115.87627</v>
      </c>
      <c r="E50">
        <v>-10795.899294999999</v>
      </c>
      <c r="F50">
        <v>51511.047600999998</v>
      </c>
      <c r="G50">
        <v>0.49095899999999998</v>
      </c>
      <c r="H50">
        <v>35.240940999999999</v>
      </c>
      <c r="I50">
        <v>140.98577599999999</v>
      </c>
      <c r="J50">
        <v>10.367571999999999</v>
      </c>
      <c r="K50">
        <v>2139</v>
      </c>
      <c r="L50">
        <v>333</v>
      </c>
      <c r="M50">
        <f>L50/(L50+K50)</f>
        <v>0.13470873786407767</v>
      </c>
      <c r="N50">
        <f t="shared" si="7"/>
        <v>-4.3792599514563113</v>
      </c>
      <c r="O50">
        <f>E50-(SUM(K50:L50)*N50)</f>
        <v>29.631305000002612</v>
      </c>
      <c r="P50">
        <f>O50/(2*H50*J50)</f>
        <v>4.0550501219756147E-2</v>
      </c>
      <c r="Q50">
        <f>P50*16.02</f>
        <v>0.64961902954049344</v>
      </c>
      <c r="S50">
        <v>0</v>
      </c>
      <c r="T50" s="3" t="s">
        <v>64</v>
      </c>
      <c r="U50">
        <v>0</v>
      </c>
    </row>
    <row r="51" spans="2:22" x14ac:dyDescent="0.2">
      <c r="C51">
        <v>100000</v>
      </c>
      <c r="D51">
        <v>1115.9763370000001</v>
      </c>
      <c r="E51">
        <v>-10684.685254</v>
      </c>
      <c r="F51">
        <v>51823.326248999998</v>
      </c>
      <c r="G51">
        <v>0.26267800000000002</v>
      </c>
      <c r="H51">
        <v>35.312012000000003</v>
      </c>
      <c r="I51">
        <v>141.270105</v>
      </c>
      <c r="J51">
        <v>10.388481000000001</v>
      </c>
      <c r="K51">
        <v>2180</v>
      </c>
      <c r="L51">
        <v>292</v>
      </c>
      <c r="M51">
        <f>L51/(L51+K51)</f>
        <v>0.11812297734627832</v>
      </c>
      <c r="N51">
        <f t="shared" si="7"/>
        <v>-4.3351252427184468</v>
      </c>
      <c r="O51">
        <f>E51-(SUM(K51:L51)*N51)</f>
        <v>31.744346000001315</v>
      </c>
      <c r="P51">
        <f>O51/(2*H51*J51)</f>
        <v>4.3267507262370511E-2</v>
      </c>
      <c r="Q51">
        <f>P51*16.02</f>
        <v>0.69314546634317553</v>
      </c>
      <c r="S51" s="2">
        <v>12.68</v>
      </c>
      <c r="T51" s="3" t="s">
        <v>36</v>
      </c>
      <c r="U51" s="4">
        <v>0.5426907093168023</v>
      </c>
      <c r="V51" s="6">
        <v>7.5671822238346162E-2</v>
      </c>
    </row>
    <row r="52" spans="2:22" x14ac:dyDescent="0.2">
      <c r="C52">
        <v>100000</v>
      </c>
      <c r="D52">
        <v>1115.6348929999999</v>
      </c>
      <c r="E52">
        <v>-10726.986803</v>
      </c>
      <c r="F52">
        <v>51698.350558999999</v>
      </c>
      <c r="G52">
        <v>-0.39657700000000001</v>
      </c>
      <c r="H52">
        <v>35.283603999999997</v>
      </c>
      <c r="I52">
        <v>141.156454</v>
      </c>
      <c r="J52">
        <v>10.380122999999999</v>
      </c>
      <c r="K52">
        <v>2163</v>
      </c>
      <c r="L52">
        <v>309</v>
      </c>
      <c r="M52">
        <f>L52/(L52+K52)</f>
        <v>0.125</v>
      </c>
      <c r="N52">
        <f t="shared" si="7"/>
        <v>-4.3534250000000005</v>
      </c>
      <c r="O52">
        <f>E52-(SUM(K52:L52)*N52)</f>
        <v>34.67979700000069</v>
      </c>
      <c r="P52">
        <f>O52/(2*H52*J52)</f>
        <v>4.734467198879036E-2</v>
      </c>
      <c r="Q52">
        <f>P52*16.02</f>
        <v>0.75846164526042159</v>
      </c>
      <c r="S52" s="6">
        <v>16.260000000000002</v>
      </c>
      <c r="T52" s="3" t="s">
        <v>37</v>
      </c>
      <c r="U52" s="4">
        <v>0.60171954725959631</v>
      </c>
      <c r="V52" s="6">
        <v>7.1458147464899369E-2</v>
      </c>
    </row>
    <row r="53" spans="2:22" x14ac:dyDescent="0.2">
      <c r="Q53" s="1">
        <f>AVERAGE(Q48:Q52)</f>
        <v>0.71901845517434682</v>
      </c>
      <c r="R53">
        <f>STDEV(Q48:Q52)</f>
        <v>4.6460392782902149E-2</v>
      </c>
      <c r="S53" s="2">
        <v>22.62</v>
      </c>
      <c r="T53" s="3" t="s">
        <v>38</v>
      </c>
      <c r="U53" s="4">
        <v>0.69202675312756645</v>
      </c>
      <c r="V53" s="6">
        <v>4.3593166344185877E-2</v>
      </c>
    </row>
    <row r="54" spans="2:22" x14ac:dyDescent="0.2">
      <c r="B54" t="s">
        <v>31</v>
      </c>
      <c r="C54">
        <v>100000</v>
      </c>
      <c r="D54">
        <v>1115.5866129999999</v>
      </c>
      <c r="E54">
        <v>-13923.017108</v>
      </c>
      <c r="F54">
        <v>67911.378052</v>
      </c>
      <c r="G54">
        <v>-0.19802600000000001</v>
      </c>
      <c r="H54">
        <v>28.573217</v>
      </c>
      <c r="I54">
        <v>171.461375</v>
      </c>
      <c r="J54">
        <v>13.861706999999999</v>
      </c>
      <c r="K54">
        <v>2869</v>
      </c>
      <c r="L54">
        <v>363</v>
      </c>
      <c r="M54">
        <f>L54/(L54+K54)</f>
        <v>0.11231435643564357</v>
      </c>
      <c r="N54">
        <f>-4.0208-2.661*M54</f>
        <v>-4.3196685024752481</v>
      </c>
      <c r="O54">
        <f>E54-(SUM(K54:L54)*N54)</f>
        <v>38.15149200000269</v>
      </c>
      <c r="P54">
        <f>O54/(2*H54*J54)</f>
        <v>4.8162129021670955E-2</v>
      </c>
      <c r="Q54">
        <f>P54*16.02</f>
        <v>0.77155730692716862</v>
      </c>
      <c r="S54" s="6">
        <v>27.6760219742164</v>
      </c>
      <c r="T54" s="5" t="s">
        <v>39</v>
      </c>
      <c r="U54" s="4">
        <v>0.78239758941842374</v>
      </c>
      <c r="V54" s="6">
        <v>7.8662450904699616E-2</v>
      </c>
    </row>
    <row r="55" spans="2:22" x14ac:dyDescent="0.2">
      <c r="C55">
        <v>100000</v>
      </c>
      <c r="D55">
        <v>1115.2824909999999</v>
      </c>
      <c r="E55">
        <v>-14004.790261</v>
      </c>
      <c r="F55">
        <v>67654.788967999993</v>
      </c>
      <c r="G55">
        <v>0.23388400000000001</v>
      </c>
      <c r="H55">
        <v>28.537185999999998</v>
      </c>
      <c r="I55">
        <v>171.24516</v>
      </c>
      <c r="J55">
        <v>13.844227999999999</v>
      </c>
      <c r="K55">
        <v>2841</v>
      </c>
      <c r="L55">
        <v>391</v>
      </c>
      <c r="M55">
        <f>L55/(L55+K55)</f>
        <v>0.12097772277227722</v>
      </c>
      <c r="N55">
        <f t="shared" ref="N55:N58" si="8">-4.0208-2.661*M55</f>
        <v>-4.3427217202970301</v>
      </c>
      <c r="O55">
        <f>E55-(SUM(K55:L55)*N55)</f>
        <v>30.886339000000589</v>
      </c>
      <c r="P55">
        <f>O55/(2*H55*J55)</f>
        <v>3.9089179025169465E-2</v>
      </c>
      <c r="Q55">
        <f>P55*16.02</f>
        <v>0.62620864798321485</v>
      </c>
      <c r="S55" s="2">
        <v>36.869999999999997</v>
      </c>
      <c r="T55" s="5" t="s">
        <v>40</v>
      </c>
      <c r="U55" s="4">
        <v>0.67796771720552729</v>
      </c>
      <c r="V55" s="6">
        <v>8.9246012645189374E-2</v>
      </c>
    </row>
    <row r="56" spans="2:22" x14ac:dyDescent="0.2">
      <c r="C56">
        <v>100000</v>
      </c>
      <c r="D56">
        <v>1115.308395</v>
      </c>
      <c r="E56">
        <v>-13961.529972</v>
      </c>
      <c r="F56">
        <v>67758.112720000005</v>
      </c>
      <c r="G56">
        <v>0.43270199999999998</v>
      </c>
      <c r="H56">
        <v>28.551704999999998</v>
      </c>
      <c r="I56">
        <v>171.33228700000001</v>
      </c>
      <c r="J56">
        <v>13.851271000000001</v>
      </c>
      <c r="K56">
        <v>2857</v>
      </c>
      <c r="L56">
        <v>375</v>
      </c>
      <c r="M56">
        <f>L56/(L56+K56)</f>
        <v>0.11602722772277228</v>
      </c>
      <c r="N56">
        <f t="shared" si="8"/>
        <v>-4.3295484529702977</v>
      </c>
      <c r="O56">
        <f>E56-(SUM(K56:L56)*N56)</f>
        <v>31.570628000001307</v>
      </c>
      <c r="P56">
        <f>O56/(2*H56*J56)</f>
        <v>3.9914578839687458E-2</v>
      </c>
      <c r="Q56">
        <f>P56*16.02</f>
        <v>0.63943155301179311</v>
      </c>
      <c r="S56" s="6">
        <v>46.145146311133402</v>
      </c>
      <c r="T56" s="5" t="s">
        <v>41</v>
      </c>
      <c r="U56" s="4">
        <v>0.81753755626107572</v>
      </c>
      <c r="V56" s="6">
        <v>2.7653057594241668E-2</v>
      </c>
    </row>
    <row r="57" spans="2:22" x14ac:dyDescent="0.2">
      <c r="C57">
        <v>100000</v>
      </c>
      <c r="D57">
        <v>1115.896056</v>
      </c>
      <c r="E57">
        <v>-13957.905574</v>
      </c>
      <c r="F57">
        <v>67774.546203000005</v>
      </c>
      <c r="G57">
        <v>0.25657200000000002</v>
      </c>
      <c r="H57">
        <v>28.554013999999999</v>
      </c>
      <c r="I57">
        <v>171.34614099999999</v>
      </c>
      <c r="J57">
        <v>13.852391000000001</v>
      </c>
      <c r="K57">
        <v>2859</v>
      </c>
      <c r="L57">
        <v>373</v>
      </c>
      <c r="M57">
        <f>L57/(L57+K57)</f>
        <v>0.11540841584158416</v>
      </c>
      <c r="N57">
        <f t="shared" si="8"/>
        <v>-4.3279017945544558</v>
      </c>
      <c r="O57">
        <f>E57-(SUM(K57:L57)*N57)</f>
        <v>29.873026000001119</v>
      </c>
      <c r="P57">
        <f>O57/(2*H57*J57)</f>
        <v>3.7762202043178296E-2</v>
      </c>
      <c r="Q57">
        <f>P57*16.02</f>
        <v>0.60495047673171631</v>
      </c>
      <c r="S57" s="2">
        <v>53.13</v>
      </c>
      <c r="T57" s="5" t="s">
        <v>42</v>
      </c>
      <c r="U57" s="4">
        <v>0.73227090594083399</v>
      </c>
      <c r="V57" s="6">
        <v>2.3244723420314764E-2</v>
      </c>
    </row>
    <row r="58" spans="2:22" x14ac:dyDescent="0.2">
      <c r="C58">
        <v>100000</v>
      </c>
      <c r="D58">
        <v>1115.4663479999999</v>
      </c>
      <c r="E58">
        <v>-14016.510453999999</v>
      </c>
      <c r="F58">
        <v>67632.941821</v>
      </c>
      <c r="G58">
        <v>0.62053000000000003</v>
      </c>
      <c r="H58">
        <v>28.534113000000001</v>
      </c>
      <c r="I58">
        <v>171.22672299999999</v>
      </c>
      <c r="J58">
        <v>13.842737</v>
      </c>
      <c r="K58">
        <v>2835</v>
      </c>
      <c r="L58">
        <v>397</v>
      </c>
      <c r="M58">
        <f>L58/(L58+K58)</f>
        <v>0.12283415841584158</v>
      </c>
      <c r="N58">
        <f t="shared" si="8"/>
        <v>-4.3476616955445548</v>
      </c>
      <c r="O58">
        <f>E58-(SUM(K58:L58)*N58)</f>
        <v>35.13214600000174</v>
      </c>
      <c r="P58">
        <f>O58/(2*H58*J58)</f>
        <v>4.4472171793308202E-2</v>
      </c>
      <c r="Q58">
        <f>P58*16.02</f>
        <v>0.71244419212879739</v>
      </c>
      <c r="S58" s="2">
        <v>61.71</v>
      </c>
      <c r="T58" s="5" t="s">
        <v>43</v>
      </c>
      <c r="U58" s="4">
        <v>0.86970621036611706</v>
      </c>
      <c r="V58" s="6">
        <v>4.5115470830707681E-2</v>
      </c>
    </row>
    <row r="59" spans="2:22" x14ac:dyDescent="0.2">
      <c r="Q59" s="1">
        <f>AVERAGE(Q54:Q58)</f>
        <v>0.67091843535653806</v>
      </c>
      <c r="R59">
        <f>STDEV(Q54:Q58)</f>
        <v>6.9272525864162937E-2</v>
      </c>
      <c r="S59" s="6">
        <v>67.724661178359398</v>
      </c>
      <c r="T59" s="5" t="s">
        <v>44</v>
      </c>
      <c r="U59" s="4">
        <v>0.7204482213578165</v>
      </c>
      <c r="V59" s="6">
        <v>4.6589506211920061E-2</v>
      </c>
    </row>
    <row r="60" spans="2:22" x14ac:dyDescent="0.2">
      <c r="B60" t="s">
        <v>23</v>
      </c>
      <c r="C60">
        <v>100000</v>
      </c>
      <c r="D60">
        <v>1115.4042480000001</v>
      </c>
      <c r="E60">
        <v>-12426.547538999999</v>
      </c>
      <c r="F60">
        <v>60438.530291000003</v>
      </c>
      <c r="G60">
        <v>0.71540199999999998</v>
      </c>
      <c r="H60">
        <v>32.902993000000002</v>
      </c>
      <c r="I60">
        <v>132.010797</v>
      </c>
      <c r="J60">
        <v>13.914531999999999</v>
      </c>
      <c r="K60">
        <v>2551</v>
      </c>
      <c r="L60">
        <v>329</v>
      </c>
      <c r="M60">
        <f>L60/(L60+K60)</f>
        <v>0.11423611111111111</v>
      </c>
      <c r="N60">
        <f>-4.0208-2.661*M60</f>
        <v>-4.3247822916666667</v>
      </c>
      <c r="O60">
        <f>E60-(SUM(K60:L60)*N60)</f>
        <v>28.825461000000359</v>
      </c>
      <c r="P60">
        <f>O60/(2*H60*J60)</f>
        <v>3.1480546058138249E-2</v>
      </c>
      <c r="Q60">
        <f>P60*16.02</f>
        <v>0.50431834785137475</v>
      </c>
      <c r="S60" s="6">
        <v>73.933636606903903</v>
      </c>
      <c r="T60" s="5" t="s">
        <v>45</v>
      </c>
      <c r="U60" s="4">
        <v>0.72939633525480896</v>
      </c>
      <c r="V60" s="6">
        <v>6.2452716115358325E-2</v>
      </c>
    </row>
    <row r="61" spans="2:22" x14ac:dyDescent="0.2">
      <c r="C61">
        <v>100000</v>
      </c>
      <c r="D61">
        <v>1115.7004340000001</v>
      </c>
      <c r="E61">
        <v>-12461.284057999999</v>
      </c>
      <c r="F61">
        <v>60347.084089999997</v>
      </c>
      <c r="G61">
        <v>-0.28817999999999999</v>
      </c>
      <c r="H61">
        <v>32.886391000000003</v>
      </c>
      <c r="I61">
        <v>131.944187</v>
      </c>
      <c r="J61">
        <v>13.907511</v>
      </c>
      <c r="K61">
        <v>2537</v>
      </c>
      <c r="L61">
        <v>343</v>
      </c>
      <c r="M61">
        <f>L61/(L61+K61)</f>
        <v>0.11909722222222222</v>
      </c>
      <c r="N61">
        <f t="shared" ref="N61:N64" si="9">-4.0208-2.661*M61</f>
        <v>-4.3377177083333338</v>
      </c>
      <c r="O61">
        <f>E61-(SUM(K61:L61)*N61)</f>
        <v>31.342942000002949</v>
      </c>
      <c r="P61">
        <f>O61/(2*H61*J61)</f>
        <v>3.426447920556501E-2</v>
      </c>
      <c r="Q61">
        <f>P61*16.02</f>
        <v>0.54891695687315145</v>
      </c>
      <c r="S61" s="2">
        <v>90</v>
      </c>
      <c r="U61" s="1">
        <v>0</v>
      </c>
    </row>
    <row r="62" spans="2:22" x14ac:dyDescent="0.2">
      <c r="C62">
        <v>100000</v>
      </c>
      <c r="D62">
        <v>1115.2988029999999</v>
      </c>
      <c r="E62">
        <v>-12416.35376</v>
      </c>
      <c r="F62">
        <v>60472.971782000001</v>
      </c>
      <c r="G62">
        <v>7.2960000000000004E-3</v>
      </c>
      <c r="H62">
        <v>32.909242999999996</v>
      </c>
      <c r="I62">
        <v>132.03587099999999</v>
      </c>
      <c r="J62">
        <v>13.917175</v>
      </c>
      <c r="K62">
        <v>2554</v>
      </c>
      <c r="L62">
        <v>326</v>
      </c>
      <c r="M62">
        <f>L62/(L62+K62)</f>
        <v>0.11319444444444444</v>
      </c>
      <c r="N62">
        <f t="shared" si="9"/>
        <v>-4.3220104166666671</v>
      </c>
      <c r="O62">
        <f>E62-(SUM(K62:L62)*N62)</f>
        <v>31.036240000001271</v>
      </c>
      <c r="P62">
        <f>O62/(2*H62*J62)</f>
        <v>3.3882084806383057E-2</v>
      </c>
      <c r="Q62">
        <f>P62*16.02</f>
        <v>0.54279099859825652</v>
      </c>
      <c r="T62" s="5" t="s">
        <v>46</v>
      </c>
      <c r="U62" s="6">
        <f>AVERAGE(U51:U60)</f>
        <v>0.71661615455085692</v>
      </c>
    </row>
    <row r="63" spans="2:22" x14ac:dyDescent="0.2">
      <c r="C63">
        <v>100000</v>
      </c>
      <c r="D63">
        <v>1115.469638</v>
      </c>
      <c r="E63">
        <v>-12439.935621000001</v>
      </c>
      <c r="F63">
        <v>60416.210770999998</v>
      </c>
      <c r="G63">
        <v>0.420877</v>
      </c>
      <c r="H63">
        <v>32.898941999999998</v>
      </c>
      <c r="I63">
        <v>131.99454399999999</v>
      </c>
      <c r="J63">
        <v>13.912819000000001</v>
      </c>
      <c r="K63">
        <v>2545</v>
      </c>
      <c r="L63">
        <v>335</v>
      </c>
      <c r="M63">
        <f>L63/(L63+K63)</f>
        <v>0.11631944444444445</v>
      </c>
      <c r="N63">
        <f t="shared" si="9"/>
        <v>-4.3303260416666669</v>
      </c>
      <c r="O63">
        <f>E63-(SUM(K63:L63)*N63)</f>
        <v>31.403378999999404</v>
      </c>
      <c r="P63">
        <f>O63/(2*H63*J63)</f>
        <v>3.430435974808245E-2</v>
      </c>
      <c r="Q63">
        <f>P63*16.02</f>
        <v>0.54955584316428086</v>
      </c>
    </row>
    <row r="64" spans="2:22" x14ac:dyDescent="0.2">
      <c r="C64">
        <v>100000</v>
      </c>
      <c r="D64">
        <v>1115.6027959999999</v>
      </c>
      <c r="E64">
        <v>-12466.560181999999</v>
      </c>
      <c r="F64">
        <v>60333.081637000003</v>
      </c>
      <c r="G64">
        <v>0.35000999999999999</v>
      </c>
      <c r="H64">
        <v>32.883845999999998</v>
      </c>
      <c r="I64">
        <v>131.933977</v>
      </c>
      <c r="J64">
        <v>13.906435</v>
      </c>
      <c r="K64">
        <v>2535</v>
      </c>
      <c r="L64">
        <v>345</v>
      </c>
      <c r="M64">
        <f>L64/(L64+K64)</f>
        <v>0.11979166666666667</v>
      </c>
      <c r="N64">
        <f t="shared" si="9"/>
        <v>-4.3395656250000005</v>
      </c>
      <c r="O64">
        <f>E64-(SUM(K64:L64)*N64)</f>
        <v>31.388818000003084</v>
      </c>
      <c r="P64">
        <f>O64/(2*H64*J64)</f>
        <v>3.4319942405734952E-2</v>
      </c>
      <c r="Q64">
        <f>P64*16.02</f>
        <v>0.54980547733987395</v>
      </c>
      <c r="S64">
        <v>0</v>
      </c>
      <c r="T64" s="3" t="s">
        <v>65</v>
      </c>
      <c r="U64">
        <v>0</v>
      </c>
    </row>
    <row r="65" spans="2:22" x14ac:dyDescent="0.2">
      <c r="Q65" s="1">
        <f>AVERAGE(Q60:Q64)</f>
        <v>0.53907752476538751</v>
      </c>
      <c r="R65">
        <f>STDEV(Q60:Q64)</f>
        <v>1.9644902740656122E-2</v>
      </c>
      <c r="S65" s="2">
        <v>12.68</v>
      </c>
      <c r="T65" s="3" t="s">
        <v>36</v>
      </c>
      <c r="U65" s="1">
        <v>0.6880801313275412</v>
      </c>
      <c r="V65">
        <v>5.0979755125844836E-2</v>
      </c>
    </row>
    <row r="66" spans="2:22" x14ac:dyDescent="0.2">
      <c r="B66" t="s">
        <v>32</v>
      </c>
      <c r="C66">
        <v>100000</v>
      </c>
      <c r="D66">
        <v>1115.413366</v>
      </c>
      <c r="E66">
        <v>-15888.670199</v>
      </c>
      <c r="F66">
        <v>77183.164285999999</v>
      </c>
      <c r="G66">
        <v>0.20363999999999999</v>
      </c>
      <c r="H66">
        <v>26.382166000000002</v>
      </c>
      <c r="I66">
        <v>211.10146700000001</v>
      </c>
      <c r="J66">
        <v>13.858637</v>
      </c>
      <c r="K66">
        <v>3259</v>
      </c>
      <c r="L66">
        <v>421</v>
      </c>
      <c r="M66">
        <f>L66/(L66+K66)</f>
        <v>0.11440217391304348</v>
      </c>
      <c r="N66">
        <f>-4.0208-2.661*M66</f>
        <v>-4.3252241847826092</v>
      </c>
      <c r="O66">
        <f>E66-(SUM(K66:L66)*N66)</f>
        <v>28.154801000002408</v>
      </c>
      <c r="P66">
        <f>O66/(2*H66*J66)</f>
        <v>3.850272773847762E-2</v>
      </c>
      <c r="Q66">
        <f>P66*16.02</f>
        <v>0.61681369837041145</v>
      </c>
      <c r="S66" s="6">
        <v>16.260000000000002</v>
      </c>
      <c r="T66" s="3" t="s">
        <v>37</v>
      </c>
      <c r="U66" s="1">
        <v>0.704551805730812</v>
      </c>
      <c r="V66">
        <v>7.0856375897455651E-2</v>
      </c>
    </row>
    <row r="67" spans="2:22" x14ac:dyDescent="0.2">
      <c r="C67">
        <v>100000</v>
      </c>
      <c r="D67">
        <v>1115.50946</v>
      </c>
      <c r="E67">
        <v>-15931.768754999999</v>
      </c>
      <c r="F67">
        <v>77069.229739000002</v>
      </c>
      <c r="G67">
        <v>-0.107072</v>
      </c>
      <c r="H67">
        <v>26.369178999999999</v>
      </c>
      <c r="I67">
        <v>210.997544</v>
      </c>
      <c r="J67">
        <v>13.851815</v>
      </c>
      <c r="K67">
        <v>3239</v>
      </c>
      <c r="L67">
        <v>441</v>
      </c>
      <c r="M67">
        <f>L67/(L67+K67)</f>
        <v>0.11983695652173913</v>
      </c>
      <c r="N67">
        <f t="shared" ref="N67:N70" si="10">-4.0208-2.661*M67</f>
        <v>-4.3396861413043482</v>
      </c>
      <c r="O67">
        <f>E67-(SUM(K67:L67)*N67)</f>
        <v>38.276245000002746</v>
      </c>
      <c r="P67">
        <f>O67/(2*H67*J67)</f>
        <v>5.2395747329601332E-2</v>
      </c>
      <c r="Q67">
        <f>P67*16.02</f>
        <v>0.83937987222021326</v>
      </c>
      <c r="S67" s="2">
        <v>22.62</v>
      </c>
      <c r="T67" s="3" t="s">
        <v>38</v>
      </c>
      <c r="U67" s="1">
        <v>0.709690524365992</v>
      </c>
      <c r="V67">
        <v>0.12090555889365794</v>
      </c>
    </row>
    <row r="68" spans="2:22" x14ac:dyDescent="0.2">
      <c r="C68">
        <v>100000</v>
      </c>
      <c r="D68">
        <v>1115.70198</v>
      </c>
      <c r="E68">
        <v>-15978.136187</v>
      </c>
      <c r="F68">
        <v>76943.666614000002</v>
      </c>
      <c r="G68">
        <v>0.14219300000000001</v>
      </c>
      <c r="H68">
        <v>26.354849999999999</v>
      </c>
      <c r="I68">
        <v>210.88289399999999</v>
      </c>
      <c r="J68">
        <v>13.844288000000001</v>
      </c>
      <c r="K68">
        <v>3223</v>
      </c>
      <c r="L68">
        <v>457</v>
      </c>
      <c r="M68">
        <f>L68/(L68+K68)</f>
        <v>0.12418478260869566</v>
      </c>
      <c r="N68">
        <f t="shared" si="10"/>
        <v>-4.3512557065217399</v>
      </c>
      <c r="O68">
        <f>E68-(SUM(K68:L68)*N68)</f>
        <v>34.48481300000276</v>
      </c>
      <c r="P68">
        <f>O68/(2*H68*J68)</f>
        <v>4.7257060676332265E-2</v>
      </c>
      <c r="Q68">
        <f>P68*16.02</f>
        <v>0.75705811203484286</v>
      </c>
      <c r="S68" s="6">
        <v>27.6760219742164</v>
      </c>
      <c r="T68" s="5" t="s">
        <v>39</v>
      </c>
      <c r="U68" s="1">
        <v>0.81701024381584253</v>
      </c>
      <c r="V68">
        <v>0.14400541934189304</v>
      </c>
    </row>
    <row r="69" spans="2:22" x14ac:dyDescent="0.2">
      <c r="C69">
        <v>100000</v>
      </c>
      <c r="D69">
        <v>1115.513917</v>
      </c>
      <c r="E69">
        <v>-15818.182253000001</v>
      </c>
      <c r="F69">
        <v>77418.781810999993</v>
      </c>
      <c r="G69">
        <v>0.13339400000000001</v>
      </c>
      <c r="H69">
        <v>26.408985000000001</v>
      </c>
      <c r="I69">
        <v>211.31606099999999</v>
      </c>
      <c r="J69">
        <v>13.872725000000001</v>
      </c>
      <c r="K69">
        <v>3286</v>
      </c>
      <c r="L69">
        <v>394</v>
      </c>
      <c r="M69">
        <f>L69/(L69+K69)</f>
        <v>0.10706521739130435</v>
      </c>
      <c r="N69">
        <f t="shared" si="10"/>
        <v>-4.3057005434782614</v>
      </c>
      <c r="O69">
        <f>E69-(SUM(K69:L69)*N69)</f>
        <v>26.795747000000119</v>
      </c>
      <c r="P69">
        <f>O69/(2*H69*J69)</f>
        <v>3.6569783205312865E-2</v>
      </c>
      <c r="Q69">
        <f>P69*16.02</f>
        <v>0.58584792694911214</v>
      </c>
      <c r="S69" s="2">
        <v>36.869999999999997</v>
      </c>
      <c r="T69" s="5" t="s">
        <v>40</v>
      </c>
      <c r="U69" s="1">
        <v>0.7729759872819908</v>
      </c>
      <c r="V69">
        <v>0.11717910256048963</v>
      </c>
    </row>
    <row r="70" spans="2:22" x14ac:dyDescent="0.2">
      <c r="C70">
        <v>100000</v>
      </c>
      <c r="D70">
        <v>1115.5523189999999</v>
      </c>
      <c r="E70">
        <v>-15897.613676000001</v>
      </c>
      <c r="F70">
        <v>77180.857246</v>
      </c>
      <c r="G70">
        <v>-2.9846999999999999E-2</v>
      </c>
      <c r="H70">
        <v>26.381903999999999</v>
      </c>
      <c r="I70">
        <v>211.099366</v>
      </c>
      <c r="J70">
        <v>13.858499</v>
      </c>
      <c r="K70">
        <v>3254</v>
      </c>
      <c r="L70">
        <v>426</v>
      </c>
      <c r="M70">
        <f>L70/(L70+K70)</f>
        <v>0.11576086956521739</v>
      </c>
      <c r="N70">
        <f t="shared" si="10"/>
        <v>-4.3288396739130439</v>
      </c>
      <c r="O70">
        <f>E70-(SUM(K70:L70)*N70)</f>
        <v>32.516324000000168</v>
      </c>
      <c r="P70">
        <f>O70/(2*H70*J70)</f>
        <v>4.4468155549177615E-2</v>
      </c>
      <c r="Q70">
        <f>P70*16.02</f>
        <v>0.71237985189782538</v>
      </c>
      <c r="S70" s="6">
        <v>46.145146311133402</v>
      </c>
      <c r="T70" s="5" t="s">
        <v>41</v>
      </c>
      <c r="U70" s="1">
        <v>0.8742593577833434</v>
      </c>
      <c r="V70">
        <v>8.8233766610722089E-2</v>
      </c>
    </row>
    <row r="71" spans="2:22" x14ac:dyDescent="0.2">
      <c r="Q71" s="1">
        <f>AVERAGE(Q66:Q70)</f>
        <v>0.70229589229448108</v>
      </c>
      <c r="R71">
        <f>STDEV(Q66:Q70)</f>
        <v>0.10339238199161391</v>
      </c>
      <c r="S71" s="2">
        <v>53.13</v>
      </c>
      <c r="T71" s="5" t="s">
        <v>42</v>
      </c>
      <c r="U71" s="1">
        <v>0.80386668028955444</v>
      </c>
      <c r="V71">
        <v>1.9726916255294432E-2</v>
      </c>
    </row>
    <row r="72" spans="2:22" x14ac:dyDescent="0.2">
      <c r="B72" t="s">
        <v>22</v>
      </c>
      <c r="C72">
        <v>100000</v>
      </c>
      <c r="D72">
        <v>1041.2785449999999</v>
      </c>
      <c r="E72">
        <v>-16386.578415</v>
      </c>
      <c r="F72">
        <v>78951.276624000006</v>
      </c>
      <c r="G72">
        <v>0.43707800000000002</v>
      </c>
      <c r="H72">
        <v>30.854265000000002</v>
      </c>
      <c r="I72">
        <v>92.722092000000004</v>
      </c>
      <c r="J72">
        <v>27.596907000000002</v>
      </c>
      <c r="K72">
        <v>3297</v>
      </c>
      <c r="L72">
        <v>479</v>
      </c>
      <c r="M72">
        <f>L72/(L72+K72)</f>
        <v>0.12685381355932204</v>
      </c>
      <c r="N72">
        <f>-4.0208-2.661*M72</f>
        <v>-4.358357997881356</v>
      </c>
      <c r="O72">
        <f>E72-(SUM(K72:L72)*N72)</f>
        <v>70.581385000001319</v>
      </c>
      <c r="P72">
        <f>O72/(2*H72*J72)</f>
        <v>4.1446185382887302E-2</v>
      </c>
      <c r="Q72">
        <f>P72*16.02</f>
        <v>0.66396788983385457</v>
      </c>
      <c r="S72" s="2">
        <v>61.71</v>
      </c>
      <c r="T72" s="5" t="s">
        <v>43</v>
      </c>
      <c r="U72" s="1">
        <v>0.91249517627645482</v>
      </c>
      <c r="V72">
        <v>8.7469628224411636E-2</v>
      </c>
    </row>
    <row r="73" spans="2:22" x14ac:dyDescent="0.2">
      <c r="C73">
        <v>100000</v>
      </c>
      <c r="D73">
        <v>1041.1563100000001</v>
      </c>
      <c r="E73">
        <v>-16365.903662999999</v>
      </c>
      <c r="F73">
        <v>79018.687137999994</v>
      </c>
      <c r="G73">
        <v>0.333816</v>
      </c>
      <c r="H73">
        <v>30.863043999999999</v>
      </c>
      <c r="I73">
        <v>92.748473000000004</v>
      </c>
      <c r="J73">
        <v>27.604759000000001</v>
      </c>
      <c r="K73">
        <v>3303</v>
      </c>
      <c r="L73">
        <v>473</v>
      </c>
      <c r="M73">
        <f>L73/(L73+K73)</f>
        <v>0.12526483050847459</v>
      </c>
      <c r="N73">
        <f t="shared" ref="N73:N76" si="11">-4.0208-2.661*M73</f>
        <v>-4.3541297139830508</v>
      </c>
      <c r="O73">
        <f>E73-(SUM(K73:L73)*N73)</f>
        <v>75.290137000001778</v>
      </c>
      <c r="P73">
        <f>O73/(2*H73*J73)</f>
        <v>4.4186069752237489E-2</v>
      </c>
      <c r="Q73">
        <f>P73*16.02</f>
        <v>0.7078608374308446</v>
      </c>
      <c r="S73" s="6">
        <v>67.724661178359398</v>
      </c>
      <c r="T73" s="5" t="s">
        <v>44</v>
      </c>
      <c r="U73" s="1">
        <v>0.77186721640976053</v>
      </c>
      <c r="V73">
        <v>9.1230113947215544E-2</v>
      </c>
    </row>
    <row r="74" spans="2:22" x14ac:dyDescent="0.2">
      <c r="C74">
        <v>100000</v>
      </c>
      <c r="D74">
        <v>1040.965093</v>
      </c>
      <c r="E74">
        <v>-16413.982398</v>
      </c>
      <c r="F74">
        <v>78876.018016000002</v>
      </c>
      <c r="G74">
        <v>6.5240000000000006E-2</v>
      </c>
      <c r="H74">
        <v>30.844457999999999</v>
      </c>
      <c r="I74">
        <v>92.692622</v>
      </c>
      <c r="J74">
        <v>27.588135999999999</v>
      </c>
      <c r="K74">
        <v>3285</v>
      </c>
      <c r="L74">
        <v>491</v>
      </c>
      <c r="M74">
        <f>L74/(L74+K74)</f>
        <v>0.13003177966101695</v>
      </c>
      <c r="N74">
        <f t="shared" si="11"/>
        <v>-4.3668145656779664</v>
      </c>
      <c r="O74">
        <f>E74-(SUM(K74:L74)*N74)</f>
        <v>75.109402000001865</v>
      </c>
      <c r="P74">
        <f>O74/(2*H74*J74)</f>
        <v>4.4133137892977521E-2</v>
      </c>
      <c r="Q74">
        <f>P74*16.02</f>
        <v>0.70701286904549987</v>
      </c>
      <c r="S74" s="6">
        <v>73.933636606903903</v>
      </c>
      <c r="T74" s="5" t="s">
        <v>45</v>
      </c>
      <c r="U74" s="1">
        <v>0.72259711408944871</v>
      </c>
      <c r="V74">
        <v>7.3456210795625379E-2</v>
      </c>
    </row>
    <row r="75" spans="2:22" x14ac:dyDescent="0.2">
      <c r="C75">
        <v>100000</v>
      </c>
      <c r="D75">
        <v>1041.297581</v>
      </c>
      <c r="E75">
        <v>-16339.03203</v>
      </c>
      <c r="F75">
        <v>79077.707502000005</v>
      </c>
      <c r="G75">
        <v>0.306699</v>
      </c>
      <c r="H75">
        <v>30.870726000000001</v>
      </c>
      <c r="I75">
        <v>92.771558999999996</v>
      </c>
      <c r="J75">
        <v>27.611630000000002</v>
      </c>
      <c r="K75">
        <v>3314</v>
      </c>
      <c r="L75">
        <v>462</v>
      </c>
      <c r="M75">
        <f>L75/(L75+K75)</f>
        <v>0.12235169491525423</v>
      </c>
      <c r="N75">
        <f t="shared" si="11"/>
        <v>-4.3463778601694916</v>
      </c>
      <c r="O75">
        <f>E75-(SUM(K75:L75)*N75)</f>
        <v>72.890769999999975</v>
      </c>
      <c r="P75">
        <f>O75/(2*H75*J75)</f>
        <v>4.2756648366118415E-2</v>
      </c>
      <c r="Q75">
        <f>P75*16.02</f>
        <v>0.68496150682521695</v>
      </c>
      <c r="S75" s="2">
        <v>90</v>
      </c>
      <c r="U75" s="1">
        <v>0</v>
      </c>
    </row>
    <row r="76" spans="2:22" x14ac:dyDescent="0.2">
      <c r="C76">
        <v>100000</v>
      </c>
      <c r="D76">
        <v>1041.1592430000001</v>
      </c>
      <c r="E76">
        <v>-16367.982312</v>
      </c>
      <c r="F76">
        <v>79008.899518999999</v>
      </c>
      <c r="G76">
        <v>0.357014</v>
      </c>
      <c r="H76">
        <v>30.861768999999999</v>
      </c>
      <c r="I76">
        <v>92.744642999999996</v>
      </c>
      <c r="J76">
        <v>27.603618999999998</v>
      </c>
      <c r="K76">
        <v>3304</v>
      </c>
      <c r="L76">
        <v>472</v>
      </c>
      <c r="M76">
        <f>L76/(L76+K76)</f>
        <v>0.125</v>
      </c>
      <c r="N76">
        <f t="shared" si="11"/>
        <v>-4.3534250000000005</v>
      </c>
      <c r="O76">
        <f>E76-(SUM(K76:L76)*N76)</f>
        <v>70.550488000000769</v>
      </c>
      <c r="P76">
        <f>O76/(2*H76*J76)</f>
        <v>4.1407898090692161E-2</v>
      </c>
      <c r="Q76">
        <f>P76*16.02</f>
        <v>0.66335452741288836</v>
      </c>
      <c r="T76" s="5" t="s">
        <v>46</v>
      </c>
      <c r="U76" s="6">
        <f>AVERAGE(U65:U74)</f>
        <v>0.77773942373707405</v>
      </c>
    </row>
    <row r="77" spans="2:22" x14ac:dyDescent="0.2">
      <c r="Q77" s="1">
        <f>AVERAGE(Q72:Q76)</f>
        <v>0.68543152610966085</v>
      </c>
      <c r="R77">
        <f>STDEV(Q72:Q76)</f>
        <v>2.1892526356167879E-2</v>
      </c>
    </row>
    <row r="78" spans="2:22" x14ac:dyDescent="0.2">
      <c r="B78" t="s">
        <v>33</v>
      </c>
      <c r="C78">
        <v>100000</v>
      </c>
      <c r="D78">
        <v>1115.568074</v>
      </c>
      <c r="E78">
        <v>-28094.001342</v>
      </c>
      <c r="F78">
        <v>135855.13438599999</v>
      </c>
      <c r="G78">
        <v>0.13223699999999999</v>
      </c>
      <c r="H78">
        <v>40.408434999999997</v>
      </c>
      <c r="I78">
        <v>242.51683499999999</v>
      </c>
      <c r="J78">
        <v>13.863151</v>
      </c>
      <c r="K78">
        <v>5714</v>
      </c>
      <c r="L78">
        <v>774</v>
      </c>
      <c r="M78">
        <f>L78/(L78+K78)</f>
        <v>0.11929716399506782</v>
      </c>
      <c r="N78">
        <f>-4.0208-2.661*M78</f>
        <v>-4.3382497533908762</v>
      </c>
      <c r="O78">
        <f>E78-(SUM(K78:L78)*N78)</f>
        <v>52.563058000003366</v>
      </c>
      <c r="P78">
        <f>O78/(2*H78*J78)</f>
        <v>4.691553179333479E-2</v>
      </c>
      <c r="Q78">
        <f>P78*16.02</f>
        <v>0.75158681932922333</v>
      </c>
      <c r="S78">
        <v>0</v>
      </c>
      <c r="T78" s="3" t="s">
        <v>66</v>
      </c>
      <c r="U78">
        <v>0</v>
      </c>
    </row>
    <row r="79" spans="2:22" x14ac:dyDescent="0.2">
      <c r="C79">
        <v>100000</v>
      </c>
      <c r="D79">
        <v>1115.574971</v>
      </c>
      <c r="E79">
        <v>-28056.369245999998</v>
      </c>
      <c r="F79">
        <v>135986.76759999999</v>
      </c>
      <c r="G79">
        <v>0.26659899999999997</v>
      </c>
      <c r="H79">
        <v>40.421481999999997</v>
      </c>
      <c r="I79">
        <v>242.59513699999999</v>
      </c>
      <c r="J79">
        <v>13.867627000000001</v>
      </c>
      <c r="K79">
        <v>5729</v>
      </c>
      <c r="L79">
        <v>759</v>
      </c>
      <c r="M79">
        <f>L79/(L79+K79)</f>
        <v>0.11698520345252775</v>
      </c>
      <c r="N79">
        <f t="shared" ref="N79:N82" si="12">-4.0208-2.661*M79</f>
        <v>-4.3320976263871769</v>
      </c>
      <c r="O79">
        <f>E79-(SUM(K79:L79)*N79)</f>
        <v>50.280154000003677</v>
      </c>
      <c r="P79">
        <f>O79/(2*H79*J79)</f>
        <v>4.4848943756968747E-2</v>
      </c>
      <c r="Q79">
        <f>P79*16.02</f>
        <v>0.71848007898663935</v>
      </c>
      <c r="S79" s="2">
        <v>12.68</v>
      </c>
      <c r="T79" s="3" t="s">
        <v>36</v>
      </c>
      <c r="U79" s="1">
        <v>0.90826881017649475</v>
      </c>
      <c r="V79">
        <v>0.1019670443352854</v>
      </c>
    </row>
    <row r="80" spans="2:22" x14ac:dyDescent="0.2">
      <c r="C80">
        <v>100000</v>
      </c>
      <c r="D80">
        <v>1115.814255</v>
      </c>
      <c r="E80">
        <v>-28010.940971</v>
      </c>
      <c r="F80">
        <v>136120.03589900001</v>
      </c>
      <c r="G80">
        <v>-4.5912000000000001E-2</v>
      </c>
      <c r="H80">
        <v>40.434682000000002</v>
      </c>
      <c r="I80">
        <v>242.674361</v>
      </c>
      <c r="J80">
        <v>13.872154999999999</v>
      </c>
      <c r="K80">
        <v>5747</v>
      </c>
      <c r="L80">
        <v>741</v>
      </c>
      <c r="M80">
        <f>L80/(L80+K80)</f>
        <v>0.11421085080147965</v>
      </c>
      <c r="N80">
        <f t="shared" si="12"/>
        <v>-4.3247150739827376</v>
      </c>
      <c r="O80">
        <f>E80-(SUM(K80:L80)*N80)</f>
        <v>47.810429000001022</v>
      </c>
      <c r="P80">
        <f>O80/(2*H80*J80)</f>
        <v>4.2618158504673639E-2</v>
      </c>
      <c r="Q80">
        <f>P80*16.02</f>
        <v>0.68274289924487164</v>
      </c>
      <c r="S80" s="6">
        <v>16.260000000000002</v>
      </c>
      <c r="T80" s="3" t="s">
        <v>37</v>
      </c>
      <c r="U80" s="1">
        <v>1.0725177513955813</v>
      </c>
      <c r="V80">
        <v>0.13381980403027607</v>
      </c>
    </row>
    <row r="81" spans="2:22" x14ac:dyDescent="0.2">
      <c r="C81">
        <v>100000</v>
      </c>
      <c r="D81">
        <v>1115.8051379999999</v>
      </c>
      <c r="E81">
        <v>-28073.446862000001</v>
      </c>
      <c r="F81">
        <v>135891.524141</v>
      </c>
      <c r="G81">
        <v>-7.8580000000000004E-3</v>
      </c>
      <c r="H81">
        <v>40.412042999999997</v>
      </c>
      <c r="I81">
        <v>242.538488</v>
      </c>
      <c r="J81">
        <v>13.864388</v>
      </c>
      <c r="K81">
        <v>5719</v>
      </c>
      <c r="L81">
        <v>769</v>
      </c>
      <c r="M81">
        <f>L81/(L81+K81)</f>
        <v>0.11852651048088779</v>
      </c>
      <c r="N81">
        <f t="shared" si="12"/>
        <v>-4.3361990443896428</v>
      </c>
      <c r="O81">
        <f>E81-(SUM(K81:L81)*N81)</f>
        <v>59.81253800000195</v>
      </c>
      <c r="P81">
        <f>O81/(2*H81*J81)</f>
        <v>5.337657771502953E-2</v>
      </c>
      <c r="Q81">
        <f>P81*16.02</f>
        <v>0.8550927749947731</v>
      </c>
      <c r="S81" s="2">
        <v>22.62</v>
      </c>
      <c r="T81" s="3" t="s">
        <v>38</v>
      </c>
      <c r="U81" s="1">
        <v>1.2394538368424743</v>
      </c>
      <c r="V81">
        <v>0.15420247946348078</v>
      </c>
    </row>
    <row r="82" spans="2:22" x14ac:dyDescent="0.2">
      <c r="C82">
        <v>100000</v>
      </c>
      <c r="D82">
        <v>1115.384468</v>
      </c>
      <c r="E82">
        <v>-28189.247920000002</v>
      </c>
      <c r="F82">
        <v>135573.48772800001</v>
      </c>
      <c r="G82">
        <v>0.15842300000000001</v>
      </c>
      <c r="H82">
        <v>40.380490999999999</v>
      </c>
      <c r="I82">
        <v>242.34912700000001</v>
      </c>
      <c r="J82">
        <v>13.853564</v>
      </c>
      <c r="K82">
        <v>5673</v>
      </c>
      <c r="L82">
        <v>815</v>
      </c>
      <c r="M82">
        <f>L82/(L82+K82)</f>
        <v>0.12561652281134403</v>
      </c>
      <c r="N82">
        <f t="shared" si="12"/>
        <v>-4.3550655672009864</v>
      </c>
      <c r="O82">
        <f>E82-(SUM(K82:L82)*N82)</f>
        <v>66.417479999996431</v>
      </c>
      <c r="P82">
        <f>O82/(2*H82*J82)</f>
        <v>5.936347112209539E-2</v>
      </c>
      <c r="Q82">
        <f>P82*16.02</f>
        <v>0.9510028073759681</v>
      </c>
      <c r="S82" s="6">
        <v>27.6760219742164</v>
      </c>
      <c r="T82" s="5" t="s">
        <v>39</v>
      </c>
      <c r="U82" s="1">
        <v>1.2272279015350542</v>
      </c>
      <c r="V82">
        <v>6.9068034914377921E-2</v>
      </c>
    </row>
    <row r="83" spans="2:22" x14ac:dyDescent="0.2">
      <c r="Q83" s="1">
        <f>AVERAGE(Q78:Q82)</f>
        <v>0.7917810759862951</v>
      </c>
      <c r="R83">
        <f>STDEV(Q78:Q82)</f>
        <v>0.10981560612512764</v>
      </c>
      <c r="S83" s="2">
        <v>36.869999999999997</v>
      </c>
      <c r="T83" s="5" t="s">
        <v>40</v>
      </c>
      <c r="U83" s="1">
        <v>1.2686831353351129</v>
      </c>
      <c r="V83">
        <v>8.8058871247983728E-2</v>
      </c>
    </row>
    <row r="84" spans="2:22" x14ac:dyDescent="0.2">
      <c r="B84" t="s">
        <v>34</v>
      </c>
      <c r="C84">
        <v>100000</v>
      </c>
      <c r="D84">
        <v>1115.7157569999999</v>
      </c>
      <c r="E84">
        <v>-14300.284683</v>
      </c>
      <c r="F84">
        <v>68957.781661000001</v>
      </c>
      <c r="G84">
        <v>0.204509</v>
      </c>
      <c r="H84">
        <v>24.951381000000001</v>
      </c>
      <c r="I84">
        <v>199.655136</v>
      </c>
      <c r="J84">
        <v>13.842286</v>
      </c>
      <c r="K84">
        <v>2890</v>
      </c>
      <c r="L84">
        <v>406</v>
      </c>
      <c r="M84">
        <f>L84/(L84+K84)</f>
        <v>0.12317961165048544</v>
      </c>
      <c r="N84">
        <f>-4.0208-2.661*M84</f>
        <v>-4.3485809466019418</v>
      </c>
      <c r="O84">
        <f>E84-(SUM(K84:L84)*N84)</f>
        <v>32.63811700000042</v>
      </c>
      <c r="P84">
        <f>O84/(2*H84*J84)</f>
        <v>4.7249007837708967E-2</v>
      </c>
      <c r="Q84">
        <f>P84*16.02</f>
        <v>0.75692910556009763</v>
      </c>
      <c r="S84" s="6">
        <v>46.145146311133402</v>
      </c>
      <c r="T84" s="5" t="s">
        <v>41</v>
      </c>
      <c r="U84" s="1">
        <v>1.3335481936489106</v>
      </c>
      <c r="V84">
        <v>0.15192340152289915</v>
      </c>
    </row>
    <row r="85" spans="2:22" x14ac:dyDescent="0.2">
      <c r="C85">
        <v>100000</v>
      </c>
      <c r="D85">
        <v>1115.332216</v>
      </c>
      <c r="E85">
        <v>-14233.145952000001</v>
      </c>
      <c r="F85">
        <v>69148.324915999998</v>
      </c>
      <c r="G85">
        <v>0.38873099999999999</v>
      </c>
      <c r="H85">
        <v>24.974342</v>
      </c>
      <c r="I85">
        <v>199.83885900000001</v>
      </c>
      <c r="J85">
        <v>13.855024</v>
      </c>
      <c r="K85">
        <v>2917</v>
      </c>
      <c r="L85">
        <v>379</v>
      </c>
      <c r="M85">
        <f>L85/(L85+K85)</f>
        <v>0.11498786407766991</v>
      </c>
      <c r="N85">
        <f t="shared" ref="N85:N88" si="13">-4.0208-2.661*M85</f>
        <v>-4.3267827063106798</v>
      </c>
      <c r="O85">
        <f>E85-(SUM(K85:L85)*N85)</f>
        <v>27.929847999999765</v>
      </c>
      <c r="P85">
        <f>O85/(2*H85*J85)</f>
        <v>4.0358706576397521E-2</v>
      </c>
      <c r="Q85">
        <f>P85*16.02</f>
        <v>0.64654647935388831</v>
      </c>
      <c r="S85" s="2">
        <v>53.13</v>
      </c>
      <c r="T85" s="5" t="s">
        <v>42</v>
      </c>
      <c r="U85" s="1">
        <v>1.2350922897728465</v>
      </c>
      <c r="V85">
        <v>8.3855222547947098E-2</v>
      </c>
    </row>
    <row r="86" spans="2:22" x14ac:dyDescent="0.2">
      <c r="C86">
        <v>100000</v>
      </c>
      <c r="D86">
        <v>1116.1220969999999</v>
      </c>
      <c r="E86">
        <v>-14251.160051999999</v>
      </c>
      <c r="F86">
        <v>69077.989430999995</v>
      </c>
      <c r="G86">
        <v>0.24143899999999999</v>
      </c>
      <c r="H86">
        <v>24.965872000000001</v>
      </c>
      <c r="I86">
        <v>199.77108899999999</v>
      </c>
      <c r="J86">
        <v>13.850325</v>
      </c>
      <c r="K86">
        <v>2907</v>
      </c>
      <c r="L86">
        <v>389</v>
      </c>
      <c r="M86">
        <f>L86/(L86+K86)</f>
        <v>0.11802184466019418</v>
      </c>
      <c r="N86">
        <f t="shared" si="13"/>
        <v>-4.3348561286407774</v>
      </c>
      <c r="O86">
        <f>E86-(SUM(K86:L86)*N86)</f>
        <v>36.525748000003659</v>
      </c>
      <c r="P86">
        <f>O86/(2*H86*J86)</f>
        <v>5.2815624456197439E-2</v>
      </c>
      <c r="Q86">
        <f>P86*16.02</f>
        <v>0.846106303788283</v>
      </c>
      <c r="S86" s="2">
        <v>61.71</v>
      </c>
      <c r="T86" s="5" t="s">
        <v>43</v>
      </c>
      <c r="U86" s="1">
        <v>1.1764841271180368</v>
      </c>
      <c r="V86">
        <v>0.27964128851717956</v>
      </c>
    </row>
    <row r="87" spans="2:22" x14ac:dyDescent="0.2">
      <c r="C87">
        <v>100000</v>
      </c>
      <c r="D87">
        <v>1115.6512210000001</v>
      </c>
      <c r="E87">
        <v>-14281.128949</v>
      </c>
      <c r="F87">
        <v>68982.441590999995</v>
      </c>
      <c r="G87">
        <v>-0.261575</v>
      </c>
      <c r="H87">
        <v>24.954355</v>
      </c>
      <c r="I87">
        <v>199.67893100000001</v>
      </c>
      <c r="J87">
        <v>13.843935999999999</v>
      </c>
      <c r="K87">
        <v>2897</v>
      </c>
      <c r="L87">
        <v>399</v>
      </c>
      <c r="M87">
        <f>L87/(L87+K87)</f>
        <v>0.12105582524271845</v>
      </c>
      <c r="N87">
        <f t="shared" si="13"/>
        <v>-4.3429295509708741</v>
      </c>
      <c r="O87">
        <f>E87-(SUM(K87:L87)*N87)</f>
        <v>33.16685100000177</v>
      </c>
      <c r="P87">
        <f>O87/(2*H87*J87)</f>
        <v>4.8002992504450573E-2</v>
      </c>
      <c r="Q87">
        <f>P87*16.02</f>
        <v>0.76900793992129812</v>
      </c>
      <c r="S87" s="6">
        <v>67.724661178359398</v>
      </c>
      <c r="T87" s="5" t="s">
        <v>44</v>
      </c>
      <c r="U87" s="1">
        <v>1.129401541541643</v>
      </c>
      <c r="V87">
        <v>0.13088897092067819</v>
      </c>
    </row>
    <row r="88" spans="2:22" x14ac:dyDescent="0.2">
      <c r="C88">
        <v>100000</v>
      </c>
      <c r="D88">
        <v>1115.5036339999999</v>
      </c>
      <c r="E88">
        <v>-14240.343643</v>
      </c>
      <c r="F88">
        <v>69080.015620000006</v>
      </c>
      <c r="G88">
        <v>0.33485599999999999</v>
      </c>
      <c r="H88">
        <v>24.966116</v>
      </c>
      <c r="I88">
        <v>199.77304100000001</v>
      </c>
      <c r="J88">
        <v>13.85046</v>
      </c>
      <c r="K88">
        <v>2916</v>
      </c>
      <c r="L88">
        <v>380</v>
      </c>
      <c r="M88">
        <f>L88/(L88+K88)</f>
        <v>0.11529126213592233</v>
      </c>
      <c r="N88">
        <f t="shared" si="13"/>
        <v>-4.3275900485436898</v>
      </c>
      <c r="O88">
        <f>E88-(SUM(K88:L88)*N88)</f>
        <v>23.393157000002248</v>
      </c>
      <c r="P88">
        <f>O88/(2*H88*J88)</f>
        <v>3.3825455877773761E-2</v>
      </c>
      <c r="Q88">
        <f>P88*16.02</f>
        <v>0.54188380316193563</v>
      </c>
      <c r="S88" s="6">
        <v>73.933636606903903</v>
      </c>
      <c r="T88" s="5" t="s">
        <v>45</v>
      </c>
      <c r="U88" s="1">
        <v>1.1990520788250614</v>
      </c>
      <c r="V88">
        <v>0.14861524643341312</v>
      </c>
    </row>
    <row r="89" spans="2:22" x14ac:dyDescent="0.2">
      <c r="Q89" s="1">
        <f>AVERAGE(Q84:Q88)</f>
        <v>0.71209472635710058</v>
      </c>
      <c r="R89">
        <f>STDEV(Q84:Q88)</f>
        <v>0.11882410254495938</v>
      </c>
      <c r="S89" s="2">
        <v>90</v>
      </c>
      <c r="U89" s="1">
        <v>0</v>
      </c>
    </row>
    <row r="90" spans="2:22" x14ac:dyDescent="0.2">
      <c r="B90" t="s">
        <v>35</v>
      </c>
      <c r="C90">
        <v>100000</v>
      </c>
      <c r="D90">
        <v>1115.758497</v>
      </c>
      <c r="E90">
        <v>-20570.879325999998</v>
      </c>
      <c r="F90">
        <v>99485.819138000006</v>
      </c>
      <c r="G90">
        <v>0.11230800000000001</v>
      </c>
      <c r="H90">
        <v>34.608535000000003</v>
      </c>
      <c r="I90">
        <v>207.65121300000001</v>
      </c>
      <c r="J90">
        <v>13.843413999999999</v>
      </c>
      <c r="K90">
        <v>4189</v>
      </c>
      <c r="L90">
        <v>563</v>
      </c>
      <c r="M90">
        <f>L90/(L90+K90)</f>
        <v>0.11847643097643097</v>
      </c>
      <c r="N90">
        <f>-4.0208-2.661*M90</f>
        <v>-4.3360657828282836</v>
      </c>
      <c r="O90">
        <f>E90-(SUM(K90:L90)*N90)</f>
        <v>34.105274000005011</v>
      </c>
      <c r="P90">
        <f>O90/(2*H90*J90)</f>
        <v>3.559304343002663E-2</v>
      </c>
      <c r="Q90">
        <f>P90*16.02</f>
        <v>0.57020055574902662</v>
      </c>
      <c r="T90" s="5" t="s">
        <v>46</v>
      </c>
      <c r="U90" s="6">
        <f>AVERAGE(U79:U88)</f>
        <v>1.1789729666191218</v>
      </c>
    </row>
    <row r="91" spans="2:22" x14ac:dyDescent="0.2">
      <c r="C91">
        <v>100000</v>
      </c>
      <c r="D91">
        <v>1115.4565560000001</v>
      </c>
      <c r="E91">
        <v>-20541.451154999999</v>
      </c>
      <c r="F91">
        <v>99582.827674999993</v>
      </c>
      <c r="G91">
        <v>-0.117821</v>
      </c>
      <c r="H91">
        <v>34.619781000000003</v>
      </c>
      <c r="I91">
        <v>207.718683</v>
      </c>
      <c r="J91">
        <v>13.847912000000001</v>
      </c>
      <c r="K91">
        <v>4199</v>
      </c>
      <c r="L91">
        <v>553</v>
      </c>
      <c r="M91">
        <f>L91/(L91+K91)</f>
        <v>0.11637205387205388</v>
      </c>
      <c r="N91">
        <f t="shared" ref="N91:N94" si="14">-4.0208-2.661*M91</f>
        <v>-4.3304660353535356</v>
      </c>
      <c r="O91">
        <f>E91-(SUM(K91:L91)*N91)</f>
        <v>36.923445000003994</v>
      </c>
      <c r="P91">
        <f>O91/(2*H91*J91)</f>
        <v>3.8509121161222452E-2</v>
      </c>
      <c r="Q91">
        <f>P91*16.02</f>
        <v>0.6169161210027837</v>
      </c>
    </row>
    <row r="92" spans="2:22" x14ac:dyDescent="0.2">
      <c r="C92">
        <v>100000</v>
      </c>
      <c r="D92">
        <v>1116.08196</v>
      </c>
      <c r="E92">
        <v>-20524.683304999999</v>
      </c>
      <c r="F92">
        <v>99625.002106999993</v>
      </c>
      <c r="G92">
        <v>0.13101299999999999</v>
      </c>
      <c r="H92">
        <v>34.624668</v>
      </c>
      <c r="I92">
        <v>207.748006</v>
      </c>
      <c r="J92">
        <v>13.849867</v>
      </c>
      <c r="K92">
        <v>4207</v>
      </c>
      <c r="L92">
        <v>545</v>
      </c>
      <c r="M92">
        <f>L92/(L92+K92)</f>
        <v>0.11468855218855219</v>
      </c>
      <c r="N92">
        <f t="shared" si="14"/>
        <v>-4.3259862373737379</v>
      </c>
      <c r="O92">
        <f>E92-(SUM(K92:L92)*N92)</f>
        <v>32.403295000003709</v>
      </c>
      <c r="P92">
        <f>O92/(2*H92*J92)</f>
        <v>3.3785313893279496E-2</v>
      </c>
      <c r="Q92">
        <f>P92*16.02</f>
        <v>0.54124072857033756</v>
      </c>
    </row>
    <row r="93" spans="2:22" x14ac:dyDescent="0.2">
      <c r="C93">
        <v>100000</v>
      </c>
      <c r="D93">
        <v>1115.7017579999999</v>
      </c>
      <c r="E93">
        <v>-20549.417118000001</v>
      </c>
      <c r="F93">
        <v>99578.966602</v>
      </c>
      <c r="G93">
        <v>0.38954800000000001</v>
      </c>
      <c r="H93">
        <v>34.619334000000002</v>
      </c>
      <c r="I93">
        <v>207.716003</v>
      </c>
      <c r="J93">
        <v>13.847734000000001</v>
      </c>
      <c r="K93">
        <v>4197</v>
      </c>
      <c r="L93">
        <v>555</v>
      </c>
      <c r="M93">
        <f>L93/(L93+K93)</f>
        <v>0.1167929292929293</v>
      </c>
      <c r="N93">
        <f t="shared" si="14"/>
        <v>-4.331585984848485</v>
      </c>
      <c r="O93">
        <f>E93-(SUM(K93:L93)*N93)</f>
        <v>34.279481999998097</v>
      </c>
      <c r="P93">
        <f>O93/(2*H93*J93)</f>
        <v>3.575253443515565E-2</v>
      </c>
      <c r="Q93">
        <f>P93*16.02</f>
        <v>0.57275560165119355</v>
      </c>
    </row>
    <row r="94" spans="2:22" x14ac:dyDescent="0.2">
      <c r="C94">
        <v>100000</v>
      </c>
      <c r="D94">
        <v>1115.7929770000001</v>
      </c>
      <c r="E94">
        <v>-20643.760944000001</v>
      </c>
      <c r="F94">
        <v>99291.691007000001</v>
      </c>
      <c r="G94">
        <v>-0.119741</v>
      </c>
      <c r="H94">
        <v>34.586010000000002</v>
      </c>
      <c r="I94">
        <v>207.51606200000001</v>
      </c>
      <c r="J94">
        <v>13.834403999999999</v>
      </c>
      <c r="K94">
        <v>4158</v>
      </c>
      <c r="L94">
        <v>594</v>
      </c>
      <c r="M94">
        <f>L94/(L94+K94)</f>
        <v>0.125</v>
      </c>
      <c r="N94">
        <f t="shared" si="14"/>
        <v>-4.3534250000000005</v>
      </c>
      <c r="O94">
        <f>E94-(SUM(K94:L94)*N94)</f>
        <v>43.714656000000105</v>
      </c>
      <c r="P94">
        <f>O94/(2*H94*J94)</f>
        <v>4.5681057884397462E-2</v>
      </c>
      <c r="Q94">
        <f>P94*16.02</f>
        <v>0.73181054730804729</v>
      </c>
    </row>
    <row r="95" spans="2:22" x14ac:dyDescent="0.2">
      <c r="Q95" s="1">
        <f>AVERAGE(Q90:Q94)</f>
        <v>0.60658471085627774</v>
      </c>
      <c r="R95">
        <f>STDEV(Q90:Q94)</f>
        <v>7.5043819772390316E-2</v>
      </c>
    </row>
    <row r="96" spans="2:22" x14ac:dyDescent="0.2">
      <c r="B96" t="s">
        <v>26</v>
      </c>
      <c r="M96" t="e">
        <f>L96/(L96+K96)</f>
        <v>#DIV/0!</v>
      </c>
      <c r="N96" t="e">
        <f>-4.0208-2.661*M96</f>
        <v>#DIV/0!</v>
      </c>
      <c r="O96" t="e">
        <f>E96-(SUM(K96:L96)*N96)</f>
        <v>#DIV/0!</v>
      </c>
      <c r="P96" t="e">
        <f>O96/(2*H96*J96)</f>
        <v>#DIV/0!</v>
      </c>
      <c r="Q96" t="e">
        <f>P96*16.02</f>
        <v>#DIV/0!</v>
      </c>
    </row>
    <row r="97" spans="2:18" x14ac:dyDescent="0.2">
      <c r="M97" t="e">
        <f>L97/(L97+K97)</f>
        <v>#DIV/0!</v>
      </c>
      <c r="N97" t="e">
        <f t="shared" ref="N97:N100" si="15">-4.0208-2.661*M97</f>
        <v>#DIV/0!</v>
      </c>
      <c r="O97" t="e">
        <f>E97-(SUM(K97:L97)*N97)</f>
        <v>#DIV/0!</v>
      </c>
      <c r="P97" t="e">
        <f>O97/(2*H97*J97)</f>
        <v>#DIV/0!</v>
      </c>
      <c r="Q97" t="e">
        <f>P97*16.02</f>
        <v>#DIV/0!</v>
      </c>
    </row>
    <row r="98" spans="2:18" x14ac:dyDescent="0.2">
      <c r="M98" t="e">
        <f>L98/(L98+K98)</f>
        <v>#DIV/0!</v>
      </c>
      <c r="N98" t="e">
        <f t="shared" si="15"/>
        <v>#DIV/0!</v>
      </c>
      <c r="O98" t="e">
        <f>E98-(SUM(K98:L98)*N98)</f>
        <v>#DIV/0!</v>
      </c>
      <c r="P98" t="e">
        <f>O98/(2*H98*J98)</f>
        <v>#DIV/0!</v>
      </c>
      <c r="Q98" t="e">
        <f>P98*16.02</f>
        <v>#DIV/0!</v>
      </c>
    </row>
    <row r="99" spans="2:18" x14ac:dyDescent="0.2">
      <c r="M99" t="e">
        <f>L99/(L99+K99)</f>
        <v>#DIV/0!</v>
      </c>
      <c r="N99" t="e">
        <f t="shared" si="15"/>
        <v>#DIV/0!</v>
      </c>
      <c r="O99" t="e">
        <f>E99-(SUM(K99:L99)*N99)</f>
        <v>#DIV/0!</v>
      </c>
      <c r="P99" t="e">
        <f>O99/(2*H99*J99)</f>
        <v>#DIV/0!</v>
      </c>
      <c r="Q99" t="e">
        <f>P99*16.02</f>
        <v>#DIV/0!</v>
      </c>
    </row>
    <row r="100" spans="2:18" x14ac:dyDescent="0.2">
      <c r="M100" t="e">
        <f>L100/(L100+K100)</f>
        <v>#DIV/0!</v>
      </c>
      <c r="N100" t="e">
        <f t="shared" si="15"/>
        <v>#DIV/0!</v>
      </c>
      <c r="O100" t="e">
        <f>E100-(SUM(K100:L100)*N100)</f>
        <v>#DIV/0!</v>
      </c>
      <c r="P100" t="e">
        <f>O100/(2*H100*J100)</f>
        <v>#DIV/0!</v>
      </c>
      <c r="Q100" t="e">
        <f>P100*16.02</f>
        <v>#DIV/0!</v>
      </c>
    </row>
    <row r="101" spans="2:18" x14ac:dyDescent="0.2">
      <c r="Q101" s="1" t="e">
        <f>AVERAGE(Q96:Q100)</f>
        <v>#DIV/0!</v>
      </c>
      <c r="R101" t="e">
        <f>STDEV(Q96:Q100)</f>
        <v>#DIV/0!</v>
      </c>
    </row>
    <row r="103" spans="2:18" x14ac:dyDescent="0.2">
      <c r="B103" t="s">
        <v>64</v>
      </c>
      <c r="C103" t="s">
        <v>52</v>
      </c>
      <c r="D103" t="s">
        <v>13</v>
      </c>
      <c r="E103" t="s">
        <v>4</v>
      </c>
      <c r="F103" t="s">
        <v>5</v>
      </c>
      <c r="G103" t="s">
        <v>14</v>
      </c>
      <c r="H103" t="s">
        <v>15</v>
      </c>
      <c r="I103" t="s">
        <v>16</v>
      </c>
      <c r="J103" t="s">
        <v>17</v>
      </c>
      <c r="K103" t="s">
        <v>18</v>
      </c>
      <c r="L103" t="s">
        <v>19</v>
      </c>
      <c r="M103" t="s">
        <v>9</v>
      </c>
      <c r="N103" t="s">
        <v>20</v>
      </c>
      <c r="O103" t="s">
        <v>8</v>
      </c>
      <c r="P103" t="s">
        <v>21</v>
      </c>
      <c r="Q103" t="s">
        <v>21</v>
      </c>
    </row>
    <row r="104" spans="2:18" x14ac:dyDescent="0.2">
      <c r="B104" t="s">
        <v>25</v>
      </c>
      <c r="C104">
        <v>100000</v>
      </c>
      <c r="D104">
        <v>1040.9558239999999</v>
      </c>
      <c r="E104">
        <v>-17908.436948999999</v>
      </c>
      <c r="F104">
        <v>78993.631838999994</v>
      </c>
      <c r="G104">
        <v>0.233435</v>
      </c>
      <c r="H104">
        <v>31.000972000000001</v>
      </c>
      <c r="I104">
        <v>186.04944900000001</v>
      </c>
      <c r="J104">
        <v>13.695822</v>
      </c>
      <c r="K104">
        <v>3045</v>
      </c>
      <c r="L104">
        <v>859</v>
      </c>
      <c r="M104">
        <f>L104/(L104+K104)</f>
        <v>0.22003073770491804</v>
      </c>
      <c r="N104">
        <f>-4.0405-2.5201*M104</f>
        <v>-4.594999462090164</v>
      </c>
      <c r="O104">
        <f>E104-(SUM(K104:L104)*N104)</f>
        <v>30.440951000000496</v>
      </c>
      <c r="P104">
        <f>O104/(2*H104*J104)</f>
        <v>3.5847989732383317E-2</v>
      </c>
      <c r="Q104">
        <f>P104*16.02</f>
        <v>0.57428479551278078</v>
      </c>
    </row>
    <row r="105" spans="2:18" x14ac:dyDescent="0.2">
      <c r="C105">
        <v>100000</v>
      </c>
      <c r="D105">
        <v>1040.9516960000001</v>
      </c>
      <c r="E105">
        <v>-17841.896015999999</v>
      </c>
      <c r="F105">
        <v>79168.923823999998</v>
      </c>
      <c r="G105">
        <v>0.53801500000000002</v>
      </c>
      <c r="H105">
        <v>31.023886000000001</v>
      </c>
      <c r="I105">
        <v>186.18696399999999</v>
      </c>
      <c r="J105">
        <v>13.705945</v>
      </c>
      <c r="K105">
        <v>3071</v>
      </c>
      <c r="L105">
        <v>833</v>
      </c>
      <c r="M105">
        <f>L105/(L105+K105)</f>
        <v>0.21337090163934427</v>
      </c>
      <c r="N105">
        <f t="shared" ref="N105:N108" si="16">-4.0405-2.5201*M105</f>
        <v>-4.5782160092213111</v>
      </c>
      <c r="O105">
        <f>E105-(SUM(K105:L105)*N105)</f>
        <v>31.45928400000048</v>
      </c>
      <c r="P105">
        <f>O105/(2*H105*J105)</f>
        <v>3.6992497895354748E-2</v>
      </c>
      <c r="Q105">
        <f>P105*16.02</f>
        <v>0.59261981628358307</v>
      </c>
    </row>
    <row r="106" spans="2:18" x14ac:dyDescent="0.2">
      <c r="C106">
        <v>100000</v>
      </c>
      <c r="D106">
        <v>1040.9591230000001</v>
      </c>
      <c r="E106">
        <v>-18053.501549000001</v>
      </c>
      <c r="F106">
        <v>78604.934838000001</v>
      </c>
      <c r="G106">
        <v>0.327824</v>
      </c>
      <c r="H106">
        <v>30.950040000000001</v>
      </c>
      <c r="I106">
        <v>185.743787</v>
      </c>
      <c r="J106">
        <v>13.673321</v>
      </c>
      <c r="K106">
        <v>2990</v>
      </c>
      <c r="L106">
        <v>914</v>
      </c>
      <c r="M106">
        <f>L106/(L106+K106)</f>
        <v>0.2341188524590164</v>
      </c>
      <c r="N106">
        <f t="shared" si="16"/>
        <v>-4.630502920081967</v>
      </c>
      <c r="O106">
        <f>E106-(SUM(K106:L106)*N106)</f>
        <v>23.981850999996823</v>
      </c>
      <c r="P106">
        <f>O106/(2*H106*J106)</f>
        <v>2.8334625732023958E-2</v>
      </c>
      <c r="Q106">
        <f>P106*16.02</f>
        <v>0.4539207042270238</v>
      </c>
    </row>
    <row r="107" spans="2:18" x14ac:dyDescent="0.2">
      <c r="C107">
        <v>100000</v>
      </c>
      <c r="D107">
        <v>1041.2357139999999</v>
      </c>
      <c r="E107">
        <v>-18075.320400000001</v>
      </c>
      <c r="F107">
        <v>78548.906596000001</v>
      </c>
      <c r="G107">
        <v>0.267098</v>
      </c>
      <c r="H107">
        <v>30.942685000000001</v>
      </c>
      <c r="I107">
        <v>185.699648</v>
      </c>
      <c r="J107">
        <v>13.670071</v>
      </c>
      <c r="K107">
        <v>2981</v>
      </c>
      <c r="L107">
        <v>923</v>
      </c>
      <c r="M107">
        <f>L107/(L107+K107)</f>
        <v>0.23642418032786885</v>
      </c>
      <c r="N107">
        <f t="shared" si="16"/>
        <v>-4.6363125768442623</v>
      </c>
      <c r="O107">
        <f>E107-(SUM(K107:L107)*N107)</f>
        <v>24.843899999999849</v>
      </c>
      <c r="P107">
        <f>O107/(2*H107*J107)</f>
        <v>2.9367096506687368E-2</v>
      </c>
      <c r="Q107">
        <f>P107*16.02</f>
        <v>0.4704608860371316</v>
      </c>
    </row>
    <row r="108" spans="2:18" x14ac:dyDescent="0.2">
      <c r="C108">
        <v>100000</v>
      </c>
      <c r="D108">
        <v>1040.9668469999999</v>
      </c>
      <c r="E108">
        <v>-17857.978770000002</v>
      </c>
      <c r="F108">
        <v>79130.858888000002</v>
      </c>
      <c r="G108">
        <v>0.58560599999999996</v>
      </c>
      <c r="H108">
        <v>31.018913000000001</v>
      </c>
      <c r="I108">
        <v>186.15712099999999</v>
      </c>
      <c r="J108">
        <v>13.703747999999999</v>
      </c>
      <c r="K108">
        <v>3064</v>
      </c>
      <c r="L108">
        <v>840</v>
      </c>
      <c r="M108">
        <f>L108/(L108+K108)</f>
        <v>0.2151639344262295</v>
      </c>
      <c r="N108">
        <f t="shared" si="16"/>
        <v>-4.5827346311475408</v>
      </c>
      <c r="O108">
        <f>E108-(SUM(K108:L108)*N108)</f>
        <v>33.017229999997653</v>
      </c>
      <c r="P108">
        <f>O108/(2*H108*J108)</f>
        <v>3.883691289160375E-2</v>
      </c>
      <c r="Q108">
        <f>P108*16.02</f>
        <v>0.62216734452349209</v>
      </c>
    </row>
    <row r="109" spans="2:18" x14ac:dyDescent="0.2">
      <c r="Q109" s="1">
        <f>AVERAGE(Q104:Q108)</f>
        <v>0.5426907093168023</v>
      </c>
      <c r="R109">
        <f>STDEV(Q104:Q108)</f>
        <v>7.5671822238346162E-2</v>
      </c>
    </row>
    <row r="110" spans="2:18" x14ac:dyDescent="0.2">
      <c r="B110" t="s">
        <v>30</v>
      </c>
      <c r="C110">
        <v>100000</v>
      </c>
      <c r="D110">
        <v>1115.8300839999999</v>
      </c>
      <c r="E110">
        <v>-14547.417015999999</v>
      </c>
      <c r="F110">
        <v>64069.524275999996</v>
      </c>
      <c r="G110">
        <v>-0.157248</v>
      </c>
      <c r="H110">
        <v>24.188497999999999</v>
      </c>
      <c r="I110">
        <v>193.551571</v>
      </c>
      <c r="J110">
        <v>13.685024</v>
      </c>
      <c r="K110">
        <v>2466</v>
      </c>
      <c r="L110">
        <v>702</v>
      </c>
      <c r="M110">
        <f>L110/(L110+K110)</f>
        <v>0.22159090909090909</v>
      </c>
      <c r="N110">
        <f>-4.0405-2.5201*M110</f>
        <v>-4.5989312499999997</v>
      </c>
      <c r="O110">
        <f>E110-(SUM(K110:L110)*N110)</f>
        <v>21.997183999999834</v>
      </c>
      <c r="P110">
        <f>O110/(2*H110*J110)</f>
        <v>3.3226349355508257E-2</v>
      </c>
      <c r="Q110">
        <f>P110*16.02</f>
        <v>0.53228611667524228</v>
      </c>
    </row>
    <row r="111" spans="2:18" x14ac:dyDescent="0.2">
      <c r="C111">
        <v>100000</v>
      </c>
      <c r="D111">
        <v>1115.7943479999999</v>
      </c>
      <c r="E111">
        <v>-14519.786301</v>
      </c>
      <c r="F111">
        <v>64181.780893000003</v>
      </c>
      <c r="G111">
        <v>0.18700600000000001</v>
      </c>
      <c r="H111">
        <v>24.202617</v>
      </c>
      <c r="I111">
        <v>193.66453999999999</v>
      </c>
      <c r="J111">
        <v>13.693012</v>
      </c>
      <c r="K111">
        <v>2474</v>
      </c>
      <c r="L111">
        <v>694</v>
      </c>
      <c r="M111">
        <f>L111/(L111+K111)</f>
        <v>0.21906565656565657</v>
      </c>
      <c r="N111">
        <f t="shared" ref="N111:N114" si="17">-4.0405-2.5201*M111</f>
        <v>-4.5925673611111106</v>
      </c>
      <c r="O111">
        <f>E111-(SUM(K111:L111)*N111)</f>
        <v>29.467098999997688</v>
      </c>
      <c r="P111">
        <f>O111/(2*H111*J111)</f>
        <v>4.4457605679086305E-2</v>
      </c>
      <c r="Q111">
        <f>P111*16.02</f>
        <v>0.71221084297896264</v>
      </c>
    </row>
    <row r="112" spans="2:18" x14ac:dyDescent="0.2">
      <c r="C112">
        <v>100000</v>
      </c>
      <c r="D112">
        <v>1115.638962</v>
      </c>
      <c r="E112">
        <v>-14547.703093</v>
      </c>
      <c r="F112">
        <v>64060.090943000003</v>
      </c>
      <c r="G112">
        <v>-0.24990200000000001</v>
      </c>
      <c r="H112">
        <v>24.187311000000001</v>
      </c>
      <c r="I112">
        <v>193.542068</v>
      </c>
      <c r="J112">
        <v>13.684352000000001</v>
      </c>
      <c r="K112">
        <v>2465</v>
      </c>
      <c r="L112">
        <v>703</v>
      </c>
      <c r="M112">
        <f>L112/(L112+K112)</f>
        <v>0.22190656565656566</v>
      </c>
      <c r="N112">
        <f t="shared" si="17"/>
        <v>-4.5997267361111112</v>
      </c>
      <c r="O112">
        <f>E112-(SUM(K112:L112)*N112)</f>
        <v>24.231207000000722</v>
      </c>
      <c r="P112">
        <f>O112/(2*H112*J112)</f>
        <v>3.6604394416575196E-2</v>
      </c>
      <c r="Q112">
        <f>P112*16.02</f>
        <v>0.5864023985535346</v>
      </c>
    </row>
    <row r="113" spans="2:18" x14ac:dyDescent="0.2">
      <c r="C113">
        <v>100000</v>
      </c>
      <c r="D113">
        <v>1115.5529349999999</v>
      </c>
      <c r="E113">
        <v>-14649.43399</v>
      </c>
      <c r="F113">
        <v>63829.200513000003</v>
      </c>
      <c r="G113">
        <v>6.3890000000000002E-2</v>
      </c>
      <c r="H113">
        <v>24.158217</v>
      </c>
      <c r="I113">
        <v>193.30926199999999</v>
      </c>
      <c r="J113">
        <v>13.667892</v>
      </c>
      <c r="K113">
        <v>2424</v>
      </c>
      <c r="L113">
        <v>744</v>
      </c>
      <c r="M113">
        <f>L113/(L113+K113)</f>
        <v>0.23484848484848486</v>
      </c>
      <c r="N113">
        <f t="shared" si="17"/>
        <v>-4.6323416666666661</v>
      </c>
      <c r="O113">
        <f>E113-(SUM(K113:L113)*N113)</f>
        <v>25.824409999999261</v>
      </c>
      <c r="P113">
        <f>O113/(2*H113*J113)</f>
        <v>3.9105153597148515E-2</v>
      </c>
      <c r="Q113">
        <f>P113*16.02</f>
        <v>0.62646456062631917</v>
      </c>
    </row>
    <row r="114" spans="2:18" x14ac:dyDescent="0.2">
      <c r="C114">
        <v>100000</v>
      </c>
      <c r="D114">
        <v>1115.20318</v>
      </c>
      <c r="E114">
        <v>-14619.758701999999</v>
      </c>
      <c r="F114">
        <v>63893.186517000002</v>
      </c>
      <c r="G114">
        <v>0.373506</v>
      </c>
      <c r="H114">
        <v>24.166287000000001</v>
      </c>
      <c r="I114">
        <v>193.37383600000001</v>
      </c>
      <c r="J114">
        <v>13.672458000000001</v>
      </c>
      <c r="K114">
        <v>2437</v>
      </c>
      <c r="L114">
        <v>731</v>
      </c>
      <c r="M114">
        <f>L114/(L114+K114)</f>
        <v>0.2307449494949495</v>
      </c>
      <c r="N114">
        <f t="shared" si="17"/>
        <v>-4.6220003472222224</v>
      </c>
      <c r="O114">
        <f>E114-(SUM(K114:L114)*N114)</f>
        <v>22.738398000001325</v>
      </c>
      <c r="P114">
        <f>O114/(2*H114*J114)</f>
        <v>3.4409102213728018E-2</v>
      </c>
      <c r="Q114">
        <f>P114*16.02</f>
        <v>0.55123381746392286</v>
      </c>
    </row>
    <row r="115" spans="2:18" x14ac:dyDescent="0.2">
      <c r="Q115" s="1">
        <f>AVERAGE(Q110:Q114)</f>
        <v>0.60171954725959631</v>
      </c>
      <c r="R115">
        <f>STDEV(Q110:Q114)</f>
        <v>7.1458147464899369E-2</v>
      </c>
    </row>
    <row r="116" spans="2:18" x14ac:dyDescent="0.2">
      <c r="B116" t="s">
        <v>24</v>
      </c>
      <c r="C116">
        <v>100000</v>
      </c>
      <c r="D116">
        <v>1115.9587220000001</v>
      </c>
      <c r="E116">
        <v>-11298.801867</v>
      </c>
      <c r="F116">
        <v>50155.465545999999</v>
      </c>
      <c r="G116">
        <v>0.37293700000000002</v>
      </c>
      <c r="H116">
        <v>34.929053000000003</v>
      </c>
      <c r="I116">
        <v>139.73802900000001</v>
      </c>
      <c r="J116">
        <v>10.275817999999999</v>
      </c>
      <c r="K116">
        <v>1939</v>
      </c>
      <c r="L116">
        <v>533</v>
      </c>
      <c r="M116">
        <f>L116/(L116+K116)</f>
        <v>0.21561488673139159</v>
      </c>
      <c r="N116">
        <f>-4.0405-2.5201*M116</f>
        <v>-4.5838710760517793</v>
      </c>
      <c r="O116">
        <f>E116-(SUM(K116:L116)*N116)</f>
        <v>32.527432999999291</v>
      </c>
      <c r="P116">
        <f>O116/(2*H116*J116)</f>
        <v>4.5312349399640149E-2</v>
      </c>
      <c r="Q116">
        <f>P116*16.02</f>
        <v>0.72590383738223518</v>
      </c>
    </row>
    <row r="117" spans="2:18" x14ac:dyDescent="0.2">
      <c r="C117">
        <v>100000</v>
      </c>
      <c r="D117">
        <v>1115.790915</v>
      </c>
      <c r="E117">
        <v>-11406.664135999999</v>
      </c>
      <c r="F117">
        <v>49887.801003</v>
      </c>
      <c r="G117">
        <v>7.9092999999999997E-2</v>
      </c>
      <c r="H117">
        <v>34.866807000000001</v>
      </c>
      <c r="I117">
        <v>139.48900800000001</v>
      </c>
      <c r="J117">
        <v>10.257505</v>
      </c>
      <c r="K117">
        <v>1896</v>
      </c>
      <c r="L117">
        <v>576</v>
      </c>
      <c r="M117">
        <f>L117/(L117+K117)</f>
        <v>0.23300970873786409</v>
      </c>
      <c r="N117">
        <f t="shared" ref="N117:N120" si="18">-4.0405-2.5201*M117</f>
        <v>-4.6277077669902908</v>
      </c>
      <c r="O117">
        <f>E117-(SUM(K117:L117)*N117)</f>
        <v>33.02946399999928</v>
      </c>
      <c r="P117">
        <f>O117/(2*H117*J117)</f>
        <v>4.6176138843887299E-2</v>
      </c>
      <c r="Q117">
        <f>P117*16.02</f>
        <v>0.73974174427907446</v>
      </c>
    </row>
    <row r="118" spans="2:18" x14ac:dyDescent="0.2">
      <c r="C118">
        <v>100000</v>
      </c>
      <c r="D118">
        <v>1115.284114</v>
      </c>
      <c r="E118">
        <v>-11365.341850000001</v>
      </c>
      <c r="F118">
        <v>49990.740557999998</v>
      </c>
      <c r="G118">
        <v>0.29670299999999999</v>
      </c>
      <c r="H118">
        <v>34.890771999999998</v>
      </c>
      <c r="I118">
        <v>139.58488299999999</v>
      </c>
      <c r="J118">
        <v>10.264556000000001</v>
      </c>
      <c r="K118">
        <v>1914</v>
      </c>
      <c r="L118">
        <v>558</v>
      </c>
      <c r="M118">
        <f>L118/(L118+K118)</f>
        <v>0.22572815533980584</v>
      </c>
      <c r="N118">
        <f t="shared" si="18"/>
        <v>-4.6093575242718448</v>
      </c>
      <c r="O118">
        <f>E118-(SUM(K118:L118)*N118)</f>
        <v>28.989949999999226</v>
      </c>
      <c r="P118">
        <f>O118/(2*H118*J118)</f>
        <v>4.047312360872013E-2</v>
      </c>
      <c r="Q118">
        <f>P118*16.02</f>
        <v>0.64837944021169647</v>
      </c>
    </row>
    <row r="119" spans="2:18" x14ac:dyDescent="0.2">
      <c r="C119">
        <v>100000</v>
      </c>
      <c r="D119">
        <v>1115.5877909999999</v>
      </c>
      <c r="E119">
        <v>-11272.160465999999</v>
      </c>
      <c r="F119">
        <v>50198.796943000001</v>
      </c>
      <c r="G119">
        <v>6.3279000000000002E-2</v>
      </c>
      <c r="H119">
        <v>34.939109000000002</v>
      </c>
      <c r="I119">
        <v>139.77825799999999</v>
      </c>
      <c r="J119">
        <v>10.278776000000001</v>
      </c>
      <c r="K119">
        <v>1951</v>
      </c>
      <c r="L119">
        <v>521</v>
      </c>
      <c r="M119">
        <f>L119/(L119+K119)</f>
        <v>0.21076051779935276</v>
      </c>
      <c r="N119">
        <f t="shared" si="18"/>
        <v>-4.5716375809061489</v>
      </c>
      <c r="O119">
        <f>E119-(SUM(K119:L119)*N119)</f>
        <v>28.92763400000149</v>
      </c>
      <c r="P119">
        <f>O119/(2*H119*J119)</f>
        <v>4.027445673720146E-2</v>
      </c>
      <c r="Q119">
        <f>P119*16.02</f>
        <v>0.64519679692996734</v>
      </c>
    </row>
    <row r="120" spans="2:18" x14ac:dyDescent="0.2">
      <c r="C120">
        <v>100000</v>
      </c>
      <c r="D120">
        <v>1115.770172</v>
      </c>
      <c r="E120">
        <v>-11277.223485</v>
      </c>
      <c r="F120">
        <v>50197.051546000002</v>
      </c>
      <c r="G120">
        <v>-0.110662</v>
      </c>
      <c r="H120">
        <v>34.938704000000001</v>
      </c>
      <c r="I120">
        <v>139.77664100000001</v>
      </c>
      <c r="J120">
        <v>10.278657000000001</v>
      </c>
      <c r="K120">
        <v>1948</v>
      </c>
      <c r="L120">
        <v>524</v>
      </c>
      <c r="M120">
        <f>L120/(L120+K120)</f>
        <v>0.21197411003236247</v>
      </c>
      <c r="N120">
        <f t="shared" si="18"/>
        <v>-4.5746959546925563</v>
      </c>
      <c r="O120">
        <f>E120-(SUM(K120:L120)*N120)</f>
        <v>31.424914999999601</v>
      </c>
      <c r="P120">
        <f>O120/(2*H120*J120)</f>
        <v>4.3752306294310789E-2</v>
      </c>
      <c r="Q120">
        <f>P120*16.02</f>
        <v>0.7009119468348588</v>
      </c>
    </row>
    <row r="121" spans="2:18" x14ac:dyDescent="0.2">
      <c r="Q121" s="1">
        <f>AVERAGE(Q116:Q120)</f>
        <v>0.69202675312756645</v>
      </c>
      <c r="R121">
        <f>STDEV(Q116:Q120)</f>
        <v>4.3593166344185877E-2</v>
      </c>
    </row>
    <row r="122" spans="2:18" x14ac:dyDescent="0.2">
      <c r="B122" t="s">
        <v>31</v>
      </c>
      <c r="C122">
        <v>100000</v>
      </c>
      <c r="D122">
        <v>1115.717879</v>
      </c>
      <c r="E122">
        <v>-14828.334711</v>
      </c>
      <c r="F122">
        <v>65435.451321</v>
      </c>
      <c r="G122">
        <v>0.14819399999999999</v>
      </c>
      <c r="H122">
        <v>28.221668000000001</v>
      </c>
      <c r="I122">
        <v>169.35180800000001</v>
      </c>
      <c r="J122">
        <v>13.691160999999999</v>
      </c>
      <c r="K122">
        <v>2516</v>
      </c>
      <c r="L122">
        <v>716</v>
      </c>
      <c r="M122">
        <f>L122/(L122+K122)</f>
        <v>0.22153465346534654</v>
      </c>
      <c r="N122">
        <f>-4.0405-2.5201*M122</f>
        <v>-4.5987894801980191</v>
      </c>
      <c r="O122">
        <f>E122-(SUM(K122:L122)*N122)</f>
        <v>34.952888999998322</v>
      </c>
      <c r="P122">
        <f>O122/(2*H122*J122)</f>
        <v>4.5230368504487445E-2</v>
      </c>
      <c r="Q122">
        <f>P122*16.02</f>
        <v>0.7245905034418888</v>
      </c>
    </row>
    <row r="123" spans="2:18" x14ac:dyDescent="0.2">
      <c r="C123">
        <v>100000</v>
      </c>
      <c r="D123">
        <v>1115.527002</v>
      </c>
      <c r="E123">
        <v>-14917.313651</v>
      </c>
      <c r="F123">
        <v>65221.300653999999</v>
      </c>
      <c r="G123">
        <v>-9.2512999999999998E-2</v>
      </c>
      <c r="H123">
        <v>28.190847000000002</v>
      </c>
      <c r="I123">
        <v>169.16685699999999</v>
      </c>
      <c r="J123">
        <v>13.676208000000001</v>
      </c>
      <c r="K123">
        <v>2481</v>
      </c>
      <c r="L123">
        <v>751</v>
      </c>
      <c r="M123">
        <f>L123/(L123+K123)</f>
        <v>0.23236386138613863</v>
      </c>
      <c r="N123">
        <f t="shared" ref="N123:N126" si="19">-4.0405-2.5201*M123</f>
        <v>-4.6260801670792073</v>
      </c>
      <c r="O123">
        <f>E123-(SUM(K123:L123)*N123)</f>
        <v>34.177448999997068</v>
      </c>
      <c r="P123">
        <f>O123/(2*H123*J123)</f>
        <v>4.4323681594546936E-2</v>
      </c>
      <c r="Q123">
        <f>P123*16.02</f>
        <v>0.71006537914464185</v>
      </c>
    </row>
    <row r="124" spans="2:18" x14ac:dyDescent="0.2">
      <c r="C124">
        <v>100000</v>
      </c>
      <c r="D124">
        <v>1115.225514</v>
      </c>
      <c r="E124">
        <v>-14785.042313</v>
      </c>
      <c r="F124">
        <v>65573.102868999995</v>
      </c>
      <c r="G124">
        <v>0.64891100000000002</v>
      </c>
      <c r="H124">
        <v>28.241441999999999</v>
      </c>
      <c r="I124">
        <v>169.47046800000001</v>
      </c>
      <c r="J124">
        <v>13.700754</v>
      </c>
      <c r="K124">
        <v>2530</v>
      </c>
      <c r="L124">
        <v>702</v>
      </c>
      <c r="M124">
        <f>L124/(L124+K124)</f>
        <v>0.2172029702970297</v>
      </c>
      <c r="N124">
        <f t="shared" si="19"/>
        <v>-4.5878732054455442</v>
      </c>
      <c r="O124">
        <f>E124-(SUM(K124:L124)*N124)</f>
        <v>42.963886999999886</v>
      </c>
      <c r="P124">
        <f>O124/(2*H124*J124)</f>
        <v>5.5519076509471479E-2</v>
      </c>
      <c r="Q124">
        <f>P124*16.02</f>
        <v>0.88941560568173306</v>
      </c>
    </row>
    <row r="125" spans="2:18" x14ac:dyDescent="0.2">
      <c r="C125">
        <v>100000</v>
      </c>
      <c r="D125">
        <v>1115.8853039999999</v>
      </c>
      <c r="E125">
        <v>-14976.087896000001</v>
      </c>
      <c r="F125">
        <v>65064.723866</v>
      </c>
      <c r="G125">
        <v>-0.65312999999999999</v>
      </c>
      <c r="H125">
        <v>28.16827</v>
      </c>
      <c r="I125">
        <v>169.03137899999999</v>
      </c>
      <c r="J125">
        <v>13.665255999999999</v>
      </c>
      <c r="K125">
        <v>2457</v>
      </c>
      <c r="L125">
        <v>775</v>
      </c>
      <c r="M125">
        <f>L125/(L125+K125)</f>
        <v>0.23978960396039603</v>
      </c>
      <c r="N125">
        <f t="shared" si="19"/>
        <v>-4.6447937809405939</v>
      </c>
      <c r="O125">
        <f>E125-(SUM(K125:L125)*N125)</f>
        <v>35.885603999999148</v>
      </c>
      <c r="P125">
        <f>O125/(2*H125*J125)</f>
        <v>4.6613564867941E-2</v>
      </c>
      <c r="Q125">
        <f>P125*16.02</f>
        <v>0.74674930918441484</v>
      </c>
    </row>
    <row r="126" spans="2:18" x14ac:dyDescent="0.2">
      <c r="C126">
        <v>100000</v>
      </c>
      <c r="D126">
        <v>1115.4748549999999</v>
      </c>
      <c r="E126">
        <v>-14830.270848</v>
      </c>
      <c r="F126">
        <v>65437.205877</v>
      </c>
      <c r="G126">
        <v>-0.60177400000000003</v>
      </c>
      <c r="H126">
        <v>28.221920000000001</v>
      </c>
      <c r="I126">
        <v>169.35332099999999</v>
      </c>
      <c r="J126">
        <v>13.691283</v>
      </c>
      <c r="K126">
        <v>2513</v>
      </c>
      <c r="L126">
        <v>719</v>
      </c>
      <c r="M126">
        <f>L126/(L126+K126)</f>
        <v>0.22246287128712872</v>
      </c>
      <c r="N126">
        <f t="shared" si="19"/>
        <v>-4.6011286819306925</v>
      </c>
      <c r="O126">
        <f>E126-(SUM(K126:L126)*N126)</f>
        <v>40.57705199999873</v>
      </c>
      <c r="P126">
        <f>O126/(2*H126*J126)</f>
        <v>5.2507312711575521E-2</v>
      </c>
      <c r="Q126">
        <f>P126*16.02</f>
        <v>0.84116714963943984</v>
      </c>
    </row>
    <row r="127" spans="2:18" x14ac:dyDescent="0.2">
      <c r="Q127" s="1">
        <f>AVERAGE(Q122:Q126)</f>
        <v>0.78239758941842374</v>
      </c>
      <c r="R127">
        <f>STDEV(Q122:Q126)</f>
        <v>7.8662450904699616E-2</v>
      </c>
    </row>
    <row r="128" spans="2:18" x14ac:dyDescent="0.2">
      <c r="B128" t="s">
        <v>23</v>
      </c>
      <c r="C128">
        <v>100000</v>
      </c>
      <c r="D128">
        <v>1116.030806</v>
      </c>
      <c r="E128">
        <v>-13205.872401000001</v>
      </c>
      <c r="F128">
        <v>58339.788374999996</v>
      </c>
      <c r="G128">
        <v>0.78212400000000004</v>
      </c>
      <c r="H128">
        <v>32.517643999999997</v>
      </c>
      <c r="I128">
        <v>130.464731</v>
      </c>
      <c r="J128">
        <v>13.751569</v>
      </c>
      <c r="K128">
        <v>2244</v>
      </c>
      <c r="L128">
        <v>636</v>
      </c>
      <c r="M128">
        <f>L128/(L128+K128)</f>
        <v>0.22083333333333333</v>
      </c>
      <c r="N128">
        <f>-4.0405-2.5201*M128</f>
        <v>-4.5970220833333331</v>
      </c>
      <c r="O128">
        <f>E128-(SUM(K128:L128)*N128)</f>
        <v>33.551198999999542</v>
      </c>
      <c r="P128">
        <f>O128/(2*H128*J128)</f>
        <v>3.7515153244747759E-2</v>
      </c>
      <c r="Q128">
        <f>P128*16.02</f>
        <v>0.60099275498085913</v>
      </c>
    </row>
    <row r="129" spans="2:18" x14ac:dyDescent="0.2">
      <c r="C129">
        <v>100000</v>
      </c>
      <c r="D129">
        <v>1115.6511390000001</v>
      </c>
      <c r="E129">
        <v>-13196.433921</v>
      </c>
      <c r="F129">
        <v>58404.684239000002</v>
      </c>
      <c r="G129">
        <v>0.181814</v>
      </c>
      <c r="H129">
        <v>32.529696999999999</v>
      </c>
      <c r="I129">
        <v>130.51308900000001</v>
      </c>
      <c r="J129">
        <v>13.756667</v>
      </c>
      <c r="K129">
        <v>2245</v>
      </c>
      <c r="L129">
        <v>635</v>
      </c>
      <c r="M129">
        <f>L129/(L129+K129)</f>
        <v>0.2204861111111111</v>
      </c>
      <c r="N129">
        <f t="shared" ref="N129:N132" si="20">-4.0405-2.5201*M129</f>
        <v>-4.5961470486111109</v>
      </c>
      <c r="O129">
        <f>E129-(SUM(K129:L129)*N129)</f>
        <v>40.469578999998703</v>
      </c>
      <c r="P129">
        <f>O129/(2*H129*J129)</f>
        <v>4.5217385561381371E-2</v>
      </c>
      <c r="Q129">
        <f>P129*16.02</f>
        <v>0.72438251669332954</v>
      </c>
    </row>
    <row r="130" spans="2:18" x14ac:dyDescent="0.2">
      <c r="C130">
        <v>100000</v>
      </c>
      <c r="D130">
        <v>1115.2260779999999</v>
      </c>
      <c r="E130">
        <v>-13223.105813</v>
      </c>
      <c r="F130">
        <v>58292.302543999998</v>
      </c>
      <c r="G130">
        <v>-0.29147899999999999</v>
      </c>
      <c r="H130">
        <v>32.508819000000003</v>
      </c>
      <c r="I130">
        <v>130.42932200000001</v>
      </c>
      <c r="J130">
        <v>13.747837000000001</v>
      </c>
      <c r="K130">
        <v>2238</v>
      </c>
      <c r="L130">
        <v>642</v>
      </c>
      <c r="M130">
        <f>L130/(L130+K130)</f>
        <v>0.22291666666666668</v>
      </c>
      <c r="N130">
        <f t="shared" si="20"/>
        <v>-4.6022722916666661</v>
      </c>
      <c r="O130">
        <f>E130-(SUM(K130:L130)*N130)</f>
        <v>31.438386999998329</v>
      </c>
      <c r="P130">
        <f>O130/(2*H130*J130)</f>
        <v>3.5171807963503846E-2</v>
      </c>
      <c r="Q130">
        <f>P130*16.02</f>
        <v>0.56345236357533157</v>
      </c>
    </row>
    <row r="131" spans="2:18" x14ac:dyDescent="0.2">
      <c r="C131">
        <v>100000</v>
      </c>
      <c r="D131">
        <v>1115.7709649999999</v>
      </c>
      <c r="E131">
        <v>-13166.760244999999</v>
      </c>
      <c r="F131">
        <v>58448.554149000003</v>
      </c>
      <c r="G131">
        <v>0.136379</v>
      </c>
      <c r="H131">
        <v>32.537840000000003</v>
      </c>
      <c r="I131">
        <v>130.545759</v>
      </c>
      <c r="J131">
        <v>13.760109999999999</v>
      </c>
      <c r="K131">
        <v>2256</v>
      </c>
      <c r="L131">
        <v>624</v>
      </c>
      <c r="M131">
        <f>L131/(L131+K131)</f>
        <v>0.21666666666666667</v>
      </c>
      <c r="N131">
        <f t="shared" si="20"/>
        <v>-4.5865216666666662</v>
      </c>
      <c r="O131">
        <f>E131-(SUM(K131:L131)*N131)</f>
        <v>42.422154999998384</v>
      </c>
      <c r="P131">
        <f>O131/(2*H131*J131)</f>
        <v>4.7375314474764577E-2</v>
      </c>
      <c r="Q131">
        <f>P131*16.02</f>
        <v>0.75895253788572847</v>
      </c>
    </row>
    <row r="132" spans="2:18" x14ac:dyDescent="0.2">
      <c r="C132">
        <v>100000</v>
      </c>
      <c r="D132">
        <v>1115.984275</v>
      </c>
      <c r="E132">
        <v>-13278.720764</v>
      </c>
      <c r="F132">
        <v>58170.156308999998</v>
      </c>
      <c r="G132">
        <v>9.7276000000000001E-2</v>
      </c>
      <c r="H132">
        <v>32.486097999999998</v>
      </c>
      <c r="I132">
        <v>130.33816300000001</v>
      </c>
      <c r="J132">
        <v>13.738229</v>
      </c>
      <c r="K132">
        <v>2212</v>
      </c>
      <c r="L132">
        <v>668</v>
      </c>
      <c r="M132">
        <f>L132/(L132+K132)</f>
        <v>0.23194444444444445</v>
      </c>
      <c r="N132">
        <f t="shared" si="20"/>
        <v>-4.6250231944444442</v>
      </c>
      <c r="O132">
        <f>E132-(SUM(K132:L132)*N132)</f>
        <v>41.346035999999003</v>
      </c>
      <c r="P132">
        <f>O132/(2*H132*J132)</f>
        <v>4.6320749868438697E-2</v>
      </c>
      <c r="Q132">
        <f>P132*16.02</f>
        <v>0.74205841289238794</v>
      </c>
    </row>
    <row r="133" spans="2:18" x14ac:dyDescent="0.2">
      <c r="Q133" s="1">
        <f>AVERAGE(Q128:Q132)</f>
        <v>0.67796771720552729</v>
      </c>
      <c r="R133">
        <f>STDEV(Q128:Q132)</f>
        <v>8.9246012645189374E-2</v>
      </c>
    </row>
    <row r="134" spans="2:18" x14ac:dyDescent="0.2">
      <c r="B134" t="s">
        <v>32</v>
      </c>
      <c r="C134">
        <v>100000</v>
      </c>
      <c r="D134">
        <v>1115.7775140000001</v>
      </c>
      <c r="E134">
        <v>-16901.914060999999</v>
      </c>
      <c r="F134">
        <v>74462.578953999997</v>
      </c>
      <c r="G134">
        <v>0.31948599999999999</v>
      </c>
      <c r="H134">
        <v>26.068476</v>
      </c>
      <c r="I134">
        <v>208.591418</v>
      </c>
      <c r="J134">
        <v>13.693854</v>
      </c>
      <c r="K134">
        <v>2859</v>
      </c>
      <c r="L134">
        <v>821</v>
      </c>
      <c r="M134">
        <f>L134/(L134+K134)</f>
        <v>0.22309782608695652</v>
      </c>
      <c r="N134">
        <f>-4.0405-2.5201*M134</f>
        <v>-4.6027288315217385</v>
      </c>
      <c r="O134">
        <f>E134-(SUM(K134:L134)*N134)</f>
        <v>36.128038999999262</v>
      </c>
      <c r="P134">
        <f>O134/(2*H134*J134)</f>
        <v>5.0602626325201398E-2</v>
      </c>
      <c r="Q134">
        <f>P134*16.02</f>
        <v>0.81065407372972642</v>
      </c>
    </row>
    <row r="135" spans="2:18" x14ac:dyDescent="0.2">
      <c r="C135">
        <v>100000</v>
      </c>
      <c r="D135">
        <v>1115.2933370000001</v>
      </c>
      <c r="E135">
        <v>-16894.695522000002</v>
      </c>
      <c r="F135">
        <v>74467.774699999994</v>
      </c>
      <c r="G135">
        <v>0.13181300000000001</v>
      </c>
      <c r="H135">
        <v>26.069082000000002</v>
      </c>
      <c r="I135">
        <v>208.59627</v>
      </c>
      <c r="J135">
        <v>13.694172999999999</v>
      </c>
      <c r="K135">
        <v>2862</v>
      </c>
      <c r="L135">
        <v>818</v>
      </c>
      <c r="M135">
        <f>L135/(L135+K135)</f>
        <v>0.22228260869565217</v>
      </c>
      <c r="N135">
        <f t="shared" ref="N135:N138" si="21">-4.0405-2.5201*M135</f>
        <v>-4.6006744021739125</v>
      </c>
      <c r="O135">
        <f>E135-(SUM(K135:L135)*N135)</f>
        <v>35.786277999995946</v>
      </c>
      <c r="P135">
        <f>O135/(2*H135*J135)</f>
        <v>5.0121607068863136E-2</v>
      </c>
      <c r="Q135">
        <f>P135*16.02</f>
        <v>0.80294814524318747</v>
      </c>
    </row>
    <row r="136" spans="2:18" x14ac:dyDescent="0.2">
      <c r="C136">
        <v>100000</v>
      </c>
      <c r="D136">
        <v>1115.5999420000001</v>
      </c>
      <c r="E136">
        <v>-16833.830497999999</v>
      </c>
      <c r="F136">
        <v>74631.282065000007</v>
      </c>
      <c r="G136">
        <v>0.310558</v>
      </c>
      <c r="H136">
        <v>26.088148</v>
      </c>
      <c r="I136">
        <v>208.74882500000001</v>
      </c>
      <c r="J136">
        <v>13.704188</v>
      </c>
      <c r="K136">
        <v>2886</v>
      </c>
      <c r="L136">
        <v>794</v>
      </c>
      <c r="M136">
        <f>L136/(L136+K136)</f>
        <v>0.21576086956521739</v>
      </c>
      <c r="N136">
        <f t="shared" si="21"/>
        <v>-4.584238967391304</v>
      </c>
      <c r="O136">
        <f>E136-(SUM(K136:L136)*N136)</f>
        <v>36.168901999997615</v>
      </c>
      <c r="P136">
        <f>O136/(2*H136*J136)</f>
        <v>5.0583487859448689E-2</v>
      </c>
      <c r="Q136">
        <f>P136*16.02</f>
        <v>0.81034747550836794</v>
      </c>
    </row>
    <row r="137" spans="2:18" x14ac:dyDescent="0.2">
      <c r="C137">
        <v>100000</v>
      </c>
      <c r="D137">
        <v>1115.4879780000001</v>
      </c>
      <c r="E137">
        <v>-16841.42383</v>
      </c>
      <c r="F137">
        <v>74634.336393999998</v>
      </c>
      <c r="G137">
        <v>0.50711099999999998</v>
      </c>
      <c r="H137">
        <v>26.088504</v>
      </c>
      <c r="I137">
        <v>208.75167300000001</v>
      </c>
      <c r="J137">
        <v>13.704375000000001</v>
      </c>
      <c r="K137">
        <v>2882</v>
      </c>
      <c r="L137">
        <v>798</v>
      </c>
      <c r="M137">
        <f>L137/(L137+K137)</f>
        <v>0.21684782608695652</v>
      </c>
      <c r="N137">
        <f t="shared" si="21"/>
        <v>-4.5869782065217386</v>
      </c>
      <c r="O137">
        <f>E137-(SUM(K137:L137)*N137)</f>
        <v>38.655969999999797</v>
      </c>
      <c r="P137">
        <f>O137/(2*H137*J137)</f>
        <v>5.4060264968252621E-2</v>
      </c>
      <c r="Q137">
        <f>P137*16.02</f>
        <v>0.86604544479140699</v>
      </c>
    </row>
    <row r="138" spans="2:18" x14ac:dyDescent="0.2">
      <c r="C138">
        <v>100000</v>
      </c>
      <c r="D138">
        <v>1115.595345</v>
      </c>
      <c r="E138">
        <v>-16869.712047000001</v>
      </c>
      <c r="F138">
        <v>74520.261173999999</v>
      </c>
      <c r="G138">
        <v>4.8246999999999998E-2</v>
      </c>
      <c r="H138">
        <v>26.075206000000001</v>
      </c>
      <c r="I138">
        <v>208.64526799999999</v>
      </c>
      <c r="J138">
        <v>13.69739</v>
      </c>
      <c r="K138">
        <v>2872</v>
      </c>
      <c r="L138">
        <v>808</v>
      </c>
      <c r="M138">
        <f>L138/(L138+K138)</f>
        <v>0.21956521739130436</v>
      </c>
      <c r="N138">
        <f t="shared" si="21"/>
        <v>-4.593826304347826</v>
      </c>
      <c r="O138">
        <f>E138-(SUM(K138:L138)*N138)</f>
        <v>35.56875299999956</v>
      </c>
      <c r="P138">
        <f>O138/(2*H138*J138)</f>
        <v>4.979354819180333E-2</v>
      </c>
      <c r="Q138">
        <f>P138*16.02</f>
        <v>0.7976926420326893</v>
      </c>
    </row>
    <row r="139" spans="2:18" x14ac:dyDescent="0.2">
      <c r="Q139" s="1">
        <f>AVERAGE(Q134:Q138)</f>
        <v>0.81753755626107572</v>
      </c>
      <c r="R139">
        <f>STDEV(Q134:Q138)</f>
        <v>2.7653057594241668E-2</v>
      </c>
    </row>
    <row r="140" spans="2:18" x14ac:dyDescent="0.2">
      <c r="B140" t="s">
        <v>22</v>
      </c>
      <c r="C140">
        <v>100000</v>
      </c>
      <c r="D140">
        <v>1041.0898930000001</v>
      </c>
      <c r="E140">
        <v>-17231.505392999999</v>
      </c>
      <c r="F140">
        <v>76726.413044000001</v>
      </c>
      <c r="G140">
        <v>0.246194</v>
      </c>
      <c r="H140">
        <v>30.561672999999999</v>
      </c>
      <c r="I140">
        <v>91.842806999999993</v>
      </c>
      <c r="J140">
        <v>27.335204999999998</v>
      </c>
      <c r="K140">
        <v>2961</v>
      </c>
      <c r="L140">
        <v>815</v>
      </c>
      <c r="M140">
        <f>L140/(L140+K140)</f>
        <v>0.21583686440677965</v>
      </c>
      <c r="N140">
        <f>-4.0405-2.5201*M140</f>
        <v>-4.5844304819915251</v>
      </c>
      <c r="O140">
        <f>E140-(SUM(K140:L140)*N140)</f>
        <v>79.304106999999931</v>
      </c>
      <c r="P140">
        <f>O140/(2*H140*J140)</f>
        <v>4.7464206374304131E-2</v>
      </c>
      <c r="Q140">
        <f>P140*16.02</f>
        <v>0.76037658611635217</v>
      </c>
    </row>
    <row r="141" spans="2:18" x14ac:dyDescent="0.2">
      <c r="C141">
        <v>100000</v>
      </c>
      <c r="D141">
        <v>1041.1861510000001</v>
      </c>
      <c r="E141">
        <v>-17291.623819</v>
      </c>
      <c r="F141">
        <v>76571.547351000001</v>
      </c>
      <c r="G141">
        <v>0.340868</v>
      </c>
      <c r="H141">
        <v>30.541097000000001</v>
      </c>
      <c r="I141">
        <v>91.780969999999996</v>
      </c>
      <c r="J141">
        <v>27.316801000000002</v>
      </c>
      <c r="K141">
        <v>2938</v>
      </c>
      <c r="L141">
        <v>838</v>
      </c>
      <c r="M141">
        <f>L141/(L141+K141)</f>
        <v>0.22192796610169491</v>
      </c>
      <c r="N141">
        <f t="shared" ref="N141:N144" si="22">-4.0405-2.5201*M141</f>
        <v>-4.5997806673728814</v>
      </c>
      <c r="O141">
        <f>E141-(SUM(K141:L141)*N141)</f>
        <v>77.147980999998254</v>
      </c>
      <c r="P141">
        <f>O141/(2*H141*J141)</f>
        <v>4.6235983274837175E-2</v>
      </c>
      <c r="Q141">
        <f>P141*16.02</f>
        <v>0.74070045206289148</v>
      </c>
    </row>
    <row r="142" spans="2:18" x14ac:dyDescent="0.2">
      <c r="C142">
        <v>100000</v>
      </c>
      <c r="D142">
        <v>1041.263222</v>
      </c>
      <c r="E142">
        <v>-17345.282335</v>
      </c>
      <c r="F142">
        <v>76401.515648000001</v>
      </c>
      <c r="G142">
        <v>0.27363399999999999</v>
      </c>
      <c r="H142">
        <v>30.518474000000001</v>
      </c>
      <c r="I142">
        <v>91.712986000000001</v>
      </c>
      <c r="J142">
        <v>27.296565999999999</v>
      </c>
      <c r="K142">
        <v>2917</v>
      </c>
      <c r="L142">
        <v>859</v>
      </c>
      <c r="M142">
        <f>L142/(L142+K142)</f>
        <v>0.22748940677966101</v>
      </c>
      <c r="N142">
        <f t="shared" si="22"/>
        <v>-4.613796054025423</v>
      </c>
      <c r="O142">
        <f>E142-(SUM(K142:L142)*N142)</f>
        <v>76.411564999998518</v>
      </c>
      <c r="P142">
        <f>O142/(2*H142*J142)</f>
        <v>4.5862557598907318E-2</v>
      </c>
      <c r="Q142">
        <f>P142*16.02</f>
        <v>0.73471817273449525</v>
      </c>
    </row>
    <row r="143" spans="2:18" x14ac:dyDescent="0.2">
      <c r="C143">
        <v>100000</v>
      </c>
      <c r="D143">
        <v>1041.1228980000001</v>
      </c>
      <c r="E143">
        <v>-17262.529918</v>
      </c>
      <c r="F143">
        <v>76659.490701999996</v>
      </c>
      <c r="G143">
        <v>0.43054199999999998</v>
      </c>
      <c r="H143">
        <v>30.552783999999999</v>
      </c>
      <c r="I143">
        <v>91.816094000000007</v>
      </c>
      <c r="J143">
        <v>27.327254</v>
      </c>
      <c r="K143">
        <v>2950</v>
      </c>
      <c r="L143">
        <v>826</v>
      </c>
      <c r="M143">
        <f>L143/(L143+K143)</f>
        <v>0.21875</v>
      </c>
      <c r="N143">
        <f t="shared" si="22"/>
        <v>-4.5917718750000001</v>
      </c>
      <c r="O143">
        <f>E143-(SUM(K143:L143)*N143)</f>
        <v>76.000682000001689</v>
      </c>
      <c r="P143">
        <f>O143/(2*H143*J143)</f>
        <v>4.5513549933825399E-2</v>
      </c>
      <c r="Q143">
        <f>P143*16.02</f>
        <v>0.72912706993988285</v>
      </c>
    </row>
    <row r="144" spans="2:18" x14ac:dyDescent="0.2">
      <c r="C144">
        <v>100000</v>
      </c>
      <c r="D144">
        <v>1041.130433</v>
      </c>
      <c r="E144">
        <v>-17298.772228999998</v>
      </c>
      <c r="F144">
        <v>76543.777501000004</v>
      </c>
      <c r="G144">
        <v>0.42498599999999997</v>
      </c>
      <c r="H144">
        <v>30.537405</v>
      </c>
      <c r="I144">
        <v>91.769875999999996</v>
      </c>
      <c r="J144">
        <v>27.313499</v>
      </c>
      <c r="K144">
        <v>2937</v>
      </c>
      <c r="L144">
        <v>839</v>
      </c>
      <c r="M144">
        <f>L144/(L144+K144)</f>
        <v>0.2221927966101695</v>
      </c>
      <c r="N144">
        <f t="shared" si="22"/>
        <v>-4.6004480667372878</v>
      </c>
      <c r="O144">
        <f>E144-(SUM(K144:L144)*N144)</f>
        <v>72.519671000001836</v>
      </c>
      <c r="P144">
        <f>O144/(2*H144*J144)</f>
        <v>4.3472674709772063E-2</v>
      </c>
      <c r="Q144">
        <f>P144*16.02</f>
        <v>0.69643224885054844</v>
      </c>
    </row>
    <row r="145" spans="2:18" x14ac:dyDescent="0.2">
      <c r="Q145" s="1">
        <f>AVERAGE(Q140:Q144)</f>
        <v>0.73227090594083399</v>
      </c>
      <c r="R145">
        <f>STDEV(Q140:Q144)</f>
        <v>2.3244723420314764E-2</v>
      </c>
    </row>
    <row r="146" spans="2:18" x14ac:dyDescent="0.2">
      <c r="B146" t="s">
        <v>33</v>
      </c>
      <c r="C146">
        <v>100000</v>
      </c>
      <c r="D146">
        <v>1115.6988650000001</v>
      </c>
      <c r="E146">
        <v>-29657.209849999999</v>
      </c>
      <c r="F146">
        <v>131624.137827</v>
      </c>
      <c r="G146">
        <v>0.26941799999999999</v>
      </c>
      <c r="H146">
        <v>39.984518000000001</v>
      </c>
      <c r="I146">
        <v>239.97263799999999</v>
      </c>
      <c r="J146">
        <v>13.717715</v>
      </c>
      <c r="K146">
        <v>5098</v>
      </c>
      <c r="L146">
        <v>1390</v>
      </c>
      <c r="M146">
        <f>L146/(L146+K146)</f>
        <v>0.21424167694204685</v>
      </c>
      <c r="N146">
        <f>-4.0405-2.5201*M146</f>
        <v>-4.5804104500616516</v>
      </c>
      <c r="O146">
        <f>E146-(SUM(K146:L146)*N146)</f>
        <v>60.493149999994785</v>
      </c>
      <c r="P146">
        <f>O146/(2*H146*J146)</f>
        <v>5.5144545701991038E-2</v>
      </c>
      <c r="Q146">
        <f>P146*16.02</f>
        <v>0.88341562214589642</v>
      </c>
    </row>
    <row r="147" spans="2:18" x14ac:dyDescent="0.2">
      <c r="C147">
        <v>100000</v>
      </c>
      <c r="D147">
        <v>1115.443446</v>
      </c>
      <c r="E147">
        <v>-29795.175407999999</v>
      </c>
      <c r="F147">
        <v>131249.19190999999</v>
      </c>
      <c r="G147">
        <v>0.21370700000000001</v>
      </c>
      <c r="H147">
        <v>39.946514999999998</v>
      </c>
      <c r="I147">
        <v>239.74455800000001</v>
      </c>
      <c r="J147">
        <v>13.704677</v>
      </c>
      <c r="K147">
        <v>5045</v>
      </c>
      <c r="L147">
        <v>1443</v>
      </c>
      <c r="M147">
        <f>L147/(L147+K147)</f>
        <v>0.22241060419235512</v>
      </c>
      <c r="N147">
        <f t="shared" ref="N147:N150" si="23">-4.0405-2.5201*M147</f>
        <v>-4.6009969636251542</v>
      </c>
      <c r="O147">
        <f>E147-(SUM(K147:L147)*N147)</f>
        <v>56.092892000000575</v>
      </c>
      <c r="P147">
        <f>O147/(2*H147*J147)</f>
        <v>5.1230681714679316E-2</v>
      </c>
      <c r="Q147">
        <f>P147*16.02</f>
        <v>0.82071552106916257</v>
      </c>
    </row>
    <row r="148" spans="2:18" x14ac:dyDescent="0.2">
      <c r="C148">
        <v>100000</v>
      </c>
      <c r="D148">
        <v>1115.8391449999999</v>
      </c>
      <c r="E148">
        <v>-29645.540698000001</v>
      </c>
      <c r="F148">
        <v>131646.91533300001</v>
      </c>
      <c r="G148">
        <v>-2.6599000000000001E-2</v>
      </c>
      <c r="H148">
        <v>39.986823999999999</v>
      </c>
      <c r="I148">
        <v>239.986481</v>
      </c>
      <c r="J148">
        <v>13.718506</v>
      </c>
      <c r="K148">
        <v>5102</v>
      </c>
      <c r="L148">
        <v>1386</v>
      </c>
      <c r="M148">
        <f>L148/(L148+K148)</f>
        <v>0.21362515413070285</v>
      </c>
      <c r="N148">
        <f t="shared" si="23"/>
        <v>-4.5788567509247837</v>
      </c>
      <c r="O148">
        <f>E148-(SUM(K148:L148)*N148)</f>
        <v>62.081901999994443</v>
      </c>
      <c r="P148">
        <f>O148/(2*H148*J148)</f>
        <v>5.6586298935257517E-2</v>
      </c>
      <c r="Q148">
        <f>P148*16.02</f>
        <v>0.90651250894282542</v>
      </c>
    </row>
    <row r="149" spans="2:18" x14ac:dyDescent="0.2">
      <c r="C149">
        <v>100000</v>
      </c>
      <c r="D149">
        <v>1115.575202</v>
      </c>
      <c r="E149">
        <v>-29904.758143999999</v>
      </c>
      <c r="F149">
        <v>130979.95585899999</v>
      </c>
      <c r="G149">
        <v>0.39926899999999999</v>
      </c>
      <c r="H149">
        <v>39.919181999999999</v>
      </c>
      <c r="I149">
        <v>239.58051599999999</v>
      </c>
      <c r="J149">
        <v>13.6953</v>
      </c>
      <c r="K149">
        <v>4999</v>
      </c>
      <c r="L149">
        <v>1489</v>
      </c>
      <c r="M149">
        <f>L149/(L149+K149)</f>
        <v>0.22950061652281134</v>
      </c>
      <c r="N149">
        <f t="shared" si="23"/>
        <v>-4.6188645036991369</v>
      </c>
      <c r="O149">
        <f>E149-(SUM(K149:L149)*N149)</f>
        <v>62.43475600000238</v>
      </c>
      <c r="P149">
        <f>O149/(2*H149*J149)</f>
        <v>5.7100937631029698E-2</v>
      </c>
      <c r="Q149">
        <f>P149*16.02</f>
        <v>0.91475702084909571</v>
      </c>
    </row>
    <row r="150" spans="2:18" x14ac:dyDescent="0.2">
      <c r="C150">
        <v>100000</v>
      </c>
      <c r="D150">
        <v>1115.7122959999999</v>
      </c>
      <c r="E150">
        <v>-29767.261514999998</v>
      </c>
      <c r="F150">
        <v>131346.30257699999</v>
      </c>
      <c r="G150">
        <v>0.253301</v>
      </c>
      <c r="H150">
        <v>39.956364999999998</v>
      </c>
      <c r="I150">
        <v>239.803675</v>
      </c>
      <c r="J150">
        <v>13.708055999999999</v>
      </c>
      <c r="K150">
        <v>5056</v>
      </c>
      <c r="L150">
        <v>1432</v>
      </c>
      <c r="M150">
        <f>L150/(L150+K150)</f>
        <v>0.22071516646115907</v>
      </c>
      <c r="N150">
        <f t="shared" si="23"/>
        <v>-4.5967242909987664</v>
      </c>
      <c r="O150">
        <f>E150-(SUM(K150:L150)*N150)</f>
        <v>56.285684999998921</v>
      </c>
      <c r="P150">
        <f>O150/(2*H150*J150)</f>
        <v>5.1381421899101484E-2</v>
      </c>
      <c r="Q150">
        <f>P150*16.02</f>
        <v>0.82313037882360574</v>
      </c>
    </row>
    <row r="151" spans="2:18" x14ac:dyDescent="0.2">
      <c r="Q151" s="1">
        <f>AVERAGE(Q146:Q150)</f>
        <v>0.86970621036611706</v>
      </c>
      <c r="R151">
        <f>STDEV(Q146:Q150)</f>
        <v>4.5115470830707681E-2</v>
      </c>
    </row>
    <row r="152" spans="2:18" x14ac:dyDescent="0.2">
      <c r="B152" t="s">
        <v>34</v>
      </c>
      <c r="C152">
        <v>100000</v>
      </c>
      <c r="D152">
        <v>1115.7651820000001</v>
      </c>
      <c r="E152">
        <v>-15133.879627</v>
      </c>
      <c r="F152">
        <v>66677.253813999996</v>
      </c>
      <c r="G152">
        <v>-0.23740800000000001</v>
      </c>
      <c r="H152">
        <v>24.673234999999998</v>
      </c>
      <c r="I152">
        <v>197.42947000000001</v>
      </c>
      <c r="J152">
        <v>13.687977999999999</v>
      </c>
      <c r="K152">
        <v>2563</v>
      </c>
      <c r="L152">
        <v>733</v>
      </c>
      <c r="M152">
        <f>L152/(L152+K152)</f>
        <v>0.22239077669902912</v>
      </c>
      <c r="N152">
        <f>-4.0405-2.5201*M152</f>
        <v>-4.6009469963592231</v>
      </c>
      <c r="O152">
        <f>E152-(SUM(K152:L152)*N152)</f>
        <v>30.841672999998991</v>
      </c>
      <c r="P152">
        <f>O152/(2*H152*J152)</f>
        <v>4.5660697236286636E-2</v>
      </c>
      <c r="Q152">
        <f>P152*16.02</f>
        <v>0.73148436972531194</v>
      </c>
    </row>
    <row r="153" spans="2:18" x14ac:dyDescent="0.2">
      <c r="C153">
        <v>100000</v>
      </c>
      <c r="D153">
        <v>1115.786863</v>
      </c>
      <c r="E153">
        <v>-15097.613595000001</v>
      </c>
      <c r="F153">
        <v>66783.098834999997</v>
      </c>
      <c r="G153">
        <v>-0.142794</v>
      </c>
      <c r="H153">
        <v>24.686283</v>
      </c>
      <c r="I153">
        <v>197.53388200000001</v>
      </c>
      <c r="J153">
        <v>13.695217</v>
      </c>
      <c r="K153">
        <v>2577</v>
      </c>
      <c r="L153">
        <v>719</v>
      </c>
      <c r="M153">
        <f>L153/(L153+K153)</f>
        <v>0.21814320388349515</v>
      </c>
      <c r="N153">
        <f t="shared" ref="N153:N156" si="24">-4.0405-2.5201*M153</f>
        <v>-4.5902426881067955</v>
      </c>
      <c r="O153">
        <f>E153-(SUM(K153:L153)*N153)</f>
        <v>31.826304999996864</v>
      </c>
      <c r="P153">
        <f>O153/(2*H153*J153)</f>
        <v>4.7068634946415944E-2</v>
      </c>
      <c r="Q153">
        <f>P153*16.02</f>
        <v>0.75403953184158334</v>
      </c>
    </row>
    <row r="154" spans="2:18" x14ac:dyDescent="0.2">
      <c r="C154">
        <v>100000</v>
      </c>
      <c r="D154">
        <v>1115.9482760000001</v>
      </c>
      <c r="E154">
        <v>-15002.973335000001</v>
      </c>
      <c r="F154">
        <v>67006.713027999998</v>
      </c>
      <c r="G154">
        <v>-0.45910600000000001</v>
      </c>
      <c r="H154">
        <v>24.713805000000001</v>
      </c>
      <c r="I154">
        <v>197.754107</v>
      </c>
      <c r="J154">
        <v>13.710486</v>
      </c>
      <c r="K154">
        <v>2615</v>
      </c>
      <c r="L154">
        <v>681</v>
      </c>
      <c r="M154">
        <f>L154/(L154+K154)</f>
        <v>0.20661407766990292</v>
      </c>
      <c r="N154">
        <f t="shared" si="24"/>
        <v>-4.5611881371359217</v>
      </c>
      <c r="O154">
        <f>E154-(SUM(K154:L154)*N154)</f>
        <v>30.70276499999818</v>
      </c>
      <c r="P154">
        <f>O154/(2*H154*J154)</f>
        <v>4.5305927698343393E-2</v>
      </c>
      <c r="Q154">
        <f>P154*16.02</f>
        <v>0.72580096172746111</v>
      </c>
    </row>
    <row r="155" spans="2:18" x14ac:dyDescent="0.2">
      <c r="C155">
        <v>100000</v>
      </c>
      <c r="D155">
        <v>1115.820784</v>
      </c>
      <c r="E155">
        <v>-15044.785298999999</v>
      </c>
      <c r="F155">
        <v>66901.329826999994</v>
      </c>
      <c r="G155">
        <v>0.26197500000000001</v>
      </c>
      <c r="H155">
        <v>24.700842999999999</v>
      </c>
      <c r="I155">
        <v>197.650384</v>
      </c>
      <c r="J155">
        <v>13.703294</v>
      </c>
      <c r="K155">
        <v>2598</v>
      </c>
      <c r="L155">
        <v>698</v>
      </c>
      <c r="M155">
        <f>L155/(L155+K155)</f>
        <v>0.21177184466019416</v>
      </c>
      <c r="N155">
        <f t="shared" si="24"/>
        <v>-4.5741862257281554</v>
      </c>
      <c r="O155">
        <f>E155-(SUM(K155:L155)*N155)</f>
        <v>31.732501000000411</v>
      </c>
      <c r="P155">
        <f>O155/(2*H155*J155)</f>
        <v>4.6874597974975209E-2</v>
      </c>
      <c r="Q155">
        <f>P155*16.02</f>
        <v>0.75093105955910278</v>
      </c>
    </row>
    <row r="156" spans="2:18" x14ac:dyDescent="0.2">
      <c r="C156">
        <v>100000</v>
      </c>
      <c r="D156">
        <v>1115.300741</v>
      </c>
      <c r="E156">
        <v>-15107.479947</v>
      </c>
      <c r="F156">
        <v>66737.950349999999</v>
      </c>
      <c r="G156">
        <v>0.78769</v>
      </c>
      <c r="H156">
        <v>24.680719</v>
      </c>
      <c r="I156">
        <v>197.48935399999999</v>
      </c>
      <c r="J156">
        <v>13.692130000000001</v>
      </c>
      <c r="K156">
        <v>2575</v>
      </c>
      <c r="L156">
        <v>721</v>
      </c>
      <c r="M156">
        <f>L156/(L156+K156)</f>
        <v>0.21875</v>
      </c>
      <c r="N156">
        <f t="shared" si="24"/>
        <v>-4.5917718750000001</v>
      </c>
      <c r="O156">
        <f>E156-(SUM(K156:L156)*N156)</f>
        <v>27.000153000000864</v>
      </c>
      <c r="P156">
        <f>O156/(2*H156*J156)</f>
        <v>3.9949137574008919E-2</v>
      </c>
      <c r="Q156">
        <f>P156*16.02</f>
        <v>0.63998518393562287</v>
      </c>
    </row>
    <row r="157" spans="2:18" x14ac:dyDescent="0.2">
      <c r="Q157" s="1">
        <f>AVERAGE(Q152:Q156)</f>
        <v>0.7204482213578165</v>
      </c>
      <c r="R157">
        <f>STDEV(Q152:Q156)</f>
        <v>4.6589506211920061E-2</v>
      </c>
    </row>
    <row r="158" spans="2:18" x14ac:dyDescent="0.2">
      <c r="B158" t="s">
        <v>35</v>
      </c>
      <c r="C158">
        <v>100000</v>
      </c>
      <c r="D158">
        <v>1115.864851</v>
      </c>
      <c r="E158">
        <v>-21750.718122999999</v>
      </c>
      <c r="F158">
        <v>96321.411668000001</v>
      </c>
      <c r="G158">
        <v>0.20491799999999999</v>
      </c>
      <c r="H158">
        <v>34.237636999999999</v>
      </c>
      <c r="I158">
        <v>205.425825</v>
      </c>
      <c r="J158">
        <v>13.695055</v>
      </c>
      <c r="K158">
        <v>3724</v>
      </c>
      <c r="L158">
        <v>1028</v>
      </c>
      <c r="M158">
        <f>L158/(L158+K158)</f>
        <v>0.21632996632996632</v>
      </c>
      <c r="N158">
        <f>-4.0405-2.5201*M158</f>
        <v>-4.5856731481481479</v>
      </c>
      <c r="O158">
        <f>E158-(SUM(K158:L158)*N158)</f>
        <v>40.400677000001451</v>
      </c>
      <c r="P158">
        <f>O158/(2*H158*J158)</f>
        <v>4.3081526505398357E-2</v>
      </c>
      <c r="Q158">
        <f>P158*16.02</f>
        <v>0.69016605461648162</v>
      </c>
    </row>
    <row r="159" spans="2:18" x14ac:dyDescent="0.2">
      <c r="C159">
        <v>100000</v>
      </c>
      <c r="D159">
        <v>1116.017867</v>
      </c>
      <c r="E159">
        <v>-21765.888289999999</v>
      </c>
      <c r="F159">
        <v>96240.929552000001</v>
      </c>
      <c r="G159">
        <v>0.27688099999999999</v>
      </c>
      <c r="H159">
        <v>34.228099</v>
      </c>
      <c r="I159">
        <v>205.368593</v>
      </c>
      <c r="J159">
        <v>13.691240000000001</v>
      </c>
      <c r="K159">
        <v>3719</v>
      </c>
      <c r="L159">
        <v>1033</v>
      </c>
      <c r="M159">
        <f>L159/(L159+K159)</f>
        <v>0.21738215488215487</v>
      </c>
      <c r="N159">
        <f t="shared" ref="N159:N162" si="25">-4.0405-2.5201*M159</f>
        <v>-4.5883247685185182</v>
      </c>
      <c r="O159">
        <f>E159-(SUM(K159:L159)*N159)</f>
        <v>37.831009999998059</v>
      </c>
      <c r="P159">
        <f>O159/(2*H159*J159)</f>
        <v>4.0363830847481484E-2</v>
      </c>
      <c r="Q159">
        <f>P159*16.02</f>
        <v>0.64662857017665332</v>
      </c>
    </row>
    <row r="160" spans="2:18" x14ac:dyDescent="0.2">
      <c r="C160">
        <v>100000</v>
      </c>
      <c r="D160">
        <v>1115.584609</v>
      </c>
      <c r="E160">
        <v>-21671.923796999999</v>
      </c>
      <c r="F160">
        <v>96494.387898000001</v>
      </c>
      <c r="G160">
        <v>0.15198900000000001</v>
      </c>
      <c r="H160">
        <v>34.258119999999998</v>
      </c>
      <c r="I160">
        <v>205.548722</v>
      </c>
      <c r="J160">
        <v>13.703248</v>
      </c>
      <c r="K160">
        <v>3754</v>
      </c>
      <c r="L160">
        <v>998</v>
      </c>
      <c r="M160">
        <f>L160/(L160+K160)</f>
        <v>0.21001683501683502</v>
      </c>
      <c r="N160">
        <f t="shared" si="25"/>
        <v>-4.5697634259259257</v>
      </c>
      <c r="O160">
        <f>E160-(SUM(K160:L160)*N160)</f>
        <v>43.592002999997931</v>
      </c>
      <c r="P160">
        <f>O160/(2*H160*J160)</f>
        <v>4.6429048685186228E-2</v>
      </c>
      <c r="Q160">
        <f>P160*16.02</f>
        <v>0.74379335993668338</v>
      </c>
    </row>
    <row r="161" spans="2:18" x14ac:dyDescent="0.2">
      <c r="C161">
        <v>100000</v>
      </c>
      <c r="D161">
        <v>1115.3378869999999</v>
      </c>
      <c r="E161">
        <v>-21665.645364</v>
      </c>
      <c r="F161">
        <v>96506.932887000003</v>
      </c>
      <c r="G161">
        <v>-8.2638000000000003E-2</v>
      </c>
      <c r="H161">
        <v>34.259605000000001</v>
      </c>
      <c r="I161">
        <v>205.55762899999999</v>
      </c>
      <c r="J161">
        <v>13.703842</v>
      </c>
      <c r="K161">
        <v>3755</v>
      </c>
      <c r="L161">
        <v>997</v>
      </c>
      <c r="M161">
        <f>L161/(L161+K161)</f>
        <v>0.2098063973063973</v>
      </c>
      <c r="N161">
        <f t="shared" si="25"/>
        <v>-4.5692331018518519</v>
      </c>
      <c r="O161">
        <f>E161-(SUM(K161:L161)*N161)</f>
        <v>47.350335999999515</v>
      </c>
      <c r="P161">
        <f>O161/(2*H161*J161)</f>
        <v>5.0427608827941714E-2</v>
      </c>
      <c r="Q161">
        <f>P161*16.02</f>
        <v>0.80785029342362624</v>
      </c>
    </row>
    <row r="162" spans="2:18" x14ac:dyDescent="0.2">
      <c r="C162">
        <v>100000</v>
      </c>
      <c r="D162">
        <v>1115.5794080000001</v>
      </c>
      <c r="E162">
        <v>-21708.883064000001</v>
      </c>
      <c r="F162">
        <v>96422.018414999999</v>
      </c>
      <c r="G162">
        <v>0.392681</v>
      </c>
      <c r="H162">
        <v>34.249552999999999</v>
      </c>
      <c r="I162">
        <v>205.497321</v>
      </c>
      <c r="J162">
        <v>13.699821</v>
      </c>
      <c r="K162">
        <v>3739</v>
      </c>
      <c r="L162">
        <v>1013</v>
      </c>
      <c r="M162">
        <f>L162/(L162+K162)</f>
        <v>0.21317340067340068</v>
      </c>
      <c r="N162">
        <f t="shared" si="25"/>
        <v>-4.5777182870370368</v>
      </c>
      <c r="O162">
        <f>E162-(SUM(K162:L162)*N162)</f>
        <v>44.434235999997327</v>
      </c>
      <c r="P162">
        <f>O162/(2*H162*J162)</f>
        <v>4.7349775163583088E-2</v>
      </c>
      <c r="Q162">
        <f>P162*16.02</f>
        <v>0.75854339812060101</v>
      </c>
    </row>
    <row r="163" spans="2:18" x14ac:dyDescent="0.2">
      <c r="Q163" s="1">
        <f>AVERAGE(Q158:Q162)</f>
        <v>0.72939633525480896</v>
      </c>
      <c r="R163">
        <f>STDEV(Q158:Q162)</f>
        <v>6.2452716115358325E-2</v>
      </c>
    </row>
    <row r="165" spans="2:18" x14ac:dyDescent="0.2">
      <c r="B165" t="s">
        <v>65</v>
      </c>
      <c r="C165" t="s">
        <v>52</v>
      </c>
      <c r="D165" t="s">
        <v>13</v>
      </c>
      <c r="E165" t="s">
        <v>4</v>
      </c>
      <c r="F165" t="s">
        <v>5</v>
      </c>
      <c r="G165" t="s">
        <v>14</v>
      </c>
      <c r="H165" t="s">
        <v>15</v>
      </c>
      <c r="I165" t="s">
        <v>16</v>
      </c>
      <c r="J165" t="s">
        <v>17</v>
      </c>
      <c r="K165" t="s">
        <v>18</v>
      </c>
      <c r="L165" t="s">
        <v>19</v>
      </c>
      <c r="M165" t="s">
        <v>9</v>
      </c>
      <c r="N165" t="s">
        <v>20</v>
      </c>
      <c r="O165" t="s">
        <v>8</v>
      </c>
      <c r="P165" t="s">
        <v>21</v>
      </c>
      <c r="Q165" t="s">
        <v>21</v>
      </c>
    </row>
    <row r="166" spans="2:18" x14ac:dyDescent="0.2">
      <c r="B166" t="s">
        <v>25</v>
      </c>
      <c r="C166">
        <v>100000</v>
      </c>
      <c r="D166">
        <v>1041.2916970000001</v>
      </c>
      <c r="E166">
        <v>-18876.226137000001</v>
      </c>
      <c r="F166">
        <v>76706.368149000002</v>
      </c>
      <c r="G166">
        <v>0.34626499999999999</v>
      </c>
      <c r="H166">
        <v>30.698826</v>
      </c>
      <c r="I166">
        <v>184.23614799999999</v>
      </c>
      <c r="J166">
        <v>13.562336999999999</v>
      </c>
      <c r="K166">
        <v>2662</v>
      </c>
      <c r="L166">
        <v>1242</v>
      </c>
      <c r="M166">
        <f>L166/(L166+K166)</f>
        <v>0.31813524590163933</v>
      </c>
      <c r="N166">
        <f>-4.0151-2.6082*M166</f>
        <v>-4.8448603483606565</v>
      </c>
      <c r="O166">
        <f>E166-(SUM(K166:L166)*N166)</f>
        <v>38.108663000002707</v>
      </c>
      <c r="P166">
        <f>O166/(2*H166*J166)</f>
        <v>4.5765416352895757E-2</v>
      </c>
      <c r="Q166">
        <f>P166*16.02</f>
        <v>0.73316196997339</v>
      </c>
    </row>
    <row r="167" spans="2:18" x14ac:dyDescent="0.2">
      <c r="C167">
        <v>100000</v>
      </c>
      <c r="D167">
        <v>1041.185403</v>
      </c>
      <c r="E167">
        <v>-18742.47118</v>
      </c>
      <c r="F167">
        <v>76999.396890000004</v>
      </c>
      <c r="G167">
        <v>0.51236599999999999</v>
      </c>
      <c r="H167">
        <v>30.737867000000001</v>
      </c>
      <c r="I167">
        <v>184.47045199999999</v>
      </c>
      <c r="J167">
        <v>13.579585</v>
      </c>
      <c r="K167">
        <v>2714</v>
      </c>
      <c r="L167">
        <v>1190</v>
      </c>
      <c r="M167">
        <f>L167/(L167+K167)</f>
        <v>0.30481557377049179</v>
      </c>
      <c r="N167">
        <f t="shared" ref="N167:N170" si="26">-4.0151-2.6082*M167</f>
        <v>-4.8101199795081975</v>
      </c>
      <c r="O167">
        <f>E167-(SUM(K167:L167)*N167)</f>
        <v>36.237220000002708</v>
      </c>
      <c r="P167">
        <f>O167/(2*H167*J167)</f>
        <v>4.3407487815545431E-2</v>
      </c>
      <c r="Q167">
        <f>P167*16.02</f>
        <v>0.69538795480503779</v>
      </c>
    </row>
    <row r="168" spans="2:18" x14ac:dyDescent="0.2">
      <c r="C168">
        <v>100000</v>
      </c>
      <c r="D168">
        <v>1040.834793</v>
      </c>
      <c r="E168">
        <v>-18672.560103</v>
      </c>
      <c r="F168">
        <v>77160.749035000001</v>
      </c>
      <c r="G168">
        <v>0.52403699999999998</v>
      </c>
      <c r="H168">
        <v>30.759322999999998</v>
      </c>
      <c r="I168">
        <v>184.59921199999999</v>
      </c>
      <c r="J168">
        <v>13.589064</v>
      </c>
      <c r="K168">
        <v>2740</v>
      </c>
      <c r="L168">
        <v>1164</v>
      </c>
      <c r="M168">
        <f>L168/(L168+K168)</f>
        <v>0.29815573770491804</v>
      </c>
      <c r="N168">
        <f t="shared" si="26"/>
        <v>-4.792749795081968</v>
      </c>
      <c r="O168">
        <f>E168-(SUM(K168:L168)*N168)</f>
        <v>38.335097000002861</v>
      </c>
      <c r="P168">
        <f>O168/(2*H168*J168)</f>
        <v>4.5856431378477093E-2</v>
      </c>
      <c r="Q168">
        <f>P168*16.02</f>
        <v>0.73462003068320303</v>
      </c>
    </row>
    <row r="169" spans="2:18" x14ac:dyDescent="0.2">
      <c r="C169">
        <v>100000</v>
      </c>
      <c r="D169">
        <v>1041.0548100000001</v>
      </c>
      <c r="E169">
        <v>-18720.645245</v>
      </c>
      <c r="F169">
        <v>77024.723715</v>
      </c>
      <c r="G169">
        <v>0.40590999999999999</v>
      </c>
      <c r="H169">
        <v>30.741237000000002</v>
      </c>
      <c r="I169">
        <v>184.49067500000001</v>
      </c>
      <c r="J169">
        <v>13.581073999999999</v>
      </c>
      <c r="K169">
        <v>2723</v>
      </c>
      <c r="L169">
        <v>1181</v>
      </c>
      <c r="M169">
        <f>L169/(L169+K169)</f>
        <v>0.30251024590163933</v>
      </c>
      <c r="N169">
        <f t="shared" si="26"/>
        <v>-4.8041072233606563</v>
      </c>
      <c r="O169">
        <f>E169-(SUM(K169:L169)*N169)</f>
        <v>34.589355000003707</v>
      </c>
      <c r="P169">
        <f>O169/(2*H169*J169)</f>
        <v>4.1424475022302579E-2</v>
      </c>
      <c r="Q169">
        <f>P169*16.02</f>
        <v>0.66362008985728727</v>
      </c>
    </row>
    <row r="170" spans="2:18" x14ac:dyDescent="0.2">
      <c r="C170">
        <v>100000</v>
      </c>
      <c r="D170">
        <v>1041.1985790000001</v>
      </c>
      <c r="E170">
        <v>-18642.342949000002</v>
      </c>
      <c r="F170">
        <v>77222.419362000001</v>
      </c>
      <c r="G170">
        <v>0.685388</v>
      </c>
      <c r="H170">
        <v>30.767515</v>
      </c>
      <c r="I170">
        <v>184.64837900000001</v>
      </c>
      <c r="J170">
        <v>13.592682999999999</v>
      </c>
      <c r="K170">
        <v>2754</v>
      </c>
      <c r="L170">
        <v>1150</v>
      </c>
      <c r="M170">
        <f>L170/(L170+K170)</f>
        <v>0.29456967213114754</v>
      </c>
      <c r="N170">
        <f t="shared" si="26"/>
        <v>-4.7833966188524597</v>
      </c>
      <c r="O170">
        <f>E170-(SUM(K170:L170)*N170)</f>
        <v>32.037451000000146</v>
      </c>
      <c r="P170">
        <f>O170/(2*H170*J170)</f>
        <v>3.830278472651609E-2</v>
      </c>
      <c r="Q170">
        <f>P170*16.02</f>
        <v>0.61361061131878769</v>
      </c>
    </row>
    <row r="171" spans="2:18" x14ac:dyDescent="0.2">
      <c r="Q171" s="1">
        <f>AVERAGE(Q166:Q170)</f>
        <v>0.6880801313275412</v>
      </c>
      <c r="R171">
        <f>STDEV(Q166:Q170)</f>
        <v>5.0979755125844836E-2</v>
      </c>
    </row>
    <row r="172" spans="2:18" x14ac:dyDescent="0.2">
      <c r="B172" t="s">
        <v>30</v>
      </c>
      <c r="C172">
        <v>100000</v>
      </c>
      <c r="D172">
        <v>1115.4029880000001</v>
      </c>
      <c r="E172">
        <v>-15169.827488999999</v>
      </c>
      <c r="F172">
        <v>62582.354509999997</v>
      </c>
      <c r="G172">
        <v>0.426871</v>
      </c>
      <c r="H172">
        <v>23.999877999999999</v>
      </c>
      <c r="I172">
        <v>192.04226800000001</v>
      </c>
      <c r="J172">
        <v>13.578309000000001</v>
      </c>
      <c r="K172">
        <v>2219</v>
      </c>
      <c r="L172">
        <v>949</v>
      </c>
      <c r="M172">
        <f>L172/(L172+K172)</f>
        <v>0.29955808080808083</v>
      </c>
      <c r="N172">
        <f>-4.0151-2.6082*M172</f>
        <v>-4.7964073863636365</v>
      </c>
      <c r="O172">
        <f>E172-(SUM(K172:L172)*N172)</f>
        <v>25.191111000001911</v>
      </c>
      <c r="P172">
        <f>O172/(2*H172*J172)</f>
        <v>3.8651166380307848E-2</v>
      </c>
      <c r="Q172">
        <f>P172*16.02</f>
        <v>0.61919168541253167</v>
      </c>
    </row>
    <row r="173" spans="2:18" x14ac:dyDescent="0.2">
      <c r="C173">
        <v>100000</v>
      </c>
      <c r="D173">
        <v>1115.3408019999999</v>
      </c>
      <c r="E173">
        <v>-15147.376514</v>
      </c>
      <c r="F173">
        <v>62634.084066000003</v>
      </c>
      <c r="G173">
        <v>0.40383799999999997</v>
      </c>
      <c r="H173">
        <v>24.006488999999998</v>
      </c>
      <c r="I173">
        <v>192.095167</v>
      </c>
      <c r="J173">
        <v>13.582050000000001</v>
      </c>
      <c r="K173">
        <v>2227</v>
      </c>
      <c r="L173">
        <v>941</v>
      </c>
      <c r="M173">
        <f>L173/(L173+K173)</f>
        <v>0.29703282828282829</v>
      </c>
      <c r="N173">
        <f t="shared" ref="N173:N176" si="27">-4.0151-2.6082*M173</f>
        <v>-4.7898210227272733</v>
      </c>
      <c r="O173">
        <f>E173-(SUM(K173:L173)*N173)</f>
        <v>26.776486000002478</v>
      </c>
      <c r="P173">
        <f>O173/(2*H173*J173)</f>
        <v>4.1061008623672061E-2</v>
      </c>
      <c r="Q173">
        <f>P173*16.02</f>
        <v>0.65779735815122642</v>
      </c>
    </row>
    <row r="174" spans="2:18" x14ac:dyDescent="0.2">
      <c r="C174">
        <v>100000</v>
      </c>
      <c r="D174">
        <v>1115.8382650000001</v>
      </c>
      <c r="E174">
        <v>-15256.193794999999</v>
      </c>
      <c r="F174">
        <v>62380.886278999998</v>
      </c>
      <c r="G174">
        <v>0.36638399999999999</v>
      </c>
      <c r="H174">
        <v>23.974098000000001</v>
      </c>
      <c r="I174">
        <v>191.83597700000001</v>
      </c>
      <c r="J174">
        <v>13.563724000000001</v>
      </c>
      <c r="K174">
        <v>2184</v>
      </c>
      <c r="L174">
        <v>984</v>
      </c>
      <c r="M174">
        <f>L174/(L174+K174)</f>
        <v>0.31060606060606061</v>
      </c>
      <c r="N174">
        <f t="shared" si="27"/>
        <v>-4.8252227272727275</v>
      </c>
      <c r="O174">
        <f>E174-(SUM(K174:L174)*N174)</f>
        <v>30.111805000002278</v>
      </c>
      <c r="P174">
        <f>O174/(2*H174*J174)</f>
        <v>4.6300488526552851E-2</v>
      </c>
      <c r="Q174">
        <f>P174*16.02</f>
        <v>0.74173382619537664</v>
      </c>
    </row>
    <row r="175" spans="2:18" x14ac:dyDescent="0.2">
      <c r="C175">
        <v>100000</v>
      </c>
      <c r="D175">
        <v>1115.883118</v>
      </c>
      <c r="E175">
        <v>-15230.308499000001</v>
      </c>
      <c r="F175">
        <v>62442.776927999999</v>
      </c>
      <c r="G175">
        <v>0.37831199999999998</v>
      </c>
      <c r="H175">
        <v>23.982023000000002</v>
      </c>
      <c r="I175">
        <v>191.89939100000001</v>
      </c>
      <c r="J175">
        <v>13.568206999999999</v>
      </c>
      <c r="K175">
        <v>2193</v>
      </c>
      <c r="L175">
        <v>975</v>
      </c>
      <c r="M175">
        <f>L175/(L175+K175)</f>
        <v>0.30776515151515149</v>
      </c>
      <c r="N175">
        <f t="shared" si="27"/>
        <v>-4.8178130681818185</v>
      </c>
      <c r="O175">
        <f>E175-(SUM(K175:L175)*N175)</f>
        <v>32.523301000001084</v>
      </c>
      <c r="P175">
        <f>O175/(2*H175*J175)</f>
        <v>4.9975407842669364E-2</v>
      </c>
      <c r="Q175">
        <f>P175*16.02</f>
        <v>0.80060603363956317</v>
      </c>
    </row>
    <row r="176" spans="2:18" x14ac:dyDescent="0.2">
      <c r="C176">
        <v>100000</v>
      </c>
      <c r="D176">
        <v>1115.526699</v>
      </c>
      <c r="E176">
        <v>-15069.821115999999</v>
      </c>
      <c r="F176">
        <v>62831.241007999997</v>
      </c>
      <c r="G176">
        <v>0.42499199999999998</v>
      </c>
      <c r="H176">
        <v>24.031652000000001</v>
      </c>
      <c r="I176">
        <v>192.296514</v>
      </c>
      <c r="J176">
        <v>13.596285999999999</v>
      </c>
      <c r="K176">
        <v>2256</v>
      </c>
      <c r="L176">
        <v>912</v>
      </c>
      <c r="M176">
        <f>L176/(L176+K176)</f>
        <v>0.2878787878787879</v>
      </c>
      <c r="N176">
        <f t="shared" si="27"/>
        <v>-4.7659454545454549</v>
      </c>
      <c r="O176">
        <f>E176-(SUM(K176:L176)*N176)</f>
        <v>28.694084000002476</v>
      </c>
      <c r="P176">
        <f>O176/(2*H176*J176)</f>
        <v>4.3909495958511964E-2</v>
      </c>
      <c r="Q176">
        <f>P176*16.02</f>
        <v>0.70343012525536164</v>
      </c>
    </row>
    <row r="177" spans="2:18" x14ac:dyDescent="0.2">
      <c r="Q177" s="1">
        <f>AVERAGE(Q172:Q176)</f>
        <v>0.704551805730812</v>
      </c>
      <c r="R177">
        <f>STDEV(Q172:Q176)</f>
        <v>7.0856375897455651E-2</v>
      </c>
    </row>
    <row r="178" spans="2:18" x14ac:dyDescent="0.2">
      <c r="B178" t="s">
        <v>24</v>
      </c>
      <c r="C178">
        <v>100000</v>
      </c>
      <c r="D178">
        <v>1115.8632580000001</v>
      </c>
      <c r="E178">
        <v>-11771.020655</v>
      </c>
      <c r="F178">
        <v>49002.619173999999</v>
      </c>
      <c r="G178">
        <v>-0.198187</v>
      </c>
      <c r="H178">
        <v>34.659357999999997</v>
      </c>
      <c r="I178">
        <v>138.65907899999999</v>
      </c>
      <c r="J178">
        <v>10.196476000000001</v>
      </c>
      <c r="K178">
        <v>1753</v>
      </c>
      <c r="L178">
        <v>719</v>
      </c>
      <c r="M178">
        <f>L178/(L178+K178)</f>
        <v>0.29085760517799353</v>
      </c>
      <c r="N178">
        <f>-4.0151-2.6082*M178</f>
        <v>-4.773714805825243</v>
      </c>
      <c r="O178">
        <f>E178-(SUM(K178:L178)*N178)</f>
        <v>29.602345000001151</v>
      </c>
      <c r="P178">
        <f>O178/(2*H178*J178)</f>
        <v>4.1881816034203122E-2</v>
      </c>
      <c r="Q178">
        <f>P178*16.02</f>
        <v>0.67094669286793396</v>
      </c>
    </row>
    <row r="179" spans="2:18" x14ac:dyDescent="0.2">
      <c r="C179">
        <v>100000</v>
      </c>
      <c r="D179">
        <v>1115.7878860000001</v>
      </c>
      <c r="E179">
        <v>-11779.624602</v>
      </c>
      <c r="F179">
        <v>48977.510794000002</v>
      </c>
      <c r="G179">
        <v>-0.481707</v>
      </c>
      <c r="H179">
        <v>34.653436999999997</v>
      </c>
      <c r="I179">
        <v>138.635392</v>
      </c>
      <c r="J179">
        <v>10.194734</v>
      </c>
      <c r="K179">
        <v>1750</v>
      </c>
      <c r="L179">
        <v>722</v>
      </c>
      <c r="M179">
        <f>L179/(L179+K179)</f>
        <v>0.29207119741100324</v>
      </c>
      <c r="N179">
        <f t="shared" ref="N179:N182" si="28">-4.0151-2.6082*M179</f>
        <v>-4.7768800970873793</v>
      </c>
      <c r="O179">
        <f>E179-(SUM(K179:L179)*N179)</f>
        <v>28.822998000001462</v>
      </c>
      <c r="P179">
        <f>O179/(2*H179*J179)</f>
        <v>4.0793121783693764E-2</v>
      </c>
      <c r="Q179">
        <f>P179*16.02</f>
        <v>0.65350581097477412</v>
      </c>
    </row>
    <row r="180" spans="2:18" x14ac:dyDescent="0.2">
      <c r="C180">
        <v>100000</v>
      </c>
      <c r="D180">
        <v>1115.3885680000001</v>
      </c>
      <c r="E180">
        <v>-11796.455317</v>
      </c>
      <c r="F180">
        <v>48948.841869999997</v>
      </c>
      <c r="G180">
        <v>0.21408099999999999</v>
      </c>
      <c r="H180">
        <v>34.646673999999997</v>
      </c>
      <c r="I180">
        <v>138.60833700000001</v>
      </c>
      <c r="J180">
        <v>10.192743999999999</v>
      </c>
      <c r="K180">
        <v>1742</v>
      </c>
      <c r="L180">
        <v>730</v>
      </c>
      <c r="M180">
        <f>L180/(L180+K180)</f>
        <v>0.29530744336569581</v>
      </c>
      <c r="N180">
        <f t="shared" si="28"/>
        <v>-4.7853208737864081</v>
      </c>
      <c r="O180">
        <f>E180-(SUM(K180:L180)*N180)</f>
        <v>32.857883000000584</v>
      </c>
      <c r="P180">
        <f>O180/(2*H180*J180)</f>
        <v>4.6521843591772714E-2</v>
      </c>
      <c r="Q180">
        <f>P180*16.02</f>
        <v>0.7452799343401989</v>
      </c>
    </row>
    <row r="181" spans="2:18" x14ac:dyDescent="0.2">
      <c r="C181">
        <v>100000</v>
      </c>
      <c r="D181">
        <v>1115.178377</v>
      </c>
      <c r="E181">
        <v>-11815.793501</v>
      </c>
      <c r="F181">
        <v>48910.302840999997</v>
      </c>
      <c r="G181">
        <v>-0.22578300000000001</v>
      </c>
      <c r="H181">
        <v>34.637577999999998</v>
      </c>
      <c r="I181">
        <v>138.57194899999999</v>
      </c>
      <c r="J181">
        <v>10.190068</v>
      </c>
      <c r="K181">
        <v>1732</v>
      </c>
      <c r="L181">
        <v>740</v>
      </c>
      <c r="M181">
        <f>L181/(L181+K181)</f>
        <v>0.29935275080906149</v>
      </c>
      <c r="N181">
        <f t="shared" si="28"/>
        <v>-4.7958718446601942</v>
      </c>
      <c r="O181">
        <f>E181-(SUM(K181:L181)*N181)</f>
        <v>39.601699000000735</v>
      </c>
      <c r="P181">
        <f>O181/(2*H181*J181)</f>
        <v>5.6099530151646808E-2</v>
      </c>
      <c r="Q181">
        <f>P181*16.02</f>
        <v>0.89871447302938179</v>
      </c>
    </row>
    <row r="182" spans="2:18" x14ac:dyDescent="0.2">
      <c r="C182">
        <v>100000</v>
      </c>
      <c r="D182">
        <v>1115.6372690000001</v>
      </c>
      <c r="E182">
        <v>-11709.783097</v>
      </c>
      <c r="F182">
        <v>49131.646241000002</v>
      </c>
      <c r="G182">
        <v>0.37799899999999997</v>
      </c>
      <c r="H182">
        <v>34.689749999999997</v>
      </c>
      <c r="I182">
        <v>138.780666</v>
      </c>
      <c r="J182">
        <v>10.205417000000001</v>
      </c>
      <c r="K182">
        <v>1778</v>
      </c>
      <c r="L182">
        <v>694</v>
      </c>
      <c r="M182">
        <f>L182/(L182+K182)</f>
        <v>0.28074433656957931</v>
      </c>
      <c r="N182">
        <f t="shared" si="28"/>
        <v>-4.7473373786407773</v>
      </c>
      <c r="O182">
        <f>E182-(SUM(K182:L182)*N182)</f>
        <v>25.634903000001941</v>
      </c>
      <c r="P182">
        <f>O182/(2*H182*J182)</f>
        <v>3.6205100537932022E-2</v>
      </c>
      <c r="Q182">
        <f>P182*16.02</f>
        <v>0.58000571061767103</v>
      </c>
    </row>
    <row r="183" spans="2:18" x14ac:dyDescent="0.2">
      <c r="Q183" s="1">
        <f>AVERAGE(Q178:Q182)</f>
        <v>0.709690524365992</v>
      </c>
      <c r="R183">
        <f>STDEV(Q178:Q182)</f>
        <v>0.12090555889365794</v>
      </c>
    </row>
    <row r="184" spans="2:18" x14ac:dyDescent="0.2">
      <c r="B184" t="s">
        <v>31</v>
      </c>
      <c r="C184">
        <v>100000</v>
      </c>
      <c r="D184">
        <v>1115.6654619999999</v>
      </c>
      <c r="E184">
        <v>-15452.181817000001</v>
      </c>
      <c r="F184">
        <v>63941.242209000004</v>
      </c>
      <c r="G184">
        <v>-0.206459</v>
      </c>
      <c r="H184">
        <v>28.005199999999999</v>
      </c>
      <c r="I184">
        <v>168.052832</v>
      </c>
      <c r="J184">
        <v>13.586145999999999</v>
      </c>
      <c r="K184">
        <v>2270</v>
      </c>
      <c r="L184">
        <v>962</v>
      </c>
      <c r="M184">
        <f>L184/(L184+K184)</f>
        <v>0.29764851485148514</v>
      </c>
      <c r="N184">
        <f>-4.0151-2.6082*M184</f>
        <v>-4.7914268564356437</v>
      </c>
      <c r="O184">
        <f>E184-(SUM(K184:L184)*N184)</f>
        <v>33.709783000000243</v>
      </c>
      <c r="P184">
        <f>O184/(2*H184*J184)</f>
        <v>4.4298702429977035E-2</v>
      </c>
      <c r="Q184">
        <f>P184*16.02</f>
        <v>0.70966521292823204</v>
      </c>
    </row>
    <row r="185" spans="2:18" x14ac:dyDescent="0.2">
      <c r="C185">
        <v>100000</v>
      </c>
      <c r="D185">
        <v>1115.6897779999999</v>
      </c>
      <c r="E185">
        <v>-15524.388058</v>
      </c>
      <c r="F185">
        <v>63781.311422999999</v>
      </c>
      <c r="G185">
        <v>0.127412</v>
      </c>
      <c r="H185">
        <v>27.981831</v>
      </c>
      <c r="I185">
        <v>167.912601</v>
      </c>
      <c r="J185">
        <v>13.574809</v>
      </c>
      <c r="K185">
        <v>2238</v>
      </c>
      <c r="L185">
        <v>994</v>
      </c>
      <c r="M185">
        <f>L185/(L185+K185)</f>
        <v>0.30754950495049505</v>
      </c>
      <c r="N185">
        <f t="shared" ref="N185:N188" si="29">-4.0151-2.6082*M185</f>
        <v>-4.8172506188118813</v>
      </c>
      <c r="O185">
        <f>E185-(SUM(K185:L185)*N185)</f>
        <v>44.965942000000723</v>
      </c>
      <c r="P185">
        <f>O185/(2*H185*J185)</f>
        <v>5.9189387153386938E-2</v>
      </c>
      <c r="Q185">
        <f>P185*16.02</f>
        <v>0.94821398219725872</v>
      </c>
    </row>
    <row r="186" spans="2:18" x14ac:dyDescent="0.2">
      <c r="C186">
        <v>100000</v>
      </c>
      <c r="D186">
        <v>1115.8602189999999</v>
      </c>
      <c r="E186">
        <v>-15522.778893000001</v>
      </c>
      <c r="F186">
        <v>63799.610994000002</v>
      </c>
      <c r="G186">
        <v>0.54119099999999998</v>
      </c>
      <c r="H186">
        <v>27.984507000000001</v>
      </c>
      <c r="I186">
        <v>167.92865800000001</v>
      </c>
      <c r="J186">
        <v>13.576107</v>
      </c>
      <c r="K186">
        <v>2238</v>
      </c>
      <c r="L186">
        <v>994</v>
      </c>
      <c r="M186">
        <f>L186/(L186+K186)</f>
        <v>0.30754950495049505</v>
      </c>
      <c r="N186">
        <f t="shared" si="29"/>
        <v>-4.8172506188118813</v>
      </c>
      <c r="O186">
        <f>E186-(SUM(K186:L186)*N186)</f>
        <v>46.575107000000571</v>
      </c>
      <c r="P186">
        <f>O186/(2*H186*J186)</f>
        <v>6.1295833229402553E-2</v>
      </c>
      <c r="Q186">
        <f>P186*16.02</f>
        <v>0.9819592483350289</v>
      </c>
    </row>
    <row r="187" spans="2:18" x14ac:dyDescent="0.2">
      <c r="C187">
        <v>100000</v>
      </c>
      <c r="D187">
        <v>1115.711276</v>
      </c>
      <c r="E187">
        <v>-15430.070019000001</v>
      </c>
      <c r="F187">
        <v>63995.992152999999</v>
      </c>
      <c r="G187">
        <v>0.40634399999999998</v>
      </c>
      <c r="H187">
        <v>28.013189000000001</v>
      </c>
      <c r="I187">
        <v>168.100774</v>
      </c>
      <c r="J187">
        <v>13.590021</v>
      </c>
      <c r="K187">
        <v>2277</v>
      </c>
      <c r="L187">
        <v>955</v>
      </c>
      <c r="M187">
        <f>L187/(L187+K187)</f>
        <v>0.29548267326732675</v>
      </c>
      <c r="N187">
        <f t="shared" si="29"/>
        <v>-4.7857779084158416</v>
      </c>
      <c r="O187">
        <f>E187-(SUM(K187:L187)*N187)</f>
        <v>37.564180999999735</v>
      </c>
      <c r="P187">
        <f>O187/(2*H187*J187)</f>
        <v>4.9335694892527225E-2</v>
      </c>
      <c r="Q187">
        <f>P187*16.02</f>
        <v>0.79035783217828615</v>
      </c>
    </row>
    <row r="188" spans="2:18" x14ac:dyDescent="0.2">
      <c r="C188">
        <v>100000</v>
      </c>
      <c r="D188">
        <v>1115.460327</v>
      </c>
      <c r="E188">
        <v>-15446.965404</v>
      </c>
      <c r="F188">
        <v>63926.923296000001</v>
      </c>
      <c r="G188">
        <v>-4.0155000000000003E-2</v>
      </c>
      <c r="H188">
        <v>28.003108999999998</v>
      </c>
      <c r="I188">
        <v>168.04028500000001</v>
      </c>
      <c r="J188">
        <v>13.585131000000001</v>
      </c>
      <c r="K188">
        <v>2273</v>
      </c>
      <c r="L188">
        <v>959</v>
      </c>
      <c r="M188">
        <f>L188/(L188+K188)</f>
        <v>0.29672029702970298</v>
      </c>
      <c r="N188">
        <f t="shared" si="29"/>
        <v>-4.7890058787128718</v>
      </c>
      <c r="O188">
        <f>E188-(SUM(K188:L188)*N188)</f>
        <v>31.101596000000427</v>
      </c>
      <c r="P188">
        <f>O188/(2*H188*J188)</f>
        <v>4.0877337293408672E-2</v>
      </c>
      <c r="Q188">
        <f>P188*16.02</f>
        <v>0.65485494344040696</v>
      </c>
    </row>
    <row r="189" spans="2:18" x14ac:dyDescent="0.2">
      <c r="Q189" s="1">
        <f>AVERAGE(Q184:Q188)</f>
        <v>0.81701024381584253</v>
      </c>
      <c r="R189">
        <f>STDEV(Q184:Q188)</f>
        <v>0.14400541934189304</v>
      </c>
    </row>
    <row r="190" spans="2:18" x14ac:dyDescent="0.2">
      <c r="B190" t="s">
        <v>23</v>
      </c>
      <c r="C190">
        <v>100000</v>
      </c>
      <c r="D190">
        <v>1116.1967360000001</v>
      </c>
      <c r="E190">
        <v>-13744.821435</v>
      </c>
      <c r="F190">
        <v>57047.149116000001</v>
      </c>
      <c r="G190">
        <v>-0.34165899999999999</v>
      </c>
      <c r="H190">
        <v>32.275683999999998</v>
      </c>
      <c r="I190">
        <v>129.493955</v>
      </c>
      <c r="J190">
        <v>13.649245000000001</v>
      </c>
      <c r="K190">
        <v>2028</v>
      </c>
      <c r="L190">
        <v>852</v>
      </c>
      <c r="M190">
        <f>L190/(L190+K190)</f>
        <v>0.29583333333333334</v>
      </c>
      <c r="N190">
        <f>-4.0151-2.6082*M190</f>
        <v>-4.7866925</v>
      </c>
      <c r="O190">
        <f>E190-(SUM(K190:L190)*N190)</f>
        <v>40.85296500000004</v>
      </c>
      <c r="P190">
        <f>O190/(2*H190*J190)</f>
        <v>4.6367053891360845E-2</v>
      </c>
      <c r="Q190">
        <f>P190*16.02</f>
        <v>0.74280020333960073</v>
      </c>
    </row>
    <row r="191" spans="2:18" x14ac:dyDescent="0.2">
      <c r="C191">
        <v>100000</v>
      </c>
      <c r="D191">
        <v>1115.408265</v>
      </c>
      <c r="E191">
        <v>-13805.840453000001</v>
      </c>
      <c r="F191">
        <v>56918.928303000001</v>
      </c>
      <c r="G191">
        <v>0.103827</v>
      </c>
      <c r="H191">
        <v>32.251485000000002</v>
      </c>
      <c r="I191">
        <v>129.39686599999999</v>
      </c>
      <c r="J191">
        <v>13.639011999999999</v>
      </c>
      <c r="K191">
        <v>2007</v>
      </c>
      <c r="L191">
        <v>873</v>
      </c>
      <c r="M191">
        <f>L191/(L191+K191)</f>
        <v>0.30312499999999998</v>
      </c>
      <c r="N191">
        <f t="shared" ref="N191:N194" si="30">-4.0151-2.6082*M191</f>
        <v>-4.8057106250000006</v>
      </c>
      <c r="O191">
        <f>E191-(SUM(K191:L191)*N191)</f>
        <v>34.606147000000419</v>
      </c>
      <c r="P191">
        <f>O191/(2*H191*J191)</f>
        <v>3.9336038906814141E-2</v>
      </c>
      <c r="Q191">
        <f>P191*16.02</f>
        <v>0.6301633432871625</v>
      </c>
    </row>
    <row r="192" spans="2:18" x14ac:dyDescent="0.2">
      <c r="C192">
        <v>100000</v>
      </c>
      <c r="D192">
        <v>1115.4660779999999</v>
      </c>
      <c r="E192">
        <v>-13814.331475999999</v>
      </c>
      <c r="F192">
        <v>56880.045099000003</v>
      </c>
      <c r="G192">
        <v>0.31331799999999999</v>
      </c>
      <c r="H192">
        <v>32.244138999999997</v>
      </c>
      <c r="I192">
        <v>129.367392</v>
      </c>
      <c r="J192">
        <v>13.635904999999999</v>
      </c>
      <c r="K192">
        <v>1999</v>
      </c>
      <c r="L192">
        <v>881</v>
      </c>
      <c r="M192">
        <f>L192/(L192+K192)</f>
        <v>0.3059027777777778</v>
      </c>
      <c r="N192">
        <f t="shared" si="30"/>
        <v>-4.8129556250000007</v>
      </c>
      <c r="O192">
        <f>E192-(SUM(K192:L192)*N192)</f>
        <v>46.980724000002738</v>
      </c>
      <c r="P192">
        <f>O192/(2*H192*J192)</f>
        <v>5.3426282720351839E-2</v>
      </c>
      <c r="Q192">
        <f>P192*16.02</f>
        <v>0.85588904918003639</v>
      </c>
    </row>
    <row r="193" spans="2:18" x14ac:dyDescent="0.2">
      <c r="C193">
        <v>100000</v>
      </c>
      <c r="D193">
        <v>1115.6024319999999</v>
      </c>
      <c r="E193">
        <v>-13736.092762</v>
      </c>
      <c r="F193">
        <v>57083.955817000002</v>
      </c>
      <c r="G193">
        <v>0.29193799999999998</v>
      </c>
      <c r="H193">
        <v>32.282623999999998</v>
      </c>
      <c r="I193">
        <v>129.52179899999999</v>
      </c>
      <c r="J193">
        <v>13.65218</v>
      </c>
      <c r="K193">
        <v>2032</v>
      </c>
      <c r="L193">
        <v>848</v>
      </c>
      <c r="M193">
        <f>L193/(L193+K193)</f>
        <v>0.29444444444444445</v>
      </c>
      <c r="N193">
        <f t="shared" si="30"/>
        <v>-4.7830700000000004</v>
      </c>
      <c r="O193">
        <f>E193-(SUM(K193:L193)*N193)</f>
        <v>39.148838000000978</v>
      </c>
      <c r="P193">
        <f>O193/(2*H193*J193)</f>
        <v>4.4413811684627887E-2</v>
      </c>
      <c r="Q193">
        <f>P193*16.02</f>
        <v>0.71150926318773877</v>
      </c>
    </row>
    <row r="194" spans="2:18" x14ac:dyDescent="0.2">
      <c r="C194">
        <v>100000</v>
      </c>
      <c r="D194">
        <v>1115.7177039999999</v>
      </c>
      <c r="E194">
        <v>-13857.564472</v>
      </c>
      <c r="F194">
        <v>56791.770321999997</v>
      </c>
      <c r="G194">
        <v>0.23530699999999999</v>
      </c>
      <c r="H194">
        <v>32.227449</v>
      </c>
      <c r="I194">
        <v>129.300432</v>
      </c>
      <c r="J194">
        <v>13.628847</v>
      </c>
      <c r="K194">
        <v>1981</v>
      </c>
      <c r="L194">
        <v>899</v>
      </c>
      <c r="M194">
        <f>L194/(L194+K194)</f>
        <v>0.31215277777777778</v>
      </c>
      <c r="N194">
        <f t="shared" si="30"/>
        <v>-4.8292568750000004</v>
      </c>
      <c r="O194">
        <f>E194-(SUM(K194:L194)*N194)</f>
        <v>50.695328000001609</v>
      </c>
      <c r="P194">
        <f>O194/(2*H194*J194)</f>
        <v>5.7710242035918603E-2</v>
      </c>
      <c r="Q194">
        <f>P194*16.02</f>
        <v>0.92451807741541603</v>
      </c>
    </row>
    <row r="195" spans="2:18" x14ac:dyDescent="0.2">
      <c r="Q195" s="1">
        <f>AVERAGE(Q190:Q194)</f>
        <v>0.7729759872819908</v>
      </c>
      <c r="R195">
        <f>STDEV(Q190:Q194)</f>
        <v>0.11717910256048963</v>
      </c>
    </row>
    <row r="196" spans="2:18" x14ac:dyDescent="0.2">
      <c r="B196" t="s">
        <v>32</v>
      </c>
      <c r="C196">
        <v>100000</v>
      </c>
      <c r="D196">
        <v>1115.214479</v>
      </c>
      <c r="E196">
        <v>-17655.859005999999</v>
      </c>
      <c r="F196">
        <v>72641.405639999997</v>
      </c>
      <c r="G196">
        <v>0.17826900000000001</v>
      </c>
      <c r="H196">
        <v>25.854196000000002</v>
      </c>
      <c r="I196">
        <v>206.87682000000001</v>
      </c>
      <c r="J196">
        <v>13.581291999999999</v>
      </c>
      <c r="K196">
        <v>2560</v>
      </c>
      <c r="L196">
        <v>1120</v>
      </c>
      <c r="M196">
        <f>L196/(L196+K196)</f>
        <v>0.30434782608695654</v>
      </c>
      <c r="N196">
        <f>-4.0151-2.6082*M196</f>
        <v>-4.8089000000000004</v>
      </c>
      <c r="O196">
        <f>E196-(SUM(K196:L196)*N196)</f>
        <v>40.892994000001636</v>
      </c>
      <c r="P196">
        <f>O196/(2*H196*J196)</f>
        <v>5.8229999925697974E-2</v>
      </c>
      <c r="Q196">
        <f>P196*16.02</f>
        <v>0.93284459880968151</v>
      </c>
    </row>
    <row r="197" spans="2:18" x14ac:dyDescent="0.2">
      <c r="C197">
        <v>100000</v>
      </c>
      <c r="D197">
        <v>1115.849631</v>
      </c>
      <c r="E197">
        <v>-17523.461705000002</v>
      </c>
      <c r="F197">
        <v>72968.071030999999</v>
      </c>
      <c r="G197">
        <v>2.4226000000000001E-2</v>
      </c>
      <c r="H197">
        <v>25.892893000000001</v>
      </c>
      <c r="I197">
        <v>207.18646000000001</v>
      </c>
      <c r="J197">
        <v>13.60162</v>
      </c>
      <c r="K197">
        <v>2610</v>
      </c>
      <c r="L197">
        <v>1070</v>
      </c>
      <c r="M197">
        <f>L197/(L197+K197)</f>
        <v>0.29076086956521741</v>
      </c>
      <c r="N197">
        <f t="shared" ref="N197:N200" si="31">-4.0151-2.6082*M197</f>
        <v>-4.7734625000000008</v>
      </c>
      <c r="O197">
        <f>E197-(SUM(K197:L197)*N197)</f>
        <v>42.880295000002661</v>
      </c>
      <c r="P197">
        <f>O197/(2*H197*J197)</f>
        <v>6.0877464307702155E-2</v>
      </c>
      <c r="Q197">
        <f>P197*16.02</f>
        <v>0.9752569782093885</v>
      </c>
    </row>
    <row r="198" spans="2:18" x14ac:dyDescent="0.2">
      <c r="C198">
        <v>100000</v>
      </c>
      <c r="D198">
        <v>1115.7797660000001</v>
      </c>
      <c r="E198">
        <v>-17595.477473999999</v>
      </c>
      <c r="F198">
        <v>72762.270376999993</v>
      </c>
      <c r="G198">
        <v>6.7192000000000002E-2</v>
      </c>
      <c r="H198">
        <v>25.868527</v>
      </c>
      <c r="I198">
        <v>206.991491</v>
      </c>
      <c r="J198">
        <v>13.58882</v>
      </c>
      <c r="K198">
        <v>2584</v>
      </c>
      <c r="L198">
        <v>1096</v>
      </c>
      <c r="M198">
        <f>L198/(L198+K198)</f>
        <v>0.29782608695652174</v>
      </c>
      <c r="N198">
        <f t="shared" si="31"/>
        <v>-4.7918900000000004</v>
      </c>
      <c r="O198">
        <f>E198-(SUM(K198:L198)*N198)</f>
        <v>38.677726000001712</v>
      </c>
      <c r="P198">
        <f>O198/(2*H198*J198)</f>
        <v>5.5014540626887966E-2</v>
      </c>
      <c r="Q198">
        <f>P198*16.02</f>
        <v>0.88133294084274516</v>
      </c>
    </row>
    <row r="199" spans="2:18" x14ac:dyDescent="0.2">
      <c r="C199">
        <v>100000</v>
      </c>
      <c r="D199">
        <v>1115.3863859999999</v>
      </c>
      <c r="E199">
        <v>-17345.510234000001</v>
      </c>
      <c r="F199">
        <v>73378.709833999994</v>
      </c>
      <c r="G199">
        <v>-6.6282999999999995E-2</v>
      </c>
      <c r="H199">
        <v>25.941374</v>
      </c>
      <c r="I199">
        <v>207.57439299999999</v>
      </c>
      <c r="J199">
        <v>13.627087</v>
      </c>
      <c r="K199">
        <v>2682</v>
      </c>
      <c r="L199">
        <v>998</v>
      </c>
      <c r="M199">
        <f>L199/(L199+K199)</f>
        <v>0.27119565217391306</v>
      </c>
      <c r="N199">
        <f t="shared" si="31"/>
        <v>-4.7224325</v>
      </c>
      <c r="O199">
        <f>E199-(SUM(K199:L199)*N199)</f>
        <v>33.041365999997652</v>
      </c>
      <c r="P199">
        <f>O199/(2*H199*J199)</f>
        <v>4.6733896712118674E-2</v>
      </c>
      <c r="Q199">
        <f>P199*16.02</f>
        <v>0.74867702532814118</v>
      </c>
    </row>
    <row r="200" spans="2:18" x14ac:dyDescent="0.2">
      <c r="C200">
        <v>100000</v>
      </c>
      <c r="D200">
        <v>1115.8156839999999</v>
      </c>
      <c r="E200">
        <v>-17602.805202</v>
      </c>
      <c r="F200">
        <v>72767.213130000004</v>
      </c>
      <c r="G200">
        <v>-0.21288699999999999</v>
      </c>
      <c r="H200">
        <v>25.869112999999999</v>
      </c>
      <c r="I200">
        <v>206.99618000000001</v>
      </c>
      <c r="J200">
        <v>13.589128000000001</v>
      </c>
      <c r="K200">
        <v>2582</v>
      </c>
      <c r="L200">
        <v>1098</v>
      </c>
      <c r="M200">
        <f>L200/(L200+K200)</f>
        <v>0.29836956521739133</v>
      </c>
      <c r="N200">
        <f t="shared" si="31"/>
        <v>-4.7933075000000001</v>
      </c>
      <c r="O200">
        <f>E200-(SUM(K200:L200)*N200)</f>
        <v>36.566397999999026</v>
      </c>
      <c r="P200">
        <f>O200/(2*H200*J200)</f>
        <v>5.2009066524766598E-2</v>
      </c>
      <c r="Q200">
        <f>P200*16.02</f>
        <v>0.83318524572676089</v>
      </c>
    </row>
    <row r="201" spans="2:18" x14ac:dyDescent="0.2">
      <c r="Q201" s="1">
        <f>AVERAGE(Q196:Q200)</f>
        <v>0.8742593577833434</v>
      </c>
      <c r="R201">
        <f>STDEV(Q196:Q200)</f>
        <v>8.8233766610722089E-2</v>
      </c>
    </row>
    <row r="202" spans="2:18" x14ac:dyDescent="0.2">
      <c r="B202" t="s">
        <v>22</v>
      </c>
      <c r="C202">
        <v>100000</v>
      </c>
      <c r="D202">
        <v>1041.0848840000001</v>
      </c>
      <c r="E202">
        <v>-18082.669473000002</v>
      </c>
      <c r="F202">
        <v>74673.789942000003</v>
      </c>
      <c r="G202">
        <v>0.33624500000000002</v>
      </c>
      <c r="H202">
        <v>30.286671999999999</v>
      </c>
      <c r="I202">
        <v>91.016384000000002</v>
      </c>
      <c r="J202">
        <v>27.089237000000001</v>
      </c>
      <c r="K202">
        <v>2623</v>
      </c>
      <c r="L202">
        <v>1153</v>
      </c>
      <c r="M202">
        <f>L202/(L202+K202)</f>
        <v>0.30534957627118642</v>
      </c>
      <c r="N202">
        <f>-4.0151-2.6082*M202</f>
        <v>-4.8115127648305087</v>
      </c>
      <c r="O202">
        <f>E202-(SUM(K202:L202)*N202)</f>
        <v>85.602726999997685</v>
      </c>
      <c r="P202">
        <f>O202/(2*H202*J202)</f>
        <v>5.2168611431545726E-2</v>
      </c>
      <c r="Q202">
        <f>P202*16.02</f>
        <v>0.83574115513336256</v>
      </c>
    </row>
    <row r="203" spans="2:18" x14ac:dyDescent="0.2">
      <c r="C203">
        <v>100000</v>
      </c>
      <c r="D203">
        <v>1040.9099779999999</v>
      </c>
      <c r="E203">
        <v>-17956.625807</v>
      </c>
      <c r="F203">
        <v>74973.873726000005</v>
      </c>
      <c r="G203">
        <v>0.23150499999999999</v>
      </c>
      <c r="H203">
        <v>30.327188</v>
      </c>
      <c r="I203">
        <v>91.138141000000005</v>
      </c>
      <c r="J203">
        <v>27.125475000000002</v>
      </c>
      <c r="K203">
        <v>2673</v>
      </c>
      <c r="L203">
        <v>1103</v>
      </c>
      <c r="M203">
        <f>L203/(L203+K203)</f>
        <v>0.29210805084745761</v>
      </c>
      <c r="N203">
        <f t="shared" ref="N203:N206" si="32">-4.0151-2.6082*M203</f>
        <v>-4.776976218220339</v>
      </c>
      <c r="O203">
        <f>E203-(SUM(K203:L203)*N203)</f>
        <v>81.236392999999225</v>
      </c>
      <c r="P203">
        <f>O203/(2*H203*J203)</f>
        <v>4.9375458422901045E-2</v>
      </c>
      <c r="Q203">
        <f>P203*16.02</f>
        <v>0.79099484393487474</v>
      </c>
    </row>
    <row r="204" spans="2:18" x14ac:dyDescent="0.2">
      <c r="C204">
        <v>100000</v>
      </c>
      <c r="D204">
        <v>1041.1183149999999</v>
      </c>
      <c r="E204">
        <v>-18022.791262999999</v>
      </c>
      <c r="F204">
        <v>74837.361076000001</v>
      </c>
      <c r="G204">
        <v>0.20295299999999999</v>
      </c>
      <c r="H204">
        <v>30.308771</v>
      </c>
      <c r="I204">
        <v>91.082792999999995</v>
      </c>
      <c r="J204">
        <v>27.109002</v>
      </c>
      <c r="K204">
        <v>2647</v>
      </c>
      <c r="L204">
        <v>1129</v>
      </c>
      <c r="M204">
        <f>L204/(L204+K204)</f>
        <v>0.2989936440677966</v>
      </c>
      <c r="N204">
        <f t="shared" si="32"/>
        <v>-4.7949352224576272</v>
      </c>
      <c r="O204">
        <f>E204-(SUM(K204:L204)*N204)</f>
        <v>82.884137000000919</v>
      </c>
      <c r="P204">
        <f>O204/(2*H204*J204)</f>
        <v>5.0438198704208355E-2</v>
      </c>
      <c r="Q204">
        <f>P204*16.02</f>
        <v>0.80801994324141779</v>
      </c>
    </row>
    <row r="205" spans="2:18" x14ac:dyDescent="0.2">
      <c r="C205">
        <v>100000</v>
      </c>
      <c r="D205">
        <v>1041.1070259999999</v>
      </c>
      <c r="E205">
        <v>-18089.050857999999</v>
      </c>
      <c r="F205">
        <v>74662.823208000002</v>
      </c>
      <c r="G205">
        <v>0.50912100000000005</v>
      </c>
      <c r="H205">
        <v>30.28519</v>
      </c>
      <c r="I205">
        <v>91.011928999999995</v>
      </c>
      <c r="J205">
        <v>27.087910999999998</v>
      </c>
      <c r="K205">
        <v>2622</v>
      </c>
      <c r="L205">
        <v>1154</v>
      </c>
      <c r="M205">
        <f>L205/(L205+K205)</f>
        <v>0.30561440677966101</v>
      </c>
      <c r="N205">
        <f t="shared" si="32"/>
        <v>-4.812203495762712</v>
      </c>
      <c r="O205">
        <f>E205-(SUM(K205:L205)*N205)</f>
        <v>81.82954200000313</v>
      </c>
      <c r="P205">
        <f>O205/(2*H205*J205)</f>
        <v>4.9874012326313402E-2</v>
      </c>
      <c r="Q205">
        <f>P205*16.02</f>
        <v>0.79898167746754067</v>
      </c>
    </row>
    <row r="206" spans="2:18" x14ac:dyDescent="0.2">
      <c r="C206">
        <v>100000</v>
      </c>
      <c r="D206">
        <v>1041.048483</v>
      </c>
      <c r="E206">
        <v>-18038.168291999998</v>
      </c>
      <c r="F206">
        <v>74787.457777999996</v>
      </c>
      <c r="G206">
        <v>0.57574199999999998</v>
      </c>
      <c r="H206">
        <v>30.302032000000001</v>
      </c>
      <c r="I206">
        <v>91.062541999999993</v>
      </c>
      <c r="J206">
        <v>27.102975000000001</v>
      </c>
      <c r="K206">
        <v>2642</v>
      </c>
      <c r="L206">
        <v>1134</v>
      </c>
      <c r="M206">
        <f>L206/(L206+K206)</f>
        <v>0.3003177966101695</v>
      </c>
      <c r="N206">
        <f t="shared" si="32"/>
        <v>-4.7983888771186445</v>
      </c>
      <c r="O206">
        <f>E206-(SUM(K206:L206)*N206)</f>
        <v>80.548108000002685</v>
      </c>
      <c r="P206">
        <f>O206/(2*H206*J206)</f>
        <v>4.9038438306527848E-2</v>
      </c>
      <c r="Q206">
        <f>P206*16.02</f>
        <v>0.78559578167057609</v>
      </c>
    </row>
    <row r="207" spans="2:18" x14ac:dyDescent="0.2">
      <c r="Q207" s="1">
        <f>AVERAGE(Q202:Q206)</f>
        <v>0.80386668028955444</v>
      </c>
      <c r="R207">
        <f>STDEV(Q202:Q206)</f>
        <v>1.9726916255294432E-2</v>
      </c>
    </row>
    <row r="208" spans="2:18" x14ac:dyDescent="0.2">
      <c r="B208" t="s">
        <v>33</v>
      </c>
      <c r="C208">
        <v>100000</v>
      </c>
      <c r="D208">
        <v>1115.346599</v>
      </c>
      <c r="E208">
        <v>-31098.978792000002</v>
      </c>
      <c r="F208">
        <v>128098.420529</v>
      </c>
      <c r="G208">
        <v>0.36284699999999998</v>
      </c>
      <c r="H208">
        <v>39.624270000000003</v>
      </c>
      <c r="I208">
        <v>237.810563</v>
      </c>
      <c r="J208">
        <v>13.594123</v>
      </c>
      <c r="K208">
        <v>4529</v>
      </c>
      <c r="L208">
        <v>1959</v>
      </c>
      <c r="M208">
        <f>L208/(L208+K208)</f>
        <v>0.30194204685573367</v>
      </c>
      <c r="N208">
        <f>-4.0151-2.6082*M208</f>
        <v>-4.802625246609125</v>
      </c>
      <c r="O208">
        <f>E208-(SUM(K208:L208)*N208)</f>
        <v>60.453808000002027</v>
      </c>
      <c r="P208">
        <f>O208/(2*H208*J208)</f>
        <v>5.6115288147508664E-2</v>
      </c>
      <c r="Q208">
        <f>P208*16.02</f>
        <v>0.89896691612308877</v>
      </c>
    </row>
    <row r="209" spans="2:18" x14ac:dyDescent="0.2">
      <c r="C209">
        <v>100000</v>
      </c>
      <c r="D209">
        <v>1115.765089</v>
      </c>
      <c r="E209">
        <v>-31030.547322999999</v>
      </c>
      <c r="F209">
        <v>128269.20282599999</v>
      </c>
      <c r="G209">
        <v>0.35495199999999999</v>
      </c>
      <c r="H209">
        <v>39.641871999999999</v>
      </c>
      <c r="I209">
        <v>237.916201</v>
      </c>
      <c r="J209">
        <v>13.600161999999999</v>
      </c>
      <c r="K209">
        <v>4556</v>
      </c>
      <c r="L209">
        <v>1932</v>
      </c>
      <c r="M209">
        <f>L209/(L209+K209)</f>
        <v>0.29778051787916154</v>
      </c>
      <c r="N209">
        <f t="shared" ref="N209:N212" si="33">-4.0151-2.6082*M209</f>
        <v>-4.7917711467324295</v>
      </c>
      <c r="O209">
        <f>E209-(SUM(K209:L209)*N209)</f>
        <v>58.463877000005596</v>
      </c>
      <c r="P209">
        <f>O209/(2*H209*J209)</f>
        <v>5.4219983347883E-2</v>
      </c>
      <c r="Q209">
        <f>P209*16.02</f>
        <v>0.86860413323308561</v>
      </c>
    </row>
    <row r="210" spans="2:18" x14ac:dyDescent="0.2">
      <c r="C210">
        <v>100000</v>
      </c>
      <c r="D210">
        <v>1115.4197859999999</v>
      </c>
      <c r="E210">
        <v>-31146.151006</v>
      </c>
      <c r="F210">
        <v>127997.664429</v>
      </c>
      <c r="G210">
        <v>2.0743000000000001E-2</v>
      </c>
      <c r="H210">
        <v>39.613878999999997</v>
      </c>
      <c r="I210">
        <v>237.748197</v>
      </c>
      <c r="J210">
        <v>13.590558</v>
      </c>
      <c r="K210">
        <v>4508</v>
      </c>
      <c r="L210">
        <v>1980</v>
      </c>
      <c r="M210">
        <f>L210/(L210+K210)</f>
        <v>0.30517879161528977</v>
      </c>
      <c r="N210">
        <f t="shared" si="33"/>
        <v>-4.8110673242909989</v>
      </c>
      <c r="O210">
        <f>E210-(SUM(K210:L210)*N210)</f>
        <v>68.053793999999471</v>
      </c>
      <c r="P210">
        <f>O210/(2*H210*J210)</f>
        <v>6.3202999186581454E-2</v>
      </c>
      <c r="Q210">
        <f>P210*16.02</f>
        <v>1.012512046969035</v>
      </c>
    </row>
    <row r="211" spans="2:18" x14ac:dyDescent="0.2">
      <c r="C211">
        <v>100000</v>
      </c>
      <c r="D211">
        <v>1115.9059299999999</v>
      </c>
      <c r="E211">
        <v>-31030.544752000002</v>
      </c>
      <c r="F211">
        <v>128255.954987</v>
      </c>
      <c r="G211">
        <v>-0.14191300000000001</v>
      </c>
      <c r="H211">
        <v>39.640506999999999</v>
      </c>
      <c r="I211">
        <v>237.90801099999999</v>
      </c>
      <c r="J211">
        <v>13.599693</v>
      </c>
      <c r="K211">
        <v>4553</v>
      </c>
      <c r="L211">
        <v>1935</v>
      </c>
      <c r="M211">
        <f>L211/(L211+K211)</f>
        <v>0.29824290998766956</v>
      </c>
      <c r="N211">
        <f t="shared" si="33"/>
        <v>-4.7929771578298404</v>
      </c>
      <c r="O211">
        <f>E211-(SUM(K211:L211)*N211)</f>
        <v>66.291048000002775</v>
      </c>
      <c r="P211">
        <f>O211/(2*H211*J211)</f>
        <v>6.1483217133008937E-2</v>
      </c>
      <c r="Q211">
        <f>P211*16.02</f>
        <v>0.98496113847080313</v>
      </c>
    </row>
    <row r="212" spans="2:18" x14ac:dyDescent="0.2">
      <c r="C212">
        <v>100000</v>
      </c>
      <c r="D212">
        <v>1115.5462299999999</v>
      </c>
      <c r="E212">
        <v>-30946.600807999999</v>
      </c>
      <c r="F212">
        <v>128477.829729</v>
      </c>
      <c r="G212">
        <v>-0.18074999999999999</v>
      </c>
      <c r="H212">
        <v>39.663353000000001</v>
      </c>
      <c r="I212">
        <v>238.04512299999999</v>
      </c>
      <c r="J212">
        <v>13.607531</v>
      </c>
      <c r="K212">
        <v>4590</v>
      </c>
      <c r="L212">
        <v>1898</v>
      </c>
      <c r="M212">
        <f>L212/(L212+K212)</f>
        <v>0.29254007398273735</v>
      </c>
      <c r="N212">
        <f t="shared" si="33"/>
        <v>-4.7781030209617761</v>
      </c>
      <c r="O212">
        <f>E212-(SUM(K212:L212)*N212)</f>
        <v>53.731592000003729</v>
      </c>
      <c r="P212">
        <f>O212/(2*H212*J212)</f>
        <v>4.9777256341214798E-2</v>
      </c>
      <c r="Q212">
        <f>P212*16.02</f>
        <v>0.79743164658626109</v>
      </c>
    </row>
    <row r="213" spans="2:18" x14ac:dyDescent="0.2">
      <c r="Q213" s="1">
        <f>AVERAGE(Q208:Q212)</f>
        <v>0.91249517627645482</v>
      </c>
      <c r="R213">
        <f>STDEV(Q208:Q212)</f>
        <v>8.7469628224411636E-2</v>
      </c>
    </row>
    <row r="214" spans="2:18" x14ac:dyDescent="0.2">
      <c r="B214" t="s">
        <v>34</v>
      </c>
      <c r="C214">
        <v>100000</v>
      </c>
      <c r="D214">
        <v>1115.8119240000001</v>
      </c>
      <c r="E214">
        <v>-15815.968757000001</v>
      </c>
      <c r="F214">
        <v>65064.204374000001</v>
      </c>
      <c r="G214">
        <v>-4.1700000000000001E-2</v>
      </c>
      <c r="H214">
        <v>24.472645</v>
      </c>
      <c r="I214">
        <v>195.82439500000001</v>
      </c>
      <c r="J214">
        <v>13.576696999999999</v>
      </c>
      <c r="K214">
        <v>2292</v>
      </c>
      <c r="L214">
        <v>1004</v>
      </c>
      <c r="M214">
        <f>L214/(L214+K214)</f>
        <v>0.30461165048543687</v>
      </c>
      <c r="N214">
        <f>-4.0151-2.6082*M214</f>
        <v>-4.8095881067961166</v>
      </c>
      <c r="O214">
        <f>E214-(SUM(K214:L214)*N214)</f>
        <v>36.433643000000302</v>
      </c>
      <c r="P214">
        <f>O214/(2*H214*J214)</f>
        <v>5.4827389312962535E-2</v>
      </c>
      <c r="Q214">
        <f>P214*16.02</f>
        <v>0.87833477679365979</v>
      </c>
    </row>
    <row r="215" spans="2:18" x14ac:dyDescent="0.2">
      <c r="C215">
        <v>100000</v>
      </c>
      <c r="D215">
        <v>1116.0489339999999</v>
      </c>
      <c r="E215">
        <v>-15654.261033000001</v>
      </c>
      <c r="F215">
        <v>65404.002452000001</v>
      </c>
      <c r="G215">
        <v>0.15576699999999999</v>
      </c>
      <c r="H215">
        <v>24.515173000000001</v>
      </c>
      <c r="I215">
        <v>196.16469599999999</v>
      </c>
      <c r="J215">
        <v>13.600289999999999</v>
      </c>
      <c r="K215">
        <v>2357</v>
      </c>
      <c r="L215">
        <v>939</v>
      </c>
      <c r="M215">
        <f>L215/(L215+K215)</f>
        <v>0.28489077669902912</v>
      </c>
      <c r="N215">
        <f t="shared" ref="N215:N218" si="34">-4.0151-2.6082*M215</f>
        <v>-4.7581521237864077</v>
      </c>
      <c r="O215">
        <f>E215-(SUM(K215:L215)*N215)</f>
        <v>28.608366999998907</v>
      </c>
      <c r="P215">
        <f>O215/(2*H215*J215)</f>
        <v>4.290223737700103E-2</v>
      </c>
      <c r="Q215">
        <f>P215*16.02</f>
        <v>0.68729384277955652</v>
      </c>
    </row>
    <row r="216" spans="2:18" x14ac:dyDescent="0.2">
      <c r="C216">
        <v>100000</v>
      </c>
      <c r="D216">
        <v>1116.05393</v>
      </c>
      <c r="E216">
        <v>-15772.402905999999</v>
      </c>
      <c r="F216">
        <v>65153.938645000002</v>
      </c>
      <c r="G216">
        <v>0.30990200000000001</v>
      </c>
      <c r="H216">
        <v>24.483889999999999</v>
      </c>
      <c r="I216">
        <v>195.91437999999999</v>
      </c>
      <c r="J216">
        <v>13.582936</v>
      </c>
      <c r="K216">
        <v>2309</v>
      </c>
      <c r="L216">
        <v>987</v>
      </c>
      <c r="M216">
        <f>L216/(L216+K216)</f>
        <v>0.29945388349514562</v>
      </c>
      <c r="N216">
        <f t="shared" si="34"/>
        <v>-4.7961356189320394</v>
      </c>
      <c r="O216">
        <f>E216-(SUM(K216:L216)*N216)</f>
        <v>35.660094000002573</v>
      </c>
      <c r="P216">
        <f>O216/(2*H216*J216)</f>
        <v>5.3614025174628981E-2</v>
      </c>
      <c r="Q216">
        <f>P216*16.02</f>
        <v>0.8588966832975562</v>
      </c>
    </row>
    <row r="217" spans="2:18" x14ac:dyDescent="0.2">
      <c r="C217">
        <v>100000</v>
      </c>
      <c r="D217">
        <v>1115.6635229999999</v>
      </c>
      <c r="E217">
        <v>-15709.363261</v>
      </c>
      <c r="F217">
        <v>65291.766089999997</v>
      </c>
      <c r="G217">
        <v>0.125358</v>
      </c>
      <c r="H217">
        <v>24.501142000000002</v>
      </c>
      <c r="I217">
        <v>196.052425</v>
      </c>
      <c r="J217">
        <v>13.592506200000001</v>
      </c>
      <c r="K217">
        <v>2335</v>
      </c>
      <c r="L217">
        <v>961</v>
      </c>
      <c r="M217">
        <f>L217/(L217+K217)</f>
        <v>0.29156553398058255</v>
      </c>
      <c r="N217">
        <f t="shared" si="34"/>
        <v>-4.7755612257281559</v>
      </c>
      <c r="O217">
        <f>E217-(SUM(K217:L217)*N217)</f>
        <v>30.886539000000994</v>
      </c>
      <c r="P217">
        <f>O217/(2*H217*J217)</f>
        <v>4.6371739049447053E-2</v>
      </c>
      <c r="Q217">
        <f>P217*16.02</f>
        <v>0.74287525957214173</v>
      </c>
    </row>
    <row r="218" spans="2:18" x14ac:dyDescent="0.2">
      <c r="C218">
        <v>100000</v>
      </c>
      <c r="D218">
        <v>1115.6338310000001</v>
      </c>
      <c r="E218">
        <v>-15732.367162</v>
      </c>
      <c r="F218">
        <v>65222.399636000002</v>
      </c>
      <c r="G218">
        <v>0.22590499999999999</v>
      </c>
      <c r="H218">
        <v>24.492463000000001</v>
      </c>
      <c r="I218">
        <v>195.98297600000001</v>
      </c>
      <c r="J218">
        <v>13.587691</v>
      </c>
      <c r="K218">
        <v>2327</v>
      </c>
      <c r="L218">
        <v>969</v>
      </c>
      <c r="M218">
        <f>L218/(L218+K218)</f>
        <v>0.29399271844660196</v>
      </c>
      <c r="N218">
        <f t="shared" si="34"/>
        <v>-4.7818918082524275</v>
      </c>
      <c r="O218">
        <f>E218-(SUM(K218:L218)*N218)</f>
        <v>28.748238000000129</v>
      </c>
      <c r="P218">
        <f>O218/(2*H218*J218)</f>
        <v>4.3191980000367565E-2</v>
      </c>
      <c r="Q218">
        <f>P218*16.02</f>
        <v>0.69193551960588839</v>
      </c>
    </row>
    <row r="219" spans="2:18" x14ac:dyDescent="0.2">
      <c r="Q219" s="1">
        <f>AVERAGE(Q214:Q218)</f>
        <v>0.77186721640976053</v>
      </c>
      <c r="R219">
        <f>STDEV(Q214:Q218)</f>
        <v>9.1230113947215544E-2</v>
      </c>
    </row>
    <row r="220" spans="2:18" x14ac:dyDescent="0.2">
      <c r="B220" t="s">
        <v>35</v>
      </c>
      <c r="C220">
        <v>100000</v>
      </c>
      <c r="D220">
        <v>1115.4340030000001</v>
      </c>
      <c r="E220">
        <v>-22661.37774</v>
      </c>
      <c r="F220">
        <v>94126.609960999995</v>
      </c>
      <c r="G220">
        <v>9.9556000000000006E-2</v>
      </c>
      <c r="H220">
        <v>33.975588000000002</v>
      </c>
      <c r="I220">
        <v>203.85353000000001</v>
      </c>
      <c r="J220">
        <v>13.590235</v>
      </c>
      <c r="K220">
        <v>3364</v>
      </c>
      <c r="L220">
        <v>1388</v>
      </c>
      <c r="M220">
        <f>L220/(L220+K220)</f>
        <v>0.29208754208754206</v>
      </c>
      <c r="N220">
        <f>-4.0151-2.6082*M220</f>
        <v>-4.7769227272727273</v>
      </c>
      <c r="O220">
        <f>E220-(SUM(K220:L220)*N220)</f>
        <v>38.55905999999959</v>
      </c>
      <c r="P220">
        <f>O220/(2*H220*J220)</f>
        <v>4.1754423734787584E-2</v>
      </c>
      <c r="Q220">
        <f>P220*16.02</f>
        <v>0.66890586823129705</v>
      </c>
    </row>
    <row r="221" spans="2:18" x14ac:dyDescent="0.2">
      <c r="C221">
        <v>100000</v>
      </c>
      <c r="D221">
        <v>1115.5246099999999</v>
      </c>
      <c r="E221">
        <v>-22720.737954</v>
      </c>
      <c r="F221">
        <v>93936.008210999993</v>
      </c>
      <c r="G221">
        <v>-9.7324999999999995E-2</v>
      </c>
      <c r="H221">
        <v>33.952640000000002</v>
      </c>
      <c r="I221">
        <v>203.71583899999999</v>
      </c>
      <c r="J221">
        <v>13.581056</v>
      </c>
      <c r="K221">
        <v>3341</v>
      </c>
      <c r="L221">
        <v>1411</v>
      </c>
      <c r="M221">
        <f>L221/(L221+K221)</f>
        <v>0.29692760942760943</v>
      </c>
      <c r="N221">
        <f t="shared" ref="N221:N224" si="35">-4.0151-2.6082*M221</f>
        <v>-4.7895465909090911</v>
      </c>
      <c r="O221">
        <f>E221-(SUM(K221:L221)*N221)</f>
        <v>39.187445999999909</v>
      </c>
      <c r="P221">
        <f>O221/(2*H221*J221)</f>
        <v>4.2492264428103763E-2</v>
      </c>
      <c r="Q221">
        <f>P221*16.02</f>
        <v>0.68072607613822222</v>
      </c>
    </row>
    <row r="222" spans="2:18" x14ac:dyDescent="0.2">
      <c r="C222">
        <v>100000</v>
      </c>
      <c r="D222">
        <v>1115.7318680000001</v>
      </c>
      <c r="E222">
        <v>-22783.474450999998</v>
      </c>
      <c r="F222">
        <v>93785.753865999999</v>
      </c>
      <c r="G222">
        <v>0.30495</v>
      </c>
      <c r="H222">
        <v>33.934528</v>
      </c>
      <c r="I222">
        <v>203.60716500000001</v>
      </c>
      <c r="J222">
        <v>13.573810999999999</v>
      </c>
      <c r="K222">
        <v>3316</v>
      </c>
      <c r="L222">
        <v>1436</v>
      </c>
      <c r="M222">
        <f>L222/(L222+K222)</f>
        <v>0.30218855218855217</v>
      </c>
      <c r="N222">
        <f t="shared" si="35"/>
        <v>-4.8032681818181819</v>
      </c>
      <c r="O222">
        <f>E222-(SUM(K222:L222)*N222)</f>
        <v>41.655949000003602</v>
      </c>
      <c r="P222">
        <f>O222/(2*H222*J222)</f>
        <v>4.5217175081629958E-2</v>
      </c>
      <c r="Q222">
        <f>P222*16.02</f>
        <v>0.72437914480771193</v>
      </c>
    </row>
    <row r="223" spans="2:18" x14ac:dyDescent="0.2">
      <c r="C223">
        <v>100000</v>
      </c>
      <c r="D223">
        <v>1115.6864430000001</v>
      </c>
      <c r="E223">
        <v>-22617.087767000001</v>
      </c>
      <c r="F223">
        <v>94183.198848999993</v>
      </c>
      <c r="G223">
        <v>-0.116244</v>
      </c>
      <c r="H223">
        <v>33.982396000000001</v>
      </c>
      <c r="I223">
        <v>203.894374</v>
      </c>
      <c r="J223">
        <v>13.592957999999999</v>
      </c>
      <c r="K223">
        <v>3377</v>
      </c>
      <c r="L223">
        <v>1375</v>
      </c>
      <c r="M223">
        <f>L223/(L223+K223)</f>
        <v>0.28935185185185186</v>
      </c>
      <c r="N223">
        <f t="shared" si="35"/>
        <v>-4.7697875000000005</v>
      </c>
      <c r="O223">
        <f>E223-(SUM(K223:L223)*N223)</f>
        <v>48.942433000000165</v>
      </c>
      <c r="P223">
        <f>O223/(2*H223*J223)</f>
        <v>5.2977027637621688E-2</v>
      </c>
      <c r="Q223">
        <f>P223*16.02</f>
        <v>0.84869198275469937</v>
      </c>
    </row>
    <row r="224" spans="2:18" x14ac:dyDescent="0.2">
      <c r="C224">
        <v>100000</v>
      </c>
      <c r="D224">
        <v>1115.760642</v>
      </c>
      <c r="E224">
        <v>-22592.293462000001</v>
      </c>
      <c r="F224">
        <v>94264.395806</v>
      </c>
      <c r="G224">
        <v>1.0222E-2</v>
      </c>
      <c r="H224">
        <v>33.992158000000003</v>
      </c>
      <c r="I224">
        <v>203.95294899999999</v>
      </c>
      <c r="J224">
        <v>13.5968632</v>
      </c>
      <c r="K224">
        <v>3390</v>
      </c>
      <c r="L224">
        <v>1362</v>
      </c>
      <c r="M224">
        <f>L224/(L224+K224)</f>
        <v>0.2866161616161616</v>
      </c>
      <c r="N224">
        <f t="shared" si="35"/>
        <v>-4.7626522727272729</v>
      </c>
      <c r="O224">
        <f>E224-(SUM(K224:L224)*N224)</f>
        <v>39.830137999997532</v>
      </c>
      <c r="P224">
        <f>O224/(2*H224*J224)</f>
        <v>4.3088795163252945E-2</v>
      </c>
      <c r="Q224">
        <f>P224*16.02</f>
        <v>0.6902824985153122</v>
      </c>
    </row>
    <row r="225" spans="2:18" x14ac:dyDescent="0.2">
      <c r="Q225" s="1">
        <f>AVERAGE(Q220:Q224)</f>
        <v>0.72259711408944871</v>
      </c>
      <c r="R225">
        <f>STDEV(Q220:Q224)</f>
        <v>7.3456210795625379E-2</v>
      </c>
    </row>
    <row r="227" spans="2:18" x14ac:dyDescent="0.2">
      <c r="B227" t="s">
        <v>66</v>
      </c>
      <c r="C227" t="s">
        <v>52</v>
      </c>
      <c r="D227" t="s">
        <v>13</v>
      </c>
      <c r="E227" t="s">
        <v>4</v>
      </c>
      <c r="F227" t="s">
        <v>5</v>
      </c>
      <c r="G227" t="s">
        <v>14</v>
      </c>
      <c r="H227" t="s">
        <v>15</v>
      </c>
      <c r="I227" t="s">
        <v>16</v>
      </c>
      <c r="J227" t="s">
        <v>17</v>
      </c>
      <c r="K227" t="s">
        <v>18</v>
      </c>
      <c r="L227" t="s">
        <v>19</v>
      </c>
      <c r="M227" t="s">
        <v>9</v>
      </c>
      <c r="N227" t="s">
        <v>20</v>
      </c>
      <c r="O227" t="s">
        <v>8</v>
      </c>
      <c r="P227" t="s">
        <v>21</v>
      </c>
      <c r="Q227" t="s">
        <v>21</v>
      </c>
    </row>
    <row r="228" spans="2:18" x14ac:dyDescent="0.2">
      <c r="B228" t="s">
        <v>25</v>
      </c>
      <c r="C228">
        <v>100000</v>
      </c>
      <c r="D228">
        <v>1040.656131</v>
      </c>
      <c r="E228">
        <v>-22845.512190000001</v>
      </c>
      <c r="F228">
        <v>68890.766285999998</v>
      </c>
      <c r="G228">
        <v>0.61558299999999999</v>
      </c>
      <c r="H228">
        <v>29.618631000000001</v>
      </c>
      <c r="I228">
        <v>177.75346099999999</v>
      </c>
      <c r="J228">
        <v>13.085122</v>
      </c>
      <c r="K228">
        <v>1109</v>
      </c>
      <c r="L228">
        <v>2795</v>
      </c>
      <c r="M228">
        <f>L228/(L228+K228)</f>
        <v>0.71593237704918034</v>
      </c>
      <c r="N228">
        <f>-3.9489-2.6738*M228</f>
        <v>-5.8631599897540987</v>
      </c>
      <c r="O228">
        <f>E228-(SUM(K228:L228)*N228)</f>
        <v>44.264409999999771</v>
      </c>
      <c r="P228">
        <f>O228/(2*H228*J228)</f>
        <v>5.7106024443570935E-2</v>
      </c>
      <c r="Q228">
        <f>P228*16.02</f>
        <v>0.91483851158600638</v>
      </c>
    </row>
    <row r="229" spans="2:18" x14ac:dyDescent="0.2">
      <c r="C229">
        <v>100000</v>
      </c>
      <c r="D229">
        <v>1040.8546180000001</v>
      </c>
      <c r="E229">
        <v>-22826.841232999999</v>
      </c>
      <c r="F229">
        <v>68935.640929000001</v>
      </c>
      <c r="G229">
        <v>0.66681500000000005</v>
      </c>
      <c r="H229">
        <v>29.625060999999999</v>
      </c>
      <c r="I229">
        <v>177.79204899999999</v>
      </c>
      <c r="J229">
        <v>13.087961999999999</v>
      </c>
      <c r="K229">
        <v>1113</v>
      </c>
      <c r="L229">
        <v>2791</v>
      </c>
      <c r="M229">
        <f>L229/(L229+K229)</f>
        <v>0.71490778688524592</v>
      </c>
      <c r="N229">
        <f t="shared" ref="N229:N232" si="36">-3.9489-2.6738*M229</f>
        <v>-5.8604204405737708</v>
      </c>
      <c r="O229">
        <f>E229-(SUM(K229:L229)*N229)</f>
        <v>52.240167000003566</v>
      </c>
      <c r="P229">
        <f>O229/(2*H229*J229)</f>
        <v>6.7366391101848166E-2</v>
      </c>
      <c r="Q229">
        <f>P229*16.02</f>
        <v>1.0792095854516075</v>
      </c>
    </row>
    <row r="230" spans="2:18" x14ac:dyDescent="0.2">
      <c r="C230">
        <v>100000</v>
      </c>
      <c r="D230">
        <v>1040.6268419999999</v>
      </c>
      <c r="E230">
        <v>-22705.72596</v>
      </c>
      <c r="F230">
        <v>69158.683069999999</v>
      </c>
      <c r="G230">
        <v>0.487925</v>
      </c>
      <c r="H230">
        <v>29.656977999999999</v>
      </c>
      <c r="I230">
        <v>177.98359199999999</v>
      </c>
      <c r="J230">
        <v>13.102062999999999</v>
      </c>
      <c r="K230">
        <v>1163</v>
      </c>
      <c r="L230">
        <v>2741</v>
      </c>
      <c r="M230">
        <f>L230/(L230+K230)</f>
        <v>0.70210040983606559</v>
      </c>
      <c r="N230">
        <f t="shared" si="36"/>
        <v>-5.8261760758196726</v>
      </c>
      <c r="O230">
        <f>E230-(SUM(K230:L230)*N230)</f>
        <v>39.665440000000672</v>
      </c>
      <c r="P230">
        <f>O230/(2*H230*J230)</f>
        <v>5.104059190424437E-2</v>
      </c>
      <c r="Q230">
        <f>P230*16.02</f>
        <v>0.81767028230599481</v>
      </c>
    </row>
    <row r="231" spans="2:18" x14ac:dyDescent="0.2">
      <c r="C231">
        <v>100000</v>
      </c>
      <c r="D231">
        <v>1040.9941630000001</v>
      </c>
      <c r="E231">
        <v>-22831.243256999998</v>
      </c>
      <c r="F231">
        <v>68928.514546000006</v>
      </c>
      <c r="G231">
        <v>0.56163399999999997</v>
      </c>
      <c r="H231">
        <v>29.624040000000001</v>
      </c>
      <c r="I231">
        <v>177.785923</v>
      </c>
      <c r="J231">
        <v>13.087510999999999</v>
      </c>
      <c r="K231">
        <v>1115</v>
      </c>
      <c r="L231">
        <v>2789</v>
      </c>
      <c r="M231">
        <f>L231/(L231+K231)</f>
        <v>0.71439549180327866</v>
      </c>
      <c r="N231">
        <f t="shared" si="36"/>
        <v>-5.8590506659836068</v>
      </c>
      <c r="O231">
        <f>E231-(SUM(K231:L231)*N231)</f>
        <v>42.490543000003527</v>
      </c>
      <c r="P231">
        <f>O231/(2*H231*J231)</f>
        <v>5.4797524599128483E-2</v>
      </c>
      <c r="Q231">
        <f>P231*16.02</f>
        <v>0.87785634407803825</v>
      </c>
    </row>
    <row r="232" spans="2:18" x14ac:dyDescent="0.2">
      <c r="C232">
        <v>100000</v>
      </c>
      <c r="D232">
        <v>1040.963405</v>
      </c>
      <c r="E232">
        <v>-22803.066245999999</v>
      </c>
      <c r="F232">
        <v>68998.469444000002</v>
      </c>
      <c r="G232">
        <v>0.65307999999999999</v>
      </c>
      <c r="H232">
        <v>29.634059000000001</v>
      </c>
      <c r="I232">
        <v>177.846047</v>
      </c>
      <c r="J232">
        <v>13.091937</v>
      </c>
      <c r="K232">
        <v>1126</v>
      </c>
      <c r="L232">
        <v>2778</v>
      </c>
      <c r="M232">
        <f>L232/(L232+K232)</f>
        <v>0.71157786885245899</v>
      </c>
      <c r="N232">
        <f t="shared" si="36"/>
        <v>-5.8515169057377054</v>
      </c>
      <c r="O232">
        <f>E232-(SUM(K232:L232)*N232)</f>
        <v>41.255754000005254</v>
      </c>
      <c r="P232">
        <f>O232/(2*H232*J232)</f>
        <v>5.3169121564346292E-2</v>
      </c>
      <c r="Q232">
        <f>P232*16.02</f>
        <v>0.85176932746082756</v>
      </c>
    </row>
    <row r="233" spans="2:18" x14ac:dyDescent="0.2">
      <c r="Q233" s="1">
        <f>AVERAGE(Q228:Q232)</f>
        <v>0.90826881017649475</v>
      </c>
      <c r="R233">
        <f>STDEV(Q228:Q232)</f>
        <v>0.1019670443352854</v>
      </c>
    </row>
    <row r="234" spans="2:18" x14ac:dyDescent="0.2">
      <c r="B234" t="s">
        <v>30</v>
      </c>
      <c r="C234">
        <v>100000</v>
      </c>
      <c r="D234">
        <v>1115.5441860000001</v>
      </c>
      <c r="E234">
        <v>-18511.357975999999</v>
      </c>
      <c r="F234">
        <v>55961.236886999999</v>
      </c>
      <c r="G234">
        <v>0.17180000000000001</v>
      </c>
      <c r="H234">
        <v>23.121759000000001</v>
      </c>
      <c r="I234">
        <v>185.01573500000001</v>
      </c>
      <c r="J234">
        <v>13.0815</v>
      </c>
      <c r="K234">
        <v>906</v>
      </c>
      <c r="L234">
        <v>2262</v>
      </c>
      <c r="M234">
        <f>L234/(L234+K234)</f>
        <v>0.71401515151515149</v>
      </c>
      <c r="N234">
        <f>-3.9489-2.6738*M234</f>
        <v>-5.8580337121212125</v>
      </c>
      <c r="O234">
        <f>E234-(SUM(K234:L234)*N234)</f>
        <v>46.892824000002292</v>
      </c>
      <c r="P234">
        <f>O234/(2*H234*J234)</f>
        <v>7.7517182013999708E-2</v>
      </c>
      <c r="Q234">
        <f>P234*16.02</f>
        <v>1.2418252558642753</v>
      </c>
    </row>
    <row r="235" spans="2:18" x14ac:dyDescent="0.2">
      <c r="C235">
        <v>100000</v>
      </c>
      <c r="D235">
        <v>1115.6412969999999</v>
      </c>
      <c r="E235">
        <v>-18592.783998999999</v>
      </c>
      <c r="F235">
        <v>55847.747639000001</v>
      </c>
      <c r="G235">
        <v>0.18340600000000001</v>
      </c>
      <c r="H235">
        <v>23.106117999999999</v>
      </c>
      <c r="I235">
        <v>184.89058</v>
      </c>
      <c r="J235">
        <v>13.072651</v>
      </c>
      <c r="K235">
        <v>880</v>
      </c>
      <c r="L235">
        <v>2288</v>
      </c>
      <c r="M235">
        <f>L235/(L235+K235)</f>
        <v>0.72222222222222221</v>
      </c>
      <c r="N235">
        <f t="shared" ref="N235:N238" si="37">-3.9489-2.6738*M235</f>
        <v>-5.8799777777777775</v>
      </c>
      <c r="O235">
        <f>E235-(SUM(K235:L235)*N235)</f>
        <v>34.985601000000315</v>
      </c>
      <c r="P235">
        <f>O235/(2*H235*J235)</f>
        <v>5.7912016756662694E-2</v>
      </c>
      <c r="Q235">
        <f>P235*16.02</f>
        <v>0.92775050844173634</v>
      </c>
    </row>
    <row r="236" spans="2:18" x14ac:dyDescent="0.2">
      <c r="C236">
        <v>100000</v>
      </c>
      <c r="D236">
        <v>1115.546578</v>
      </c>
      <c r="E236">
        <v>-18505.186473999998</v>
      </c>
      <c r="F236">
        <v>55976.599333999999</v>
      </c>
      <c r="G236">
        <v>-3.2789999999999998E-3</v>
      </c>
      <c r="H236">
        <v>23.123875000000002</v>
      </c>
      <c r="I236">
        <v>185.03266400000001</v>
      </c>
      <c r="J236">
        <v>13.082697</v>
      </c>
      <c r="K236">
        <v>911</v>
      </c>
      <c r="L236">
        <v>2257</v>
      </c>
      <c r="M236">
        <f>L236/(L236+K236)</f>
        <v>0.71243686868686873</v>
      </c>
      <c r="N236">
        <f t="shared" si="37"/>
        <v>-5.8538136994949497</v>
      </c>
      <c r="O236">
        <f>E236-(SUM(K236:L236)*N236)</f>
        <v>39.695326000000932</v>
      </c>
      <c r="P236">
        <f>O236/(2*H236*J236)</f>
        <v>6.5607196664575068E-2</v>
      </c>
      <c r="Q236">
        <f>P236*16.02</f>
        <v>1.0510272905664926</v>
      </c>
    </row>
    <row r="237" spans="2:18" x14ac:dyDescent="0.2">
      <c r="C237">
        <v>100000</v>
      </c>
      <c r="D237">
        <v>1115.2527789999999</v>
      </c>
      <c r="E237">
        <v>-18433.42139</v>
      </c>
      <c r="F237">
        <v>56124.499754999997</v>
      </c>
      <c r="G237">
        <v>0.12027599999999999</v>
      </c>
      <c r="H237">
        <v>23.144223</v>
      </c>
      <c r="I237">
        <v>185.19548399999999</v>
      </c>
      <c r="J237">
        <v>13.094208999999999</v>
      </c>
      <c r="K237">
        <v>939</v>
      </c>
      <c r="L237">
        <v>2229</v>
      </c>
      <c r="M237">
        <f>L237/(L237+K237)</f>
        <v>0.70359848484848486</v>
      </c>
      <c r="N237">
        <f t="shared" si="37"/>
        <v>-5.8301816287878792</v>
      </c>
      <c r="O237">
        <f>E237-(SUM(K237:L237)*N237)</f>
        <v>36.594010000000708</v>
      </c>
      <c r="P237">
        <f>O237/(2*H237*J237)</f>
        <v>6.0375137528730423E-2</v>
      </c>
      <c r="Q237">
        <f>P237*16.02</f>
        <v>0.96720970321026134</v>
      </c>
    </row>
    <row r="238" spans="2:18" x14ac:dyDescent="0.2">
      <c r="C238">
        <v>100000</v>
      </c>
      <c r="D238">
        <v>1115.545983</v>
      </c>
      <c r="E238">
        <v>-18468.384420999999</v>
      </c>
      <c r="F238">
        <v>56057.424750999999</v>
      </c>
      <c r="G238">
        <v>1.016483</v>
      </c>
      <c r="H238">
        <v>23.134999000000001</v>
      </c>
      <c r="I238">
        <v>185.12167500000001</v>
      </c>
      <c r="J238">
        <v>13.088990000000001</v>
      </c>
      <c r="K238">
        <v>923</v>
      </c>
      <c r="L238">
        <v>2245</v>
      </c>
      <c r="M238">
        <f>L238/(L238+K238)</f>
        <v>0.70864898989898994</v>
      </c>
      <c r="N238">
        <f t="shared" si="37"/>
        <v>-5.8436856691919195</v>
      </c>
      <c r="O238">
        <f>E238-(SUM(K238:L238)*N238)</f>
        <v>44.411779000001843</v>
      </c>
      <c r="P238">
        <f>O238/(2*H238*J238)</f>
        <v>7.333183513702507E-2</v>
      </c>
      <c r="Q238">
        <f>P238*16.02</f>
        <v>1.1747759988951416</v>
      </c>
    </row>
    <row r="239" spans="2:18" x14ac:dyDescent="0.2">
      <c r="Q239" s="1">
        <f>AVERAGE(Q234:Q238)</f>
        <v>1.0725177513955813</v>
      </c>
      <c r="R239">
        <f>STDEV(Q234:Q238)</f>
        <v>0.13381980403027607</v>
      </c>
    </row>
    <row r="240" spans="2:18" x14ac:dyDescent="0.2">
      <c r="B240" t="s">
        <v>24</v>
      </c>
      <c r="C240">
        <v>100000</v>
      </c>
      <c r="D240">
        <v>1115.301453</v>
      </c>
      <c r="E240">
        <v>-14406.712921</v>
      </c>
      <c r="F240">
        <v>43767.665471</v>
      </c>
      <c r="G240">
        <v>-0.162434</v>
      </c>
      <c r="H240">
        <v>33.378379000000002</v>
      </c>
      <c r="I240">
        <v>133.53436400000001</v>
      </c>
      <c r="J240">
        <v>9.819623</v>
      </c>
      <c r="K240">
        <v>712</v>
      </c>
      <c r="L240">
        <v>1760</v>
      </c>
      <c r="M240">
        <f>L240/(L240+K240)</f>
        <v>0.71197411003236244</v>
      </c>
      <c r="N240">
        <f>-3.9489-2.6738*M240</f>
        <v>-5.8525763754045306</v>
      </c>
      <c r="O240">
        <f>E240-(SUM(K240:L240)*N240)</f>
        <v>60.855878999998822</v>
      </c>
      <c r="P240">
        <f>O240/(2*H240*J240)</f>
        <v>9.2835159520694849E-2</v>
      </c>
      <c r="Q240">
        <f>P240*16.02</f>
        <v>1.4872192555215313</v>
      </c>
    </row>
    <row r="241" spans="2:18" x14ac:dyDescent="0.2">
      <c r="C241">
        <v>100000</v>
      </c>
      <c r="D241">
        <v>1115.3244910000001</v>
      </c>
      <c r="E241">
        <v>-14464.518373000001</v>
      </c>
      <c r="F241">
        <v>43666.151308</v>
      </c>
      <c r="G241">
        <v>-6.0879999999999997E-2</v>
      </c>
      <c r="H241">
        <v>33.352553999999998</v>
      </c>
      <c r="I241">
        <v>133.43104700000001</v>
      </c>
      <c r="J241">
        <v>9.8120250000000002</v>
      </c>
      <c r="K241">
        <v>696</v>
      </c>
      <c r="L241">
        <v>1776</v>
      </c>
      <c r="M241">
        <f>L241/(L241+K241)</f>
        <v>0.71844660194174759</v>
      </c>
      <c r="N241">
        <f t="shared" ref="N241:N244" si="38">-3.9489-2.6738*M241</f>
        <v>-5.8698825242718442</v>
      </c>
      <c r="O241">
        <f>E241-(SUM(K241:L241)*N241)</f>
        <v>45.831226999998762</v>
      </c>
      <c r="P241">
        <f>O241/(2*H241*J241)</f>
        <v>7.0023489077266271E-2</v>
      </c>
      <c r="Q241">
        <f>P241*16.02</f>
        <v>1.1217762950178056</v>
      </c>
    </row>
    <row r="242" spans="2:18" x14ac:dyDescent="0.2">
      <c r="C242">
        <v>100000</v>
      </c>
      <c r="D242">
        <v>1115.8819940000001</v>
      </c>
      <c r="E242">
        <v>-14433.450591999999</v>
      </c>
      <c r="F242">
        <v>43719.604963999998</v>
      </c>
      <c r="G242">
        <v>0.19275999999999999</v>
      </c>
      <c r="H242">
        <v>33.366157000000001</v>
      </c>
      <c r="I242">
        <v>133.485468</v>
      </c>
      <c r="J242">
        <v>9.8160270000000001</v>
      </c>
      <c r="K242">
        <v>705</v>
      </c>
      <c r="L242">
        <v>1767</v>
      </c>
      <c r="M242">
        <f>L242/(L242+K242)</f>
        <v>0.71480582524271841</v>
      </c>
      <c r="N242">
        <f t="shared" si="38"/>
        <v>-5.8601478155339803</v>
      </c>
      <c r="O242">
        <f>E242-(SUM(K242:L242)*N242)</f>
        <v>52.834807999999612</v>
      </c>
      <c r="P242">
        <f>O242/(2*H242*J242)</f>
        <v>8.0658140331042683E-2</v>
      </c>
      <c r="Q242">
        <f>P242*16.02</f>
        <v>1.2921434081033036</v>
      </c>
    </row>
    <row r="243" spans="2:18" x14ac:dyDescent="0.2">
      <c r="C243">
        <v>100000</v>
      </c>
      <c r="D243">
        <v>1115.852658</v>
      </c>
      <c r="E243">
        <v>-14395.930279</v>
      </c>
      <c r="F243">
        <v>43794.164598000003</v>
      </c>
      <c r="G243">
        <v>0.70174000000000003</v>
      </c>
      <c r="H243">
        <v>33.385112999999997</v>
      </c>
      <c r="I243">
        <v>133.561306</v>
      </c>
      <c r="J243">
        <v>9.8216040000000007</v>
      </c>
      <c r="K243">
        <v>721</v>
      </c>
      <c r="L243">
        <v>1751</v>
      </c>
      <c r="M243">
        <f>L243/(L243+K243)</f>
        <v>0.70833333333333337</v>
      </c>
      <c r="N243">
        <f t="shared" si="38"/>
        <v>-5.8428416666666667</v>
      </c>
      <c r="O243">
        <f>E243-(SUM(K243:L243)*N243)</f>
        <v>47.574321000000054</v>
      </c>
      <c r="P243">
        <f>O243/(2*H243*J243)</f>
        <v>7.2544974545803539E-2</v>
      </c>
      <c r="Q243">
        <f>P243*16.02</f>
        <v>1.1621704922237728</v>
      </c>
    </row>
    <row r="244" spans="2:18" x14ac:dyDescent="0.2">
      <c r="C244">
        <v>100000</v>
      </c>
      <c r="D244">
        <v>1115.5990119999999</v>
      </c>
      <c r="E244">
        <v>-14324.830751</v>
      </c>
      <c r="F244">
        <v>43881.589975000003</v>
      </c>
      <c r="G244">
        <v>1.4662580000000001</v>
      </c>
      <c r="H244">
        <v>33.407314</v>
      </c>
      <c r="I244">
        <v>133.65012200000001</v>
      </c>
      <c r="J244">
        <v>9.8281349999999996</v>
      </c>
      <c r="K244">
        <v>748</v>
      </c>
      <c r="L244">
        <v>1724</v>
      </c>
      <c r="M244">
        <f>L244/(L244+K244)</f>
        <v>0.69741100323624594</v>
      </c>
      <c r="N244">
        <f t="shared" si="38"/>
        <v>-5.8136375404530742</v>
      </c>
      <c r="O244">
        <f>E244-(SUM(K244:L244)*N244)</f>
        <v>46.481249000000389</v>
      </c>
      <c r="P244">
        <f>O244/(2*H244*J244)</f>
        <v>7.078400332995996E-2</v>
      </c>
      <c r="Q244">
        <f>P244*16.02</f>
        <v>1.1339597333459586</v>
      </c>
    </row>
    <row r="245" spans="2:18" x14ac:dyDescent="0.2">
      <c r="Q245" s="1">
        <f>AVERAGE(Q240:Q244)</f>
        <v>1.2394538368424743</v>
      </c>
      <c r="R245">
        <f>STDEV(Q240:Q244)</f>
        <v>0.15420247946348078</v>
      </c>
    </row>
    <row r="246" spans="2:18" x14ac:dyDescent="0.2">
      <c r="B246" t="s">
        <v>31</v>
      </c>
      <c r="C246">
        <v>100000</v>
      </c>
      <c r="D246">
        <v>1115.5309549999999</v>
      </c>
      <c r="E246">
        <v>-18836.914977</v>
      </c>
      <c r="F246">
        <v>57232.895986000003</v>
      </c>
      <c r="G246">
        <v>0.36620200000000003</v>
      </c>
      <c r="H246">
        <v>26.989422000000001</v>
      </c>
      <c r="I246">
        <v>161.957382</v>
      </c>
      <c r="J246">
        <v>13.093362000000001</v>
      </c>
      <c r="K246">
        <v>940</v>
      </c>
      <c r="L246">
        <v>2292</v>
      </c>
      <c r="M246">
        <f>L246/(L246+K246)</f>
        <v>0.70915841584158412</v>
      </c>
      <c r="N246">
        <f>-3.9489-2.6738*M246</f>
        <v>-5.845047772277228</v>
      </c>
      <c r="O246">
        <f>E246-(SUM(K246:L246)*N246)</f>
        <v>54.279422999999952</v>
      </c>
      <c r="P246">
        <f>O246/(2*H246*J246)</f>
        <v>7.679986693840872E-2</v>
      </c>
      <c r="Q246">
        <f>P246*16.02</f>
        <v>1.2303338683533076</v>
      </c>
    </row>
    <row r="247" spans="2:18" x14ac:dyDescent="0.2">
      <c r="C247">
        <v>100000</v>
      </c>
      <c r="D247">
        <v>1115.3225420000001</v>
      </c>
      <c r="E247">
        <v>-18995.412668000001</v>
      </c>
      <c r="F247">
        <v>56910.707547999998</v>
      </c>
      <c r="G247">
        <v>-3.1773000000000003E-2</v>
      </c>
      <c r="H247">
        <v>26.938682</v>
      </c>
      <c r="I247">
        <v>161.65290100000001</v>
      </c>
      <c r="J247">
        <v>13.068746000000001</v>
      </c>
      <c r="K247">
        <v>881</v>
      </c>
      <c r="L247">
        <v>2351</v>
      </c>
      <c r="M247">
        <f>L247/(L247+K247)</f>
        <v>0.72741336633663367</v>
      </c>
      <c r="N247">
        <f t="shared" ref="N247:N250" si="39">-3.9489-2.6738*M247</f>
        <v>-5.8938578589108914</v>
      </c>
      <c r="O247">
        <f>E247-(SUM(K247:L247)*N247)</f>
        <v>53.535931999998866</v>
      </c>
      <c r="P247">
        <f>O247/(2*H247*J247)</f>
        <v>7.6033522508869994E-2</v>
      </c>
      <c r="Q247">
        <f>P247*16.02</f>
        <v>1.2180570305920972</v>
      </c>
    </row>
    <row r="248" spans="2:18" x14ac:dyDescent="0.2">
      <c r="C248">
        <v>100000</v>
      </c>
      <c r="D248">
        <v>1115.423106</v>
      </c>
      <c r="E248">
        <v>-18741.014673000001</v>
      </c>
      <c r="F248">
        <v>57406.761826000002</v>
      </c>
      <c r="G248">
        <v>0.879749</v>
      </c>
      <c r="H248">
        <v>27.016724</v>
      </c>
      <c r="I248">
        <v>162.121217</v>
      </c>
      <c r="J248">
        <v>13.106607</v>
      </c>
      <c r="K248">
        <v>974</v>
      </c>
      <c r="L248">
        <v>2258</v>
      </c>
      <c r="M248">
        <f>L248/(L248+K248)</f>
        <v>0.69863861386138615</v>
      </c>
      <c r="N248">
        <f t="shared" si="39"/>
        <v>-5.8169199257425745</v>
      </c>
      <c r="O248">
        <f>E248-(SUM(K248:L248)*N248)</f>
        <v>59.270527000000584</v>
      </c>
      <c r="P248">
        <f>O248/(2*H248*J248)</f>
        <v>8.3692362918660362E-2</v>
      </c>
      <c r="Q248">
        <f>P248*16.02</f>
        <v>1.3407516539569391</v>
      </c>
    </row>
    <row r="249" spans="2:18" x14ac:dyDescent="0.2">
      <c r="C249">
        <v>100000</v>
      </c>
      <c r="D249">
        <v>1115.805445</v>
      </c>
      <c r="E249">
        <v>-18798.704919</v>
      </c>
      <c r="F249">
        <v>57309.738907999999</v>
      </c>
      <c r="G249">
        <v>0.70822600000000002</v>
      </c>
      <c r="H249">
        <v>27.001494999999998</v>
      </c>
      <c r="I249">
        <v>162.029831</v>
      </c>
      <c r="J249">
        <v>13.099219</v>
      </c>
      <c r="K249">
        <v>955</v>
      </c>
      <c r="L249">
        <v>2277</v>
      </c>
      <c r="M249">
        <f>L249/(L249+K249)</f>
        <v>0.70451732673267331</v>
      </c>
      <c r="N249">
        <f t="shared" si="39"/>
        <v>-5.8326384282178214</v>
      </c>
      <c r="O249">
        <f>E249-(SUM(K249:L249)*N249)</f>
        <v>52.382481000000553</v>
      </c>
      <c r="P249">
        <f>O249/(2*H249*J249)</f>
        <v>7.4049623539778384E-2</v>
      </c>
      <c r="Q249">
        <f>P249*16.02</f>
        <v>1.1862749691072496</v>
      </c>
    </row>
    <row r="250" spans="2:18" x14ac:dyDescent="0.2">
      <c r="C250">
        <v>100000</v>
      </c>
      <c r="D250">
        <v>1115.8912849999999</v>
      </c>
      <c r="E250">
        <v>-18839.994997999998</v>
      </c>
      <c r="F250">
        <v>57217.961332999999</v>
      </c>
      <c r="G250">
        <v>0.119019</v>
      </c>
      <c r="H250">
        <v>26.987074</v>
      </c>
      <c r="I250">
        <v>161.94329200000001</v>
      </c>
      <c r="J250">
        <v>13.092223000000001</v>
      </c>
      <c r="K250">
        <v>940</v>
      </c>
      <c r="L250">
        <v>2292</v>
      </c>
      <c r="M250">
        <f>L250/(L250+K250)</f>
        <v>0.70915841584158412</v>
      </c>
      <c r="N250">
        <f t="shared" si="39"/>
        <v>-5.845047772277228</v>
      </c>
      <c r="O250">
        <f>E250-(SUM(K250:L250)*N250)</f>
        <v>51.19940200000201</v>
      </c>
      <c r="P250">
        <f>O250/(2*H250*J250)</f>
        <v>7.2454555909218274E-2</v>
      </c>
      <c r="Q250">
        <f>P250*16.02</f>
        <v>1.1607219856656767</v>
      </c>
    </row>
    <row r="251" spans="2:18" x14ac:dyDescent="0.2">
      <c r="Q251" s="1">
        <f>AVERAGE(Q246:Q250)</f>
        <v>1.2272279015350542</v>
      </c>
      <c r="R251">
        <f>STDEV(Q246:Q250)</f>
        <v>6.9068034914377921E-2</v>
      </c>
    </row>
    <row r="252" spans="2:18" x14ac:dyDescent="0.2">
      <c r="B252" t="s">
        <v>23</v>
      </c>
      <c r="C252">
        <v>100000</v>
      </c>
      <c r="D252">
        <v>1115.3479359999999</v>
      </c>
      <c r="E252">
        <v>-16696.553356</v>
      </c>
      <c r="F252">
        <v>51137.314911000001</v>
      </c>
      <c r="G252">
        <v>0.109761</v>
      </c>
      <c r="H252">
        <v>31.120279</v>
      </c>
      <c r="I252">
        <v>124.85833</v>
      </c>
      <c r="J252">
        <v>13.160629999999999</v>
      </c>
      <c r="K252">
        <v>864</v>
      </c>
      <c r="L252">
        <v>2016</v>
      </c>
      <c r="M252">
        <f>L252/(L252+K252)</f>
        <v>0.7</v>
      </c>
      <c r="N252">
        <f>-3.9489-2.6738*M252</f>
        <v>-5.8205600000000004</v>
      </c>
      <c r="O252">
        <f>E252-(SUM(K252:L252)*N252)</f>
        <v>66.659444000000803</v>
      </c>
      <c r="P252">
        <f>O252/(2*H252*J252)</f>
        <v>8.1378846544493191E-2</v>
      </c>
      <c r="Q252">
        <f>P252*16.02</f>
        <v>1.3036891216427808</v>
      </c>
    </row>
    <row r="253" spans="2:18" x14ac:dyDescent="0.2">
      <c r="C253">
        <v>100000</v>
      </c>
      <c r="D253">
        <v>1115.957647</v>
      </c>
      <c r="E253">
        <v>-16718.354083999999</v>
      </c>
      <c r="F253">
        <v>51107.062363999998</v>
      </c>
      <c r="G253">
        <v>0.41474899999999998</v>
      </c>
      <c r="H253">
        <v>31.114141</v>
      </c>
      <c r="I253">
        <v>124.833704</v>
      </c>
      <c r="J253">
        <v>13.158034000000001</v>
      </c>
      <c r="K253">
        <v>859</v>
      </c>
      <c r="L253">
        <v>2021</v>
      </c>
      <c r="M253">
        <f>L253/(L253+K253)</f>
        <v>0.70173611111111112</v>
      </c>
      <c r="N253">
        <f t="shared" ref="N253:N256" si="40">-3.9489-2.6738*M253</f>
        <v>-5.8252020138888891</v>
      </c>
      <c r="O253">
        <f>E253-(SUM(K253:L253)*N253)</f>
        <v>58.227716000001237</v>
      </c>
      <c r="P253">
        <f>O253/(2*H253*J253)</f>
        <v>7.1113317559573785E-2</v>
      </c>
      <c r="Q253">
        <f>P253*16.02</f>
        <v>1.1392353473043719</v>
      </c>
    </row>
    <row r="254" spans="2:18" x14ac:dyDescent="0.2">
      <c r="C254">
        <v>100000</v>
      </c>
      <c r="D254">
        <v>1115.8174260000001</v>
      </c>
      <c r="E254">
        <v>-16805.432135999999</v>
      </c>
      <c r="F254">
        <v>50937.134051000001</v>
      </c>
      <c r="G254">
        <v>0.61024400000000001</v>
      </c>
      <c r="H254">
        <v>31.079618</v>
      </c>
      <c r="I254">
        <v>124.695196</v>
      </c>
      <c r="J254">
        <v>13.143435</v>
      </c>
      <c r="K254">
        <v>822</v>
      </c>
      <c r="L254">
        <v>2058</v>
      </c>
      <c r="M254">
        <f>L254/(L254+K254)</f>
        <v>0.71458333333333335</v>
      </c>
      <c r="N254">
        <f t="shared" si="40"/>
        <v>-5.8595529166666669</v>
      </c>
      <c r="O254">
        <f>E254-(SUM(K254:L254)*N254)</f>
        <v>70.08026400000017</v>
      </c>
      <c r="P254">
        <f>O254/(2*H254*J254)</f>
        <v>8.5779039620874423E-2</v>
      </c>
      <c r="Q254">
        <f>P254*16.02</f>
        <v>1.3741802147264082</v>
      </c>
    </row>
    <row r="255" spans="2:18" x14ac:dyDescent="0.2">
      <c r="C255">
        <v>100000</v>
      </c>
      <c r="D255">
        <v>1115.5822230000001</v>
      </c>
      <c r="E255">
        <v>-16775.160523999999</v>
      </c>
      <c r="F255">
        <v>50996.938709000002</v>
      </c>
      <c r="G255">
        <v>0.15498400000000001</v>
      </c>
      <c r="H255">
        <v>31.091777</v>
      </c>
      <c r="I255">
        <v>124.743977</v>
      </c>
      <c r="J255">
        <v>13.148576</v>
      </c>
      <c r="K255">
        <v>836</v>
      </c>
      <c r="L255">
        <v>2044</v>
      </c>
      <c r="M255">
        <f>L255/(L255+K255)</f>
        <v>0.70972222222222225</v>
      </c>
      <c r="N255">
        <f t="shared" si="40"/>
        <v>-5.8465552777777781</v>
      </c>
      <c r="O255">
        <f>E255-(SUM(K255:L255)*N255)</f>
        <v>62.918676000001142</v>
      </c>
      <c r="P255">
        <f>O255/(2*H255*J255)</f>
        <v>7.6952957295051957E-2</v>
      </c>
      <c r="Q255">
        <f>P255*16.02</f>
        <v>1.2327863758667323</v>
      </c>
    </row>
    <row r="256" spans="2:18" x14ac:dyDescent="0.2">
      <c r="C256">
        <v>100000</v>
      </c>
      <c r="D256">
        <v>1115.5034700000001</v>
      </c>
      <c r="E256">
        <v>-16729.204224000001</v>
      </c>
      <c r="F256">
        <v>51084.505505000001</v>
      </c>
      <c r="G256">
        <v>0.191054</v>
      </c>
      <c r="H256">
        <v>31.109563000000001</v>
      </c>
      <c r="I256">
        <v>124.815337</v>
      </c>
      <c r="J256">
        <v>13.156098</v>
      </c>
      <c r="K256">
        <v>852</v>
      </c>
      <c r="L256">
        <v>2028</v>
      </c>
      <c r="M256">
        <f>L256/(L256+K256)</f>
        <v>0.70416666666666672</v>
      </c>
      <c r="N256">
        <f t="shared" si="40"/>
        <v>-5.8317008333333336</v>
      </c>
      <c r="O256">
        <f>E256-(SUM(K256:L256)*N256)</f>
        <v>66.094175999998697</v>
      </c>
      <c r="P256">
        <f>O256/(2*H256*J256)</f>
        <v>8.074435812330033E-2</v>
      </c>
      <c r="Q256">
        <f>P256*16.02</f>
        <v>1.2935246171352712</v>
      </c>
    </row>
    <row r="257" spans="2:18" x14ac:dyDescent="0.2">
      <c r="Q257" s="1">
        <f>AVERAGE(Q252:Q256)</f>
        <v>1.2686831353351129</v>
      </c>
      <c r="R257">
        <f>STDEV(Q252:Q256)</f>
        <v>8.8058871247983728E-2</v>
      </c>
    </row>
    <row r="258" spans="2:18" x14ac:dyDescent="0.2">
      <c r="B258" t="s">
        <v>32</v>
      </c>
      <c r="C258">
        <v>100000</v>
      </c>
      <c r="D258">
        <v>1115.2565509999999</v>
      </c>
      <c r="E258">
        <v>-21456.824992000002</v>
      </c>
      <c r="F258">
        <v>65148.493609999998</v>
      </c>
      <c r="G258">
        <v>0.60402900000000004</v>
      </c>
      <c r="H258">
        <v>24.932803</v>
      </c>
      <c r="I258">
        <v>199.50413599999999</v>
      </c>
      <c r="J258">
        <v>13.097282</v>
      </c>
      <c r="K258">
        <v>1072</v>
      </c>
      <c r="L258">
        <v>2608</v>
      </c>
      <c r="M258">
        <f>L258/(L258+K258)</f>
        <v>0.70869565217391306</v>
      </c>
      <c r="N258">
        <f>-3.9489-2.6738*M258</f>
        <v>-5.8438104347826085</v>
      </c>
      <c r="O258">
        <f>E258-(SUM(K258:L258)*N258)</f>
        <v>48.397407999997085</v>
      </c>
      <c r="P258">
        <f>O258/(2*H258*J258)</f>
        <v>7.4103688114954547E-2</v>
      </c>
      <c r="Q258">
        <f>P258*16.02</f>
        <v>1.1871410836015719</v>
      </c>
    </row>
    <row r="259" spans="2:18" x14ac:dyDescent="0.2">
      <c r="C259">
        <v>100000</v>
      </c>
      <c r="D259">
        <v>1115.432337</v>
      </c>
      <c r="E259">
        <v>-21425.026860999998</v>
      </c>
      <c r="F259">
        <v>65185.682100999999</v>
      </c>
      <c r="G259">
        <v>0.306035</v>
      </c>
      <c r="H259">
        <v>24.937546000000001</v>
      </c>
      <c r="I259">
        <v>199.542089</v>
      </c>
      <c r="J259">
        <v>13.099773000000001</v>
      </c>
      <c r="K259">
        <v>1083</v>
      </c>
      <c r="L259">
        <v>2597</v>
      </c>
      <c r="M259">
        <f>L259/(L259+K259)</f>
        <v>0.7057065217391304</v>
      </c>
      <c r="N259">
        <f t="shared" ref="N259:N262" si="41">-3.9489-2.6738*M259</f>
        <v>-5.8358180978260865</v>
      </c>
      <c r="O259">
        <f>E259-(SUM(K259:L259)*N259)</f>
        <v>50.783738999998604</v>
      </c>
      <c r="P259">
        <f>O259/(2*H259*J259)</f>
        <v>7.7727946324683869E-2</v>
      </c>
      <c r="Q259">
        <f>P259*16.02</f>
        <v>1.2452017001214355</v>
      </c>
    </row>
    <row r="260" spans="2:18" x14ac:dyDescent="0.2">
      <c r="C260">
        <v>100000</v>
      </c>
      <c r="D260">
        <v>1115.4957400000001</v>
      </c>
      <c r="E260">
        <v>-21328.770324000001</v>
      </c>
      <c r="F260">
        <v>65359.527428000001</v>
      </c>
      <c r="G260">
        <v>0.46791100000000002</v>
      </c>
      <c r="H260">
        <v>24.959695</v>
      </c>
      <c r="I260">
        <v>199.71932000000001</v>
      </c>
      <c r="J260">
        <v>13.111408000000001</v>
      </c>
      <c r="K260">
        <v>1119</v>
      </c>
      <c r="L260">
        <v>2561</v>
      </c>
      <c r="M260">
        <f>L260/(L260+K260)</f>
        <v>0.69592391304347823</v>
      </c>
      <c r="N260">
        <f t="shared" si="41"/>
        <v>-5.809661358695652</v>
      </c>
      <c r="O260">
        <f>E260-(SUM(K260:L260)*N260)</f>
        <v>50.783475999996881</v>
      </c>
      <c r="P260">
        <f>O260/(2*H260*J260)</f>
        <v>7.7589655251358941E-2</v>
      </c>
      <c r="Q260">
        <f>P260*16.02</f>
        <v>1.2429862771267701</v>
      </c>
    </row>
    <row r="261" spans="2:18" x14ac:dyDescent="0.2">
      <c r="C261">
        <v>100000</v>
      </c>
      <c r="D261">
        <v>1115.195653</v>
      </c>
      <c r="E261">
        <v>-21442.960597000001</v>
      </c>
      <c r="F261">
        <v>65126.804907999998</v>
      </c>
      <c r="G261">
        <v>-6.5880999999999995E-2</v>
      </c>
      <c r="H261">
        <v>24.930036000000001</v>
      </c>
      <c r="I261">
        <v>199.48199700000001</v>
      </c>
      <c r="J261">
        <v>13.095827999999999</v>
      </c>
      <c r="K261">
        <v>1072</v>
      </c>
      <c r="L261">
        <v>2608</v>
      </c>
      <c r="M261">
        <f>L261/(L261+K261)</f>
        <v>0.70869565217391306</v>
      </c>
      <c r="N261">
        <f t="shared" si="41"/>
        <v>-5.8438104347826085</v>
      </c>
      <c r="O261">
        <f>E261-(SUM(K261:L261)*N261)</f>
        <v>62.261802999997599</v>
      </c>
      <c r="P261">
        <f>O261/(2*H261*J261)</f>
        <v>9.5353322280164313E-2</v>
      </c>
      <c r="Q261">
        <f>P261*16.02</f>
        <v>1.5275602229282323</v>
      </c>
    </row>
    <row r="262" spans="2:18" x14ac:dyDescent="0.2">
      <c r="C262">
        <v>100000</v>
      </c>
      <c r="D262">
        <v>1115.253878</v>
      </c>
      <c r="E262">
        <v>-21426.773413999999</v>
      </c>
      <c r="F262">
        <v>65170.204016999996</v>
      </c>
      <c r="G262">
        <v>0.23039799999999999</v>
      </c>
      <c r="H262">
        <v>24.935572000000001</v>
      </c>
      <c r="I262">
        <v>199.526295</v>
      </c>
      <c r="J262">
        <v>13.098736000000001</v>
      </c>
      <c r="K262">
        <v>1079</v>
      </c>
      <c r="L262">
        <v>2601</v>
      </c>
      <c r="M262">
        <f>L262/(L262+K262)</f>
        <v>0.70679347826086958</v>
      </c>
      <c r="N262">
        <f t="shared" si="41"/>
        <v>-5.8387244021739129</v>
      </c>
      <c r="O262">
        <f>E262-(SUM(K262:L262)*N262)</f>
        <v>59.732385999999678</v>
      </c>
      <c r="P262">
        <f>O262/(2*H262*J262)</f>
        <v>9.1438931614640631E-2</v>
      </c>
      <c r="Q262">
        <f>P262*16.02</f>
        <v>1.4648516844665429</v>
      </c>
    </row>
    <row r="263" spans="2:18" x14ac:dyDescent="0.2">
      <c r="Q263" s="1">
        <f>AVERAGE(Q258:Q262)</f>
        <v>1.3335481936489106</v>
      </c>
      <c r="R263">
        <f>STDEV(Q258:Q262)</f>
        <v>0.15192340152289915</v>
      </c>
    </row>
    <row r="264" spans="2:18" x14ac:dyDescent="0.2">
      <c r="B264" t="s">
        <v>22</v>
      </c>
      <c r="C264">
        <v>100000</v>
      </c>
      <c r="D264">
        <v>1040.672427</v>
      </c>
      <c r="E264">
        <v>-21796.876009</v>
      </c>
      <c r="F264">
        <v>67311.631817999994</v>
      </c>
      <c r="G264">
        <v>0.86053199999999996</v>
      </c>
      <c r="H264">
        <v>29.256715</v>
      </c>
      <c r="I264">
        <v>87.921194</v>
      </c>
      <c r="J264">
        <v>26.168013999999999</v>
      </c>
      <c r="K264">
        <v>1160</v>
      </c>
      <c r="L264">
        <v>2616</v>
      </c>
      <c r="M264">
        <f>L264/(L264+K264)</f>
        <v>0.69279661016949157</v>
      </c>
      <c r="N264">
        <f>-3.9489-2.6738*M264</f>
        <v>-5.8012995762711865</v>
      </c>
      <c r="O264">
        <f>E264-(SUM(K264:L264)*N264)</f>
        <v>108.83119100000113</v>
      </c>
      <c r="P264">
        <f>O264/(2*H264*J264)</f>
        <v>7.1076668219953565E-2</v>
      </c>
      <c r="Q264">
        <f>P264*16.02</f>
        <v>1.138648224883656</v>
      </c>
    </row>
    <row r="265" spans="2:18" x14ac:dyDescent="0.2">
      <c r="C265">
        <v>100000</v>
      </c>
      <c r="D265">
        <v>1040.945408</v>
      </c>
      <c r="E265">
        <v>-21878.974649</v>
      </c>
      <c r="F265">
        <v>67142.523677999998</v>
      </c>
      <c r="G265">
        <v>0.45443800000000001</v>
      </c>
      <c r="H265">
        <v>29.232194</v>
      </c>
      <c r="I265">
        <v>87.847504999999998</v>
      </c>
      <c r="J265">
        <v>26.146082</v>
      </c>
      <c r="K265">
        <v>1124</v>
      </c>
      <c r="L265">
        <v>2652</v>
      </c>
      <c r="M265">
        <f>L265/(L265+K265)</f>
        <v>0.70233050847457623</v>
      </c>
      <c r="N265">
        <f t="shared" ref="N265:N268" si="42">-3.9489-2.6738*M265</f>
        <v>-5.8267913135593217</v>
      </c>
      <c r="O265">
        <f>E265-(SUM(K265:L265)*N265)</f>
        <v>122.98935100000017</v>
      </c>
      <c r="P265">
        <f>O265/(2*H265*J265)</f>
        <v>8.0458046353791016E-2</v>
      </c>
      <c r="Q265">
        <f>P265*16.02</f>
        <v>1.2889379025877321</v>
      </c>
    </row>
    <row r="266" spans="2:18" x14ac:dyDescent="0.2">
      <c r="C266">
        <v>100000</v>
      </c>
      <c r="D266">
        <v>1040.7175279999999</v>
      </c>
      <c r="E266">
        <v>-21832.937984</v>
      </c>
      <c r="F266">
        <v>67207.881974000004</v>
      </c>
      <c r="G266">
        <v>0.61792000000000002</v>
      </c>
      <c r="H266">
        <v>29.241675999999998</v>
      </c>
      <c r="I266">
        <v>87.876000000000005</v>
      </c>
      <c r="J266">
        <v>26.154563</v>
      </c>
      <c r="K266">
        <v>1146</v>
      </c>
      <c r="L266">
        <v>2630</v>
      </c>
      <c r="M266">
        <f>L266/(L266+K266)</f>
        <v>0.6965042372881356</v>
      </c>
      <c r="N266">
        <f t="shared" si="42"/>
        <v>-5.8112130296610172</v>
      </c>
      <c r="O266">
        <f>E266-(SUM(K266:L266)*N266)</f>
        <v>110.20241600000008</v>
      </c>
      <c r="P266">
        <f>O266/(2*H266*J266)</f>
        <v>7.204625174331071E-2</v>
      </c>
      <c r="Q266">
        <f>P266*16.02</f>
        <v>1.1541809529278375</v>
      </c>
    </row>
    <row r="267" spans="2:18" x14ac:dyDescent="0.2">
      <c r="C267">
        <v>100000</v>
      </c>
      <c r="D267">
        <v>1040.665841</v>
      </c>
      <c r="E267">
        <v>-22009.406367</v>
      </c>
      <c r="F267">
        <v>66887.599063999995</v>
      </c>
      <c r="G267">
        <v>0.23979400000000001</v>
      </c>
      <c r="H267">
        <v>29.195150999999999</v>
      </c>
      <c r="I267">
        <v>87.736185000000006</v>
      </c>
      <c r="J267">
        <v>26.112950000000001</v>
      </c>
      <c r="K267">
        <v>1074</v>
      </c>
      <c r="L267">
        <v>2702</v>
      </c>
      <c r="M267">
        <f>L267/(L267+K267)</f>
        <v>0.71557203389830504</v>
      </c>
      <c r="N267">
        <f t="shared" si="42"/>
        <v>-5.8621965042372883</v>
      </c>
      <c r="O267">
        <f>E267-(SUM(K267:L267)*N267)</f>
        <v>126.24763300000268</v>
      </c>
      <c r="P267">
        <f>O267/(2*H267*J267)</f>
        <v>8.2799284842525162E-2</v>
      </c>
      <c r="Q267">
        <f>P267*16.02</f>
        <v>1.3264445431772531</v>
      </c>
    </row>
    <row r="268" spans="2:18" x14ac:dyDescent="0.2">
      <c r="C268">
        <v>100000</v>
      </c>
      <c r="D268">
        <v>1040.7633370000001</v>
      </c>
      <c r="E268">
        <v>-22122.237054000001</v>
      </c>
      <c r="F268">
        <v>66684.164453000005</v>
      </c>
      <c r="G268">
        <v>0.82093499999999997</v>
      </c>
      <c r="H268">
        <v>29.165523</v>
      </c>
      <c r="I268">
        <v>87.647146000000006</v>
      </c>
      <c r="J268">
        <v>26.086449000000002</v>
      </c>
      <c r="K268">
        <v>1034</v>
      </c>
      <c r="L268">
        <v>2742</v>
      </c>
      <c r="M268">
        <f>L268/(L268+K268)</f>
        <v>0.72616525423728817</v>
      </c>
      <c r="N268">
        <f t="shared" si="42"/>
        <v>-5.8905206567796613</v>
      </c>
      <c r="O268">
        <f>E268-(SUM(K268:L268)*N268)</f>
        <v>120.36894599999869</v>
      </c>
      <c r="P268">
        <f>O268/(2*H268*J268)</f>
        <v>7.9104233788249323E-2</v>
      </c>
      <c r="Q268">
        <f>P268*16.02</f>
        <v>1.2672498252877542</v>
      </c>
    </row>
    <row r="269" spans="2:18" x14ac:dyDescent="0.2">
      <c r="Q269" s="1">
        <f>AVERAGE(Q264:Q268)</f>
        <v>1.2350922897728465</v>
      </c>
      <c r="R269">
        <f>STDEV(Q264:Q268)</f>
        <v>8.3855222547947098E-2</v>
      </c>
    </row>
    <row r="270" spans="2:18" x14ac:dyDescent="0.2">
      <c r="B270" t="s">
        <v>33</v>
      </c>
      <c r="C270">
        <v>100000</v>
      </c>
      <c r="D270">
        <v>1115.349424</v>
      </c>
      <c r="E270">
        <v>-37775.729400999997</v>
      </c>
      <c r="F270">
        <v>114851.621206</v>
      </c>
      <c r="G270">
        <v>0.15487899999999999</v>
      </c>
      <c r="H270">
        <v>38.208419999999997</v>
      </c>
      <c r="I270">
        <v>229.313143</v>
      </c>
      <c r="J270">
        <v>13.108378999999999</v>
      </c>
      <c r="K270">
        <v>1912</v>
      </c>
      <c r="L270">
        <v>4576</v>
      </c>
      <c r="M270">
        <f>L270/(L270+K270)</f>
        <v>0.70530209617755857</v>
      </c>
      <c r="N270">
        <f>-3.9489-2.6738*M270</f>
        <v>-5.8347367447595566</v>
      </c>
      <c r="O270">
        <f>E270-(SUM(K270:L270)*N270)</f>
        <v>80.042599000007613</v>
      </c>
      <c r="P270">
        <f>O270/(2*H270*J270)</f>
        <v>7.9906685662241461E-2</v>
      </c>
      <c r="Q270">
        <f>P270*16.02</f>
        <v>1.2801051043091081</v>
      </c>
    </row>
    <row r="271" spans="2:18" x14ac:dyDescent="0.2">
      <c r="C271">
        <v>100000</v>
      </c>
      <c r="D271">
        <v>1115.59013</v>
      </c>
      <c r="E271">
        <v>-37873.308537999997</v>
      </c>
      <c r="F271">
        <v>114711.916881</v>
      </c>
      <c r="G271">
        <v>0.298126</v>
      </c>
      <c r="H271">
        <v>38.192922000000003</v>
      </c>
      <c r="I271">
        <v>229.220125</v>
      </c>
      <c r="J271">
        <v>13.103062</v>
      </c>
      <c r="K271">
        <v>1885</v>
      </c>
      <c r="L271">
        <v>4603</v>
      </c>
      <c r="M271">
        <f>L271/(L271+K271)</f>
        <v>0.70946362515413075</v>
      </c>
      <c r="N271">
        <f t="shared" ref="N271:N274" si="43">-3.9489-2.6738*M271</f>
        <v>-5.8458638409371151</v>
      </c>
      <c r="O271">
        <f>E271-(SUM(K271:L271)*N271)</f>
        <v>54.656062000001839</v>
      </c>
      <c r="P271">
        <f>O271/(2*H271*J271)</f>
        <v>5.4607545933771762E-2</v>
      </c>
      <c r="Q271">
        <f>P271*16.02</f>
        <v>0.87481288585902361</v>
      </c>
    </row>
    <row r="272" spans="2:18" x14ac:dyDescent="0.2">
      <c r="C272">
        <v>100000</v>
      </c>
      <c r="D272">
        <v>1115.512547</v>
      </c>
      <c r="E272">
        <v>-37691.091718000003</v>
      </c>
      <c r="F272">
        <v>115033.75617399999</v>
      </c>
      <c r="G272">
        <v>0.13028200000000001</v>
      </c>
      <c r="H272">
        <v>38.228606999999997</v>
      </c>
      <c r="I272">
        <v>229.43429399999999</v>
      </c>
      <c r="J272">
        <v>13.115304999999999</v>
      </c>
      <c r="K272">
        <v>1936</v>
      </c>
      <c r="L272">
        <v>4552</v>
      </c>
      <c r="M272">
        <f>L272/(L272+K272)</f>
        <v>0.70160295930949446</v>
      </c>
      <c r="N272">
        <f t="shared" si="43"/>
        <v>-5.8248459926017269</v>
      </c>
      <c r="O272">
        <f>E272-(SUM(K272:L272)*N272)</f>
        <v>100.50908200000413</v>
      </c>
      <c r="P272">
        <f>O272/(2*H272*J272)</f>
        <v>0.10023247234445112</v>
      </c>
      <c r="Q272">
        <f>P272*16.02</f>
        <v>1.605724206958107</v>
      </c>
    </row>
    <row r="273" spans="2:18" x14ac:dyDescent="0.2">
      <c r="C273">
        <v>100000</v>
      </c>
      <c r="D273">
        <v>1115.6162079999999</v>
      </c>
      <c r="E273">
        <v>-37957.592904999998</v>
      </c>
      <c r="F273">
        <v>114570.025268</v>
      </c>
      <c r="G273">
        <v>3.3805000000000002E-2</v>
      </c>
      <c r="H273">
        <v>38.177168000000002</v>
      </c>
      <c r="I273">
        <v>229.125576</v>
      </c>
      <c r="J273">
        <v>13.097657</v>
      </c>
      <c r="K273">
        <v>1849</v>
      </c>
      <c r="L273">
        <v>4639</v>
      </c>
      <c r="M273">
        <f>L273/(L273+K273)</f>
        <v>0.71501233045622692</v>
      </c>
      <c r="N273">
        <f t="shared" si="43"/>
        <v>-5.8606999691738597</v>
      </c>
      <c r="O273">
        <f>E273-(SUM(K273:L273)*N273)</f>
        <v>66.628495000004477</v>
      </c>
      <c r="P273">
        <f>O273/(2*H273*J273)</f>
        <v>6.662430410536975E-2</v>
      </c>
      <c r="Q273">
        <f>P273*16.02</f>
        <v>1.0673213517680233</v>
      </c>
    </row>
    <row r="274" spans="2:18" x14ac:dyDescent="0.2">
      <c r="C274">
        <v>100000</v>
      </c>
      <c r="D274">
        <v>1115.586994</v>
      </c>
      <c r="E274">
        <v>-37696.188988000002</v>
      </c>
      <c r="F274">
        <v>115026.115762</v>
      </c>
      <c r="G274">
        <v>0.25126100000000001</v>
      </c>
      <c r="H274">
        <v>38.227761000000001</v>
      </c>
      <c r="I274">
        <v>229.429215</v>
      </c>
      <c r="J274">
        <v>13.115014</v>
      </c>
      <c r="K274">
        <v>1947</v>
      </c>
      <c r="L274">
        <v>4541</v>
      </c>
      <c r="M274">
        <f>L274/(L274+K274)</f>
        <v>0.69990752157829839</v>
      </c>
      <c r="N274">
        <f t="shared" si="43"/>
        <v>-5.8203127311960543</v>
      </c>
      <c r="O274">
        <f>E274-(SUM(K274:L274)*N274)</f>
        <v>66.000011999996786</v>
      </c>
      <c r="P274">
        <f>O274/(2*H274*J274)</f>
        <v>6.582129130436469E-2</v>
      </c>
      <c r="Q274">
        <f>P274*16.02</f>
        <v>1.0544570866959224</v>
      </c>
    </row>
    <row r="275" spans="2:18" x14ac:dyDescent="0.2">
      <c r="Q275" s="1">
        <f>AVERAGE(Q270:Q274)</f>
        <v>1.1764841271180368</v>
      </c>
      <c r="R275">
        <f>STDEV(Q270:Q274)</f>
        <v>0.27964128851717956</v>
      </c>
    </row>
    <row r="276" spans="2:18" x14ac:dyDescent="0.2">
      <c r="B276" t="s">
        <v>34</v>
      </c>
      <c r="C276">
        <v>100000</v>
      </c>
      <c r="D276">
        <v>1115.9132810000001</v>
      </c>
      <c r="E276">
        <v>-19125.107275999999</v>
      </c>
      <c r="F276">
        <v>58464.296855000001</v>
      </c>
      <c r="G276">
        <v>0.89968899999999996</v>
      </c>
      <c r="H276">
        <v>23.615499</v>
      </c>
      <c r="I276">
        <v>188.96571900000001</v>
      </c>
      <c r="J276">
        <v>13.101178000000001</v>
      </c>
      <c r="K276">
        <v>996</v>
      </c>
      <c r="L276">
        <v>2300</v>
      </c>
      <c r="M276">
        <f>L276/(L276+K276)</f>
        <v>0.69781553398058249</v>
      </c>
      <c r="N276">
        <f>-3.9489-2.6738*M276</f>
        <v>-5.8147191747572817</v>
      </c>
      <c r="O276">
        <f>E276-(SUM(K276:L276)*N276)</f>
        <v>40.207124000000476</v>
      </c>
      <c r="P276">
        <f>O276/(2*H276*J276)</f>
        <v>6.4977880285967071E-2</v>
      </c>
      <c r="Q276">
        <f>P276*16.02</f>
        <v>1.0409456421811925</v>
      </c>
    </row>
    <row r="277" spans="2:18" x14ac:dyDescent="0.2">
      <c r="C277">
        <v>100000</v>
      </c>
      <c r="D277">
        <v>1115.5604060000001</v>
      </c>
      <c r="E277">
        <v>-19050.503257</v>
      </c>
      <c r="F277">
        <v>58629.820589000003</v>
      </c>
      <c r="G277">
        <v>0.54727700000000001</v>
      </c>
      <c r="H277">
        <v>23.637765000000002</v>
      </c>
      <c r="I277">
        <v>189.14388400000001</v>
      </c>
      <c r="J277">
        <v>13.113530000000001</v>
      </c>
      <c r="K277">
        <v>1020</v>
      </c>
      <c r="L277">
        <v>2276</v>
      </c>
      <c r="M277">
        <f>L277/(L277+K277)</f>
        <v>0.69053398058252424</v>
      </c>
      <c r="N277">
        <f t="shared" ref="N277:N280" si="44">-3.9489-2.6738*M277</f>
        <v>-5.7952497572815531</v>
      </c>
      <c r="O277">
        <f>E277-(SUM(K277:L277)*N277)</f>
        <v>50.639942999998311</v>
      </c>
      <c r="P277">
        <f>O277/(2*H277*J277)</f>
        <v>8.1684035928846724E-2</v>
      </c>
      <c r="Q277">
        <f>P277*16.02</f>
        <v>1.3085782555801244</v>
      </c>
    </row>
    <row r="278" spans="2:18" x14ac:dyDescent="0.2">
      <c r="C278">
        <v>100000</v>
      </c>
      <c r="D278">
        <v>1115.29043</v>
      </c>
      <c r="E278">
        <v>-19128.419232</v>
      </c>
      <c r="F278">
        <v>58470.965079000001</v>
      </c>
      <c r="G278">
        <v>-5.6454999999999998E-2</v>
      </c>
      <c r="H278">
        <v>23.616396999999999</v>
      </c>
      <c r="I278">
        <v>188.972902</v>
      </c>
      <c r="J278">
        <v>13.101675999999999</v>
      </c>
      <c r="K278">
        <v>995</v>
      </c>
      <c r="L278">
        <v>2301</v>
      </c>
      <c r="M278">
        <f>L278/(L278+K278)</f>
        <v>0.69811893203883491</v>
      </c>
      <c r="N278">
        <f t="shared" si="44"/>
        <v>-5.8155304004854367</v>
      </c>
      <c r="O278">
        <f>E278-(SUM(K278:L278)*N278)</f>
        <v>39.568967999999586</v>
      </c>
      <c r="P278">
        <f>O278/(2*H278*J278)</f>
        <v>6.3941707835608125E-2</v>
      </c>
      <c r="Q278">
        <f>P278*16.02</f>
        <v>1.024346159526442</v>
      </c>
    </row>
    <row r="279" spans="2:18" x14ac:dyDescent="0.2">
      <c r="C279">
        <v>100000</v>
      </c>
      <c r="D279">
        <v>1116.1354269999999</v>
      </c>
      <c r="E279">
        <v>-19136.506642</v>
      </c>
      <c r="F279">
        <v>58491.642702999998</v>
      </c>
      <c r="G279">
        <v>0.64804300000000004</v>
      </c>
      <c r="H279">
        <v>23.619181000000001</v>
      </c>
      <c r="I279">
        <v>188.99517700000001</v>
      </c>
      <c r="J279">
        <v>13.103221</v>
      </c>
      <c r="K279">
        <v>989</v>
      </c>
      <c r="L279">
        <v>2307</v>
      </c>
      <c r="M279">
        <f>L279/(L279+K279)</f>
        <v>0.6999393203883495</v>
      </c>
      <c r="N279">
        <f t="shared" si="44"/>
        <v>-5.8203977548543691</v>
      </c>
      <c r="O279">
        <f>E279-(SUM(K279:L279)*N279)</f>
        <v>47.524357999998756</v>
      </c>
      <c r="P279">
        <f>O279/(2*H279*J279)</f>
        <v>7.6779161140350549E-2</v>
      </c>
      <c r="Q279">
        <f>P279*16.02</f>
        <v>1.2300021614684158</v>
      </c>
    </row>
    <row r="280" spans="2:18" x14ac:dyDescent="0.2">
      <c r="C280">
        <v>100000</v>
      </c>
      <c r="D280">
        <v>1115.9006919999999</v>
      </c>
      <c r="E280">
        <v>-19183.885138000001</v>
      </c>
      <c r="F280">
        <v>58379.759545000001</v>
      </c>
      <c r="G280">
        <v>0.15629399999999999</v>
      </c>
      <c r="H280">
        <v>23.604112000000001</v>
      </c>
      <c r="I280">
        <v>188.87459699999999</v>
      </c>
      <c r="J280">
        <v>13.094861</v>
      </c>
      <c r="K280">
        <v>974</v>
      </c>
      <c r="L280">
        <v>2322</v>
      </c>
      <c r="M280">
        <f>L280/(L280+K280)</f>
        <v>0.70449029126213591</v>
      </c>
      <c r="N280">
        <f t="shared" si="44"/>
        <v>-5.8325661407766987</v>
      </c>
      <c r="O280">
        <f>E280-(SUM(K280:L280)*N280)</f>
        <v>40.252861999997549</v>
      </c>
      <c r="P280">
        <f>O280/(2*H280*J280)</f>
        <v>6.5114574840951303E-2</v>
      </c>
      <c r="Q280">
        <f>P280*16.02</f>
        <v>1.0431354889520399</v>
      </c>
    </row>
    <row r="281" spans="2:18" x14ac:dyDescent="0.2">
      <c r="Q281" s="1">
        <f>AVERAGE(Q276:Q280)</f>
        <v>1.129401541541643</v>
      </c>
      <c r="R281">
        <f>STDEV(Q276:Q280)</f>
        <v>0.13088897092067819</v>
      </c>
    </row>
    <row r="282" spans="2:18" x14ac:dyDescent="0.2">
      <c r="B282" t="s">
        <v>35</v>
      </c>
      <c r="C282">
        <v>100000</v>
      </c>
      <c r="D282">
        <v>1115.4248</v>
      </c>
      <c r="E282">
        <v>-27670.019853999998</v>
      </c>
      <c r="F282">
        <v>84153.714521999995</v>
      </c>
      <c r="G282">
        <v>-0.23388700000000001</v>
      </c>
      <c r="H282">
        <v>32.730600000000003</v>
      </c>
      <c r="I282">
        <v>196.383601</v>
      </c>
      <c r="J282">
        <v>13.09224</v>
      </c>
      <c r="K282">
        <v>1396</v>
      </c>
      <c r="L282">
        <v>3356</v>
      </c>
      <c r="M282">
        <f>L282/(L282+K282)</f>
        <v>0.70622895622895621</v>
      </c>
      <c r="N282">
        <f>-3.9489-2.6738*M282</f>
        <v>-5.8372149831649836</v>
      </c>
      <c r="O282">
        <f>E282-(SUM(K282:L282)*N282)</f>
        <v>68.425746000004438</v>
      </c>
      <c r="P282">
        <f>O282/(2*H282*J282)</f>
        <v>7.9840200822360027E-2</v>
      </c>
      <c r="Q282">
        <f>P282*16.02</f>
        <v>1.2790400171742076</v>
      </c>
    </row>
    <row r="283" spans="2:18" x14ac:dyDescent="0.2">
      <c r="C283">
        <v>100000</v>
      </c>
      <c r="D283">
        <v>1115.5621180000001</v>
      </c>
      <c r="E283">
        <v>-27650.758658999999</v>
      </c>
      <c r="F283">
        <v>84185.851160000006</v>
      </c>
      <c r="G283">
        <v>8.6173E-2</v>
      </c>
      <c r="H283">
        <v>32.734766</v>
      </c>
      <c r="I283">
        <v>196.40859599999999</v>
      </c>
      <c r="J283">
        <v>13.093906</v>
      </c>
      <c r="K283">
        <v>1406</v>
      </c>
      <c r="L283">
        <v>3346</v>
      </c>
      <c r="M283">
        <f>L283/(L283+K283)</f>
        <v>0.70412457912457915</v>
      </c>
      <c r="N283">
        <f t="shared" ref="N283:N286" si="45">-3.9489-2.6738*M283</f>
        <v>-5.8315882996632995</v>
      </c>
      <c r="O283">
        <f>E283-(SUM(K283:L283)*N283)</f>
        <v>60.94894099999874</v>
      </c>
      <c r="P283">
        <f>O283/(2*H283*J283)</f>
        <v>7.1098053152516744E-2</v>
      </c>
      <c r="Q283">
        <f>P283*16.02</f>
        <v>1.1389908115033183</v>
      </c>
    </row>
    <row r="284" spans="2:18" x14ac:dyDescent="0.2">
      <c r="C284">
        <v>100000</v>
      </c>
      <c r="D284">
        <v>1115.5688560000001</v>
      </c>
      <c r="E284">
        <v>-27736.986690000002</v>
      </c>
      <c r="F284">
        <v>84045.743117000005</v>
      </c>
      <c r="G284">
        <v>7.2199999999999999E-3</v>
      </c>
      <c r="H284">
        <v>32.716596000000003</v>
      </c>
      <c r="I284">
        <v>196.299577</v>
      </c>
      <c r="J284">
        <v>13.086638000000001</v>
      </c>
      <c r="K284">
        <v>1377</v>
      </c>
      <c r="L284">
        <v>3375</v>
      </c>
      <c r="M284">
        <f>L284/(L284+K284)</f>
        <v>0.71022727272727271</v>
      </c>
      <c r="N284">
        <f t="shared" si="45"/>
        <v>-5.8479056818181814</v>
      </c>
      <c r="O284">
        <f>E284-(SUM(K284:L284)*N284)</f>
        <v>52.261109999995824</v>
      </c>
      <c r="P284">
        <f>O284/(2*H284*J284)</f>
        <v>6.103127370577837E-2</v>
      </c>
      <c r="Q284">
        <f>P284*16.02</f>
        <v>0.97772100476656942</v>
      </c>
    </row>
    <row r="285" spans="2:18" x14ac:dyDescent="0.2">
      <c r="C285">
        <v>100000</v>
      </c>
      <c r="D285">
        <v>1115.818446</v>
      </c>
      <c r="E285">
        <v>-27685.907296000001</v>
      </c>
      <c r="F285">
        <v>84108.345902999994</v>
      </c>
      <c r="G285">
        <v>0.48955599999999999</v>
      </c>
      <c r="H285">
        <v>32.724716999999998</v>
      </c>
      <c r="I285">
        <v>196.34830199999999</v>
      </c>
      <c r="J285">
        <v>13.089886999999999</v>
      </c>
      <c r="K285">
        <v>1391</v>
      </c>
      <c r="L285">
        <v>3361</v>
      </c>
      <c r="M285">
        <f>L285/(L285+K285)</f>
        <v>0.70728114478114479</v>
      </c>
      <c r="N285">
        <f t="shared" si="45"/>
        <v>-5.8400283249158251</v>
      </c>
      <c r="O285">
        <f>E285-(SUM(K285:L285)*N285)</f>
        <v>65.907304000000295</v>
      </c>
      <c r="P285">
        <f>O285/(2*H285*J285)</f>
        <v>7.6929295296699271E-2</v>
      </c>
      <c r="Q285">
        <f>P285*16.02</f>
        <v>1.2324073106531224</v>
      </c>
    </row>
    <row r="286" spans="2:18" x14ac:dyDescent="0.2">
      <c r="C286">
        <v>100000</v>
      </c>
      <c r="D286">
        <v>1115.2268570000001</v>
      </c>
      <c r="E286">
        <v>-27609.102468000001</v>
      </c>
      <c r="F286">
        <v>84251.262759999998</v>
      </c>
      <c r="G286">
        <v>0.111447</v>
      </c>
      <c r="H286">
        <v>32.743242000000002</v>
      </c>
      <c r="I286">
        <v>196.45945</v>
      </c>
      <c r="J286">
        <v>13.097296999999999</v>
      </c>
      <c r="K286">
        <v>1417</v>
      </c>
      <c r="L286">
        <v>3335</v>
      </c>
      <c r="M286">
        <f>L286/(L286+K286)</f>
        <v>0.70180976430976427</v>
      </c>
      <c r="N286">
        <f t="shared" si="45"/>
        <v>-5.8253989478114478</v>
      </c>
      <c r="O286">
        <f>E286-(SUM(K286:L286)*N286)</f>
        <v>73.193331999998918</v>
      </c>
      <c r="P286">
        <f>O286/(2*H286*J286)</f>
        <v>8.5337156680904497E-2</v>
      </c>
      <c r="Q286">
        <f>P286*16.02</f>
        <v>1.3671012500280899</v>
      </c>
    </row>
    <row r="287" spans="2:18" x14ac:dyDescent="0.2">
      <c r="Q287" s="1">
        <f>AVERAGE(Q282:Q286)</f>
        <v>1.1990520788250614</v>
      </c>
      <c r="R287">
        <f>STDEV(Q282:Q286)</f>
        <v>0.14861524643341312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1018B-D109-6647-9165-7AF94237D12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 (2)</vt:lpstr>
      <vt:lpstr>300K</vt:lpstr>
      <vt:lpstr>600K</vt:lpstr>
      <vt:lpstr>800K</vt:lpstr>
      <vt:lpstr>1000K</vt:lpstr>
      <vt:lpstr>1200K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</dc:creator>
  <cp:lastModifiedBy>Ben B</cp:lastModifiedBy>
  <dcterms:created xsi:type="dcterms:W3CDTF">2018-02-28T16:23:00Z</dcterms:created>
  <dcterms:modified xsi:type="dcterms:W3CDTF">2018-03-29T19:31:53Z</dcterms:modified>
</cp:coreProperties>
</file>