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bookViews>
    <workbookView xWindow="3360" yWindow="5860" windowWidth="28160" windowHeight="17920" tabRatio="500"/>
  </bookViews>
  <sheets>
    <sheet name="Sheet1" sheetId="1" r:id="rId1"/>
    <sheet name="Sheet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2" l="1"/>
  <c r="Q13" i="2"/>
  <c r="Q14" i="2"/>
  <c r="Q15" i="2"/>
  <c r="Q16" i="2"/>
  <c r="Q17" i="2"/>
  <c r="T64" i="2"/>
  <c r="T75" i="2"/>
  <c r="T76" i="2"/>
  <c r="T77" i="2"/>
  <c r="T69" i="2"/>
  <c r="T70" i="2"/>
  <c r="T71" i="2"/>
  <c r="T63" i="2"/>
  <c r="T65" i="2"/>
  <c r="C6" i="2"/>
  <c r="J6" i="2"/>
  <c r="P75" i="2"/>
  <c r="Q75" i="2"/>
  <c r="P76" i="2"/>
  <c r="Q76" i="2"/>
  <c r="P77" i="2"/>
  <c r="Q77" i="2"/>
  <c r="W75" i="2"/>
  <c r="W76" i="2"/>
  <c r="W77" i="2"/>
  <c r="W69" i="2"/>
  <c r="W70" i="2"/>
  <c r="W71" i="2"/>
  <c r="W63" i="2"/>
  <c r="W64" i="2"/>
  <c r="W65" i="2"/>
  <c r="P69" i="2"/>
  <c r="Q69" i="2"/>
  <c r="P70" i="2"/>
  <c r="Q70" i="2"/>
  <c r="P71" i="2"/>
  <c r="Q71" i="2"/>
  <c r="P63" i="2"/>
  <c r="Q63" i="2"/>
  <c r="P64" i="2"/>
  <c r="Q64" i="2"/>
  <c r="P65" i="2"/>
  <c r="Q65" i="2"/>
  <c r="D38" i="2"/>
  <c r="E38" i="2"/>
  <c r="D54" i="2"/>
  <c r="E54" i="2"/>
  <c r="D55" i="2"/>
  <c r="E55" i="2"/>
  <c r="D56" i="2"/>
  <c r="E56" i="2"/>
  <c r="D57" i="2"/>
  <c r="E57" i="2"/>
  <c r="E58" i="2"/>
  <c r="F38" i="2"/>
  <c r="K38" i="2"/>
  <c r="H38" i="2"/>
  <c r="P38" i="2"/>
  <c r="Q38" i="2"/>
  <c r="P54" i="2"/>
  <c r="Q54" i="2"/>
  <c r="P55" i="2"/>
  <c r="Q55" i="2"/>
  <c r="P56" i="2"/>
  <c r="Q56" i="2"/>
  <c r="P57" i="2"/>
  <c r="Q57" i="2"/>
  <c r="Q58" i="2"/>
  <c r="R38" i="2"/>
  <c r="P36" i="2"/>
  <c r="Q36" i="2"/>
  <c r="R36" i="2"/>
  <c r="W38" i="2"/>
  <c r="T38" i="2"/>
  <c r="K21" i="2"/>
  <c r="U38" i="2"/>
  <c r="I38" i="2"/>
  <c r="W79" i="2"/>
  <c r="T79" i="2"/>
  <c r="P79" i="2"/>
  <c r="Q79" i="2"/>
  <c r="U79" i="2"/>
  <c r="W74" i="2"/>
  <c r="T74" i="2"/>
  <c r="P74" i="2"/>
  <c r="Q74" i="2"/>
  <c r="W68" i="2"/>
  <c r="T68" i="2"/>
  <c r="P68" i="2"/>
  <c r="Q68" i="2"/>
  <c r="W62" i="2"/>
  <c r="T62" i="2"/>
  <c r="P62" i="2"/>
  <c r="Q62" i="2"/>
  <c r="U77" i="2"/>
  <c r="U76" i="2"/>
  <c r="U75" i="2"/>
  <c r="U74" i="2"/>
  <c r="U71" i="2"/>
  <c r="U70" i="2"/>
  <c r="U69" i="2"/>
  <c r="U68" i="2"/>
  <c r="U65" i="2"/>
  <c r="U64" i="2"/>
  <c r="U63" i="2"/>
  <c r="U62" i="2"/>
  <c r="P34" i="2"/>
  <c r="Q34" i="2"/>
  <c r="R34" i="2"/>
  <c r="P35" i="2"/>
  <c r="Q35" i="2"/>
  <c r="R35" i="2"/>
  <c r="P33" i="2"/>
  <c r="Q33" i="2"/>
  <c r="R33" i="2"/>
  <c r="P28" i="2"/>
  <c r="Q28" i="2"/>
  <c r="P48" i="2"/>
  <c r="Q48" i="2"/>
  <c r="P49" i="2"/>
  <c r="Q49" i="2"/>
  <c r="P50" i="2"/>
  <c r="Q50" i="2"/>
  <c r="P51" i="2"/>
  <c r="Q51" i="2"/>
  <c r="Q52" i="2"/>
  <c r="R28" i="2"/>
  <c r="P29" i="2"/>
  <c r="Q29" i="2"/>
  <c r="R29" i="2"/>
  <c r="P30" i="2"/>
  <c r="Q30" i="2"/>
  <c r="R30" i="2"/>
  <c r="P27" i="2"/>
  <c r="Q27" i="2"/>
  <c r="R27" i="2"/>
  <c r="S55" i="2"/>
  <c r="T55" i="2"/>
  <c r="S56" i="2"/>
  <c r="T56" i="2"/>
  <c r="S57" i="2"/>
  <c r="T57" i="2"/>
  <c r="S54" i="2"/>
  <c r="T54" i="2"/>
  <c r="S49" i="2"/>
  <c r="T49" i="2"/>
  <c r="S50" i="2"/>
  <c r="T50" i="2"/>
  <c r="S51" i="2"/>
  <c r="T51" i="2"/>
  <c r="S48" i="2"/>
  <c r="T48" i="2"/>
  <c r="P22" i="2"/>
  <c r="Q22" i="2"/>
  <c r="P42" i="2"/>
  <c r="Q42" i="2"/>
  <c r="P43" i="2"/>
  <c r="Q43" i="2"/>
  <c r="P44" i="2"/>
  <c r="Q44" i="2"/>
  <c r="P45" i="2"/>
  <c r="Q45" i="2"/>
  <c r="Q46" i="2"/>
  <c r="R22" i="2"/>
  <c r="P23" i="2"/>
  <c r="Q23" i="2"/>
  <c r="R23" i="2"/>
  <c r="P24" i="2"/>
  <c r="Q24" i="2"/>
  <c r="R24" i="2"/>
  <c r="P21" i="2"/>
  <c r="Q21" i="2"/>
  <c r="R21" i="2"/>
  <c r="S43" i="2"/>
  <c r="T43" i="2"/>
  <c r="S44" i="2"/>
  <c r="T44" i="2"/>
  <c r="S45" i="2"/>
  <c r="T45" i="2"/>
  <c r="S42" i="2"/>
  <c r="T42" i="2"/>
  <c r="T58" i="2"/>
  <c r="S58" i="2"/>
  <c r="R58" i="2"/>
  <c r="P58" i="2"/>
  <c r="O58" i="2"/>
  <c r="T52" i="2"/>
  <c r="S52" i="2"/>
  <c r="R52" i="2"/>
  <c r="P52" i="2"/>
  <c r="O52" i="2"/>
  <c r="T46" i="2"/>
  <c r="S46" i="2"/>
  <c r="R46" i="2"/>
  <c r="P46" i="2"/>
  <c r="O46" i="2"/>
  <c r="D34" i="2"/>
  <c r="E34" i="2"/>
  <c r="F34" i="2"/>
  <c r="D35" i="2"/>
  <c r="E35" i="2"/>
  <c r="F35" i="2"/>
  <c r="D36" i="2"/>
  <c r="E36" i="2"/>
  <c r="F36" i="2"/>
  <c r="D33" i="2"/>
  <c r="E33" i="2"/>
  <c r="F33" i="2"/>
  <c r="G54" i="2"/>
  <c r="H54" i="2"/>
  <c r="G55" i="2"/>
  <c r="H55" i="2"/>
  <c r="G56" i="2"/>
  <c r="H56" i="2"/>
  <c r="G57" i="2"/>
  <c r="H57" i="2"/>
  <c r="H58" i="2"/>
  <c r="G58" i="2"/>
  <c r="F58" i="2"/>
  <c r="D58" i="2"/>
  <c r="C58" i="2"/>
  <c r="D28" i="2"/>
  <c r="E28" i="2"/>
  <c r="D48" i="2"/>
  <c r="E48" i="2"/>
  <c r="D49" i="2"/>
  <c r="E49" i="2"/>
  <c r="D50" i="2"/>
  <c r="E50" i="2"/>
  <c r="D51" i="2"/>
  <c r="E51" i="2"/>
  <c r="E52" i="2"/>
  <c r="F28" i="2"/>
  <c r="D29" i="2"/>
  <c r="E29" i="2"/>
  <c r="F29" i="2"/>
  <c r="D30" i="2"/>
  <c r="E30" i="2"/>
  <c r="F30" i="2"/>
  <c r="D27" i="2"/>
  <c r="E27" i="2"/>
  <c r="F27" i="2"/>
  <c r="G48" i="2"/>
  <c r="H48" i="2"/>
  <c r="G49" i="2"/>
  <c r="H49" i="2"/>
  <c r="G50" i="2"/>
  <c r="H50" i="2"/>
  <c r="G51" i="2"/>
  <c r="H51" i="2"/>
  <c r="H52" i="2"/>
  <c r="G52" i="2"/>
  <c r="F52" i="2"/>
  <c r="D52" i="2"/>
  <c r="C52" i="2"/>
  <c r="D22" i="2"/>
  <c r="E22" i="2"/>
  <c r="D43" i="2"/>
  <c r="E43" i="2"/>
  <c r="D44" i="2"/>
  <c r="E44" i="2"/>
  <c r="D45" i="2"/>
  <c r="E45" i="2"/>
  <c r="D42" i="2"/>
  <c r="E42" i="2"/>
  <c r="E46" i="2"/>
  <c r="F22" i="2"/>
  <c r="D23" i="2"/>
  <c r="E23" i="2"/>
  <c r="F23" i="2"/>
  <c r="D24" i="2"/>
  <c r="E24" i="2"/>
  <c r="F24" i="2"/>
  <c r="D21" i="2"/>
  <c r="E21" i="2"/>
  <c r="F21" i="2"/>
  <c r="G43" i="2"/>
  <c r="G44" i="2"/>
  <c r="G45" i="2"/>
  <c r="D46" i="2"/>
  <c r="F46" i="2"/>
  <c r="G42" i="2"/>
  <c r="G46" i="2"/>
  <c r="H43" i="2"/>
  <c r="H44" i="2"/>
  <c r="H45" i="2"/>
  <c r="H42" i="2"/>
  <c r="H46" i="2"/>
  <c r="C46" i="2"/>
  <c r="H34" i="2"/>
  <c r="I34" i="2"/>
  <c r="H35" i="2"/>
  <c r="I35" i="2"/>
  <c r="H36" i="2"/>
  <c r="I36" i="2"/>
  <c r="K34" i="2"/>
  <c r="K35" i="2"/>
  <c r="K36" i="2"/>
  <c r="K28" i="2"/>
  <c r="K29" i="2"/>
  <c r="K30" i="2"/>
  <c r="H28" i="2"/>
  <c r="H29" i="2"/>
  <c r="H30" i="2"/>
  <c r="K22" i="2"/>
  <c r="K23" i="2"/>
  <c r="K24" i="2"/>
  <c r="H22" i="2"/>
  <c r="H23" i="2"/>
  <c r="H24" i="2"/>
  <c r="K33" i="2"/>
  <c r="H33" i="2"/>
  <c r="I33" i="2"/>
  <c r="K27" i="2"/>
  <c r="H27" i="2"/>
  <c r="H21" i="2"/>
  <c r="I30" i="2"/>
  <c r="I29" i="2"/>
  <c r="I28" i="2"/>
  <c r="I27" i="2"/>
  <c r="I24" i="2"/>
  <c r="I23" i="2"/>
  <c r="I22" i="2"/>
  <c r="I21" i="2"/>
  <c r="T34" i="2"/>
  <c r="T35" i="2"/>
  <c r="T36" i="2"/>
  <c r="W34" i="2"/>
  <c r="W35" i="2"/>
  <c r="W36" i="2"/>
  <c r="W33" i="2"/>
  <c r="T33" i="2"/>
  <c r="U36" i="2"/>
  <c r="U35" i="2"/>
  <c r="U34" i="2"/>
  <c r="U33" i="2"/>
  <c r="W28" i="2"/>
  <c r="W29" i="2"/>
  <c r="W30" i="2"/>
  <c r="W27" i="2"/>
  <c r="T28" i="2"/>
  <c r="T29" i="2"/>
  <c r="T30" i="2"/>
  <c r="T27" i="2"/>
  <c r="U30" i="2"/>
  <c r="U29" i="2"/>
  <c r="U28" i="2"/>
  <c r="U27" i="2"/>
  <c r="W22" i="2"/>
  <c r="W23" i="2"/>
  <c r="W24" i="2"/>
  <c r="W21" i="2"/>
  <c r="T24" i="2"/>
  <c r="U24" i="2"/>
  <c r="T21" i="2"/>
  <c r="U21" i="2"/>
  <c r="N16" i="2"/>
  <c r="N15" i="2"/>
  <c r="N14" i="2"/>
  <c r="N13" i="2"/>
  <c r="N12" i="2"/>
  <c r="O12" i="2"/>
  <c r="T23" i="2"/>
  <c r="U23" i="2"/>
  <c r="T22" i="2"/>
  <c r="U22" i="2"/>
  <c r="S12" i="2"/>
  <c r="S13" i="2"/>
  <c r="S14" i="2"/>
  <c r="S15" i="2"/>
  <c r="S16" i="2"/>
  <c r="S17" i="2"/>
  <c r="R12" i="2"/>
  <c r="R13" i="2"/>
  <c r="R14" i="2"/>
  <c r="R15" i="2"/>
  <c r="R16" i="2"/>
  <c r="R17" i="2"/>
  <c r="P17" i="2"/>
  <c r="O13" i="2"/>
  <c r="O14" i="2"/>
  <c r="O15" i="2"/>
  <c r="O16" i="2"/>
  <c r="O17" i="2"/>
  <c r="N17" i="2"/>
  <c r="M17" i="2"/>
  <c r="L17" i="2"/>
  <c r="B17" i="2"/>
  <c r="C17" i="2"/>
  <c r="C8" i="2"/>
  <c r="J8" i="2"/>
  <c r="D13" i="2"/>
  <c r="D14" i="2"/>
  <c r="D15" i="2"/>
  <c r="D16" i="2"/>
  <c r="D12" i="2"/>
  <c r="D17" i="2"/>
  <c r="E13" i="2"/>
  <c r="E14" i="2"/>
  <c r="E15" i="2"/>
  <c r="E16" i="2"/>
  <c r="E12" i="2"/>
  <c r="E17" i="2"/>
  <c r="F17" i="2"/>
  <c r="G13" i="2"/>
  <c r="G14" i="2"/>
  <c r="G15" i="2"/>
  <c r="G16" i="2"/>
  <c r="G12" i="2"/>
  <c r="G17" i="2"/>
  <c r="H13" i="2"/>
  <c r="H14" i="2"/>
  <c r="H15" i="2"/>
  <c r="H16" i="2"/>
  <c r="H12" i="2"/>
  <c r="H17" i="2"/>
  <c r="I12" i="2"/>
  <c r="I13" i="2"/>
  <c r="I14" i="2"/>
  <c r="I15" i="2"/>
  <c r="I16" i="2"/>
  <c r="I17" i="2"/>
  <c r="M8" i="2"/>
  <c r="L8" i="2"/>
  <c r="F8" i="2"/>
  <c r="E8" i="2"/>
  <c r="M7" i="2"/>
  <c r="L7" i="2"/>
  <c r="J7" i="2"/>
  <c r="F7" i="2"/>
  <c r="E7" i="2"/>
  <c r="C7" i="2"/>
  <c r="M6" i="2"/>
  <c r="L6" i="2"/>
  <c r="F6" i="2"/>
  <c r="E6" i="2"/>
  <c r="M5" i="2"/>
  <c r="L5" i="2"/>
  <c r="J5" i="2"/>
  <c r="F5" i="2"/>
  <c r="E5" i="2"/>
  <c r="C5" i="2"/>
  <c r="T4" i="2"/>
  <c r="S4" i="2"/>
  <c r="Q4" i="2"/>
  <c r="M4" i="2"/>
  <c r="L4" i="2"/>
  <c r="J4" i="2"/>
  <c r="F4" i="2"/>
  <c r="E4" i="2"/>
  <c r="C4" i="2"/>
  <c r="C8" i="1"/>
  <c r="J8" i="1"/>
  <c r="M36" i="1"/>
  <c r="N36" i="1"/>
  <c r="M37" i="1"/>
  <c r="N37" i="1"/>
  <c r="M38" i="1"/>
  <c r="N38" i="1"/>
  <c r="M39" i="1"/>
  <c r="N39" i="1"/>
  <c r="M40" i="1"/>
  <c r="N40" i="1"/>
  <c r="N41" i="1"/>
  <c r="M41" i="1"/>
  <c r="O25" i="1"/>
  <c r="P40" i="1"/>
  <c r="P39" i="1"/>
  <c r="P38" i="1"/>
  <c r="P37" i="1"/>
  <c r="P36" i="1"/>
  <c r="M34" i="1"/>
  <c r="M33" i="1"/>
  <c r="M32" i="1"/>
  <c r="M31" i="1"/>
  <c r="M24" i="1"/>
  <c r="M23" i="1"/>
  <c r="M22" i="1"/>
  <c r="M21" i="1"/>
  <c r="M20" i="1"/>
  <c r="M19" i="1"/>
  <c r="M18" i="1"/>
  <c r="M17" i="1"/>
  <c r="M16" i="1"/>
  <c r="M15" i="1"/>
  <c r="Q34" i="1"/>
  <c r="P34" i="1"/>
  <c r="N34" i="1"/>
  <c r="Q33" i="1"/>
  <c r="P33" i="1"/>
  <c r="N33" i="1"/>
  <c r="Q32" i="1"/>
  <c r="P32" i="1"/>
  <c r="N32" i="1"/>
  <c r="Q31" i="1"/>
  <c r="P31" i="1"/>
  <c r="N31" i="1"/>
  <c r="N16" i="1"/>
  <c r="N17" i="1"/>
  <c r="N18" i="1"/>
  <c r="N19" i="1"/>
  <c r="N20" i="1"/>
  <c r="N21" i="1"/>
  <c r="N22" i="1"/>
  <c r="N23" i="1"/>
  <c r="N24" i="1"/>
  <c r="N15" i="1"/>
  <c r="M8" i="1"/>
  <c r="L8" i="1"/>
  <c r="F8" i="1"/>
  <c r="E8" i="1"/>
  <c r="Q15" i="1"/>
  <c r="Q16" i="1"/>
  <c r="Q17" i="1"/>
  <c r="Q18" i="1"/>
  <c r="Q19" i="1"/>
  <c r="Q20" i="1"/>
  <c r="Q21" i="1"/>
  <c r="Q22" i="1"/>
  <c r="Q23" i="1"/>
  <c r="Q24" i="1"/>
  <c r="Q25" i="1"/>
  <c r="P15" i="1"/>
  <c r="P16" i="1"/>
  <c r="P17" i="1"/>
  <c r="P18" i="1"/>
  <c r="P19" i="1"/>
  <c r="P20" i="1"/>
  <c r="P21" i="1"/>
  <c r="P22" i="1"/>
  <c r="P23" i="1"/>
  <c r="P24" i="1"/>
  <c r="P25" i="1"/>
  <c r="N25" i="1"/>
  <c r="H32" i="1"/>
  <c r="H33" i="1"/>
  <c r="H34" i="1"/>
  <c r="H31" i="1"/>
  <c r="C10" i="1"/>
  <c r="J10" i="1"/>
  <c r="D31" i="1"/>
  <c r="E31" i="1"/>
  <c r="D32" i="1"/>
  <c r="E32" i="1"/>
  <c r="F25" i="1"/>
  <c r="G31" i="1"/>
  <c r="G32" i="1"/>
  <c r="D33" i="1"/>
  <c r="E33" i="1"/>
  <c r="G33" i="1"/>
  <c r="G34" i="1"/>
  <c r="D34" i="1"/>
  <c r="E34" i="1"/>
  <c r="T6" i="1"/>
  <c r="S6" i="1"/>
  <c r="Q6" i="1"/>
  <c r="H15" i="1"/>
  <c r="H16" i="1"/>
  <c r="H17" i="1"/>
  <c r="H18" i="1"/>
  <c r="H19" i="1"/>
  <c r="H20" i="1"/>
  <c r="H21" i="1"/>
  <c r="H22" i="1"/>
  <c r="H23" i="1"/>
  <c r="H24" i="1"/>
  <c r="H25" i="1"/>
  <c r="G15" i="1"/>
  <c r="G16" i="1"/>
  <c r="G17" i="1"/>
  <c r="G18" i="1"/>
  <c r="G19" i="1"/>
  <c r="G20" i="1"/>
  <c r="G21" i="1"/>
  <c r="G22" i="1"/>
  <c r="G23" i="1"/>
  <c r="G24" i="1"/>
  <c r="G25" i="1"/>
  <c r="D24" i="1"/>
  <c r="D23" i="1"/>
  <c r="D22" i="1"/>
  <c r="E22" i="1"/>
  <c r="E23" i="1"/>
  <c r="E2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E25" i="1"/>
  <c r="F10" i="1"/>
  <c r="E10" i="1"/>
  <c r="E9" i="1"/>
  <c r="F9" i="1"/>
  <c r="C9" i="1"/>
  <c r="M10" i="1"/>
  <c r="M9" i="1"/>
  <c r="L10" i="1"/>
  <c r="L9" i="1"/>
  <c r="J9" i="1"/>
  <c r="C7" i="1"/>
  <c r="E7" i="1"/>
  <c r="F7" i="1"/>
  <c r="E6" i="1"/>
  <c r="M7" i="1"/>
  <c r="L7" i="1"/>
  <c r="J7" i="1"/>
  <c r="F6" i="1"/>
  <c r="M6" i="1"/>
  <c r="L6" i="1"/>
  <c r="J6" i="1"/>
  <c r="C6" i="1"/>
</calcChain>
</file>

<file path=xl/sharedStrings.xml><?xml version="1.0" encoding="utf-8"?>
<sst xmlns="http://schemas.openxmlformats.org/spreadsheetml/2006/main" count="235" uniqueCount="54">
  <si>
    <t>UMo LAMMPS</t>
  </si>
  <si>
    <t>UMoXe EAM</t>
  </si>
  <si>
    <t>bccU</t>
  </si>
  <si>
    <t>bccMo</t>
  </si>
  <si>
    <t>T</t>
  </si>
  <si>
    <t>E</t>
  </si>
  <si>
    <t>V/at</t>
  </si>
  <si>
    <t>E/at</t>
  </si>
  <si>
    <t>V</t>
  </si>
  <si>
    <t>a</t>
  </si>
  <si>
    <t>Ef</t>
  </si>
  <si>
    <t>Ef/at</t>
  </si>
  <si>
    <t>avg</t>
  </si>
  <si>
    <t>u10mo/22at%</t>
  </si>
  <si>
    <t>fcc Xe</t>
  </si>
  <si>
    <t>u10moxebub</t>
  </si>
  <si>
    <t>~10nm bubble</t>
  </si>
  <si>
    <t>bub</t>
  </si>
  <si>
    <t>bub1</t>
  </si>
  <si>
    <t>bub2</t>
  </si>
  <si>
    <t>bub3</t>
  </si>
  <si>
    <t>xe atoms</t>
  </si>
  <si>
    <t>delV</t>
  </si>
  <si>
    <t>Ef/atom</t>
  </si>
  <si>
    <t>gas/vac ratio</t>
  </si>
  <si>
    <t>1000K</t>
  </si>
  <si>
    <t>500K</t>
  </si>
  <si>
    <t>rand1</t>
  </si>
  <si>
    <t>rand2</t>
  </si>
  <si>
    <t>rand3</t>
  </si>
  <si>
    <t>rand4</t>
  </si>
  <si>
    <t>rand5</t>
  </si>
  <si>
    <t>85K atoms</t>
  </si>
  <si>
    <t>%Mo</t>
  </si>
  <si>
    <t>fcc 4 bub</t>
  </si>
  <si>
    <t>V2</t>
  </si>
  <si>
    <t>Vdel</t>
  </si>
  <si>
    <t>A</t>
  </si>
  <si>
    <t>B</t>
  </si>
  <si>
    <t>C</t>
  </si>
  <si>
    <t>D</t>
  </si>
  <si>
    <t>alt2 4bub</t>
  </si>
  <si>
    <t>alt3 4bub</t>
  </si>
  <si>
    <t>3nm</t>
  </si>
  <si>
    <t>4nm</t>
  </si>
  <si>
    <t>4nm VOID</t>
  </si>
  <si>
    <t>del Ef/at</t>
  </si>
  <si>
    <t>A1</t>
  </si>
  <si>
    <t>A2</t>
  </si>
  <si>
    <t>A3</t>
  </si>
  <si>
    <t>A4</t>
  </si>
  <si>
    <t>3nm VOID</t>
  </si>
  <si>
    <t>5nm</t>
  </si>
  <si>
    <t>one bub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</si>
</sst>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Sheet1!$H$31:$H$34</c:f>
              <c:numCache>
                <c:formatCode>General</c:formatCode>
                <c:ptCount val="4"/>
                <c:pt idx="0">
                  <c:v>0.73949579831932777</c:v>
                </c:pt>
                <c:pt idx="1">
                  <c:v>0.5714285714285714</c:v>
                </c:pt>
                <c:pt idx="2">
                  <c:v>0.37394957983193278</c:v>
                </c:pt>
                <c:pt idx="3">
                  <c:v>0.11764705882352941</c:v>
                </c:pt>
              </c:numCache>
            </c:numRef>
          </c:xVal>
          <c:yVal>
            <c:numRef>
              <c:f>Sheet1!$D$31:$D$34</c:f>
              <c:numCache>
                <c:formatCode>General</c:formatCode>
                <c:ptCount val="4"/>
                <c:pt idx="0">
                  <c:v>3048.1838749924318</c:v>
                </c:pt>
                <c:pt idx="1">
                  <c:v>2957.5048359924367</c:v>
                </c:pt>
                <c:pt idx="2">
                  <c:v>2867.88771199244</c:v>
                </c:pt>
                <c:pt idx="3">
                  <c:v>2809.9321959924382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8-1444-8D14-20E1E611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46728"/>
        <c:axId val="1603249688"/>
      </c:scatterChart>
      <c:valAx>
        <c:axId val="160324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3249688"/>
        <c:crosses val="autoZero"/>
        <c:crossBetween val="midCat"/>
      </c:valAx>
      <c:valAx>
        <c:axId val="1603249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0324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Sheet1!$Q$31:$Q$34</c:f>
              <c:numCache>
                <c:formatCode>General</c:formatCode>
                <c:ptCount val="4"/>
                <c:pt idx="0">
                  <c:v>0.73949579831932777</c:v>
                </c:pt>
                <c:pt idx="1">
                  <c:v>0.5714285714285714</c:v>
                </c:pt>
                <c:pt idx="2">
                  <c:v>0.37394957983193278</c:v>
                </c:pt>
                <c:pt idx="3">
                  <c:v>0.11764705882352941</c:v>
                </c:pt>
              </c:numCache>
            </c:numRef>
          </c:xVal>
          <c:yVal>
            <c:numRef>
              <c:f>Sheet1!$M$31:$M$34</c:f>
              <c:numCache>
                <c:formatCode>General</c:formatCode>
                <c:ptCount val="4"/>
                <c:pt idx="0">
                  <c:v>3092.0032191862374</c:v>
                </c:pt>
                <c:pt idx="1">
                  <c:v>3022.8045821862434</c:v>
                </c:pt>
                <c:pt idx="2">
                  <c:v>2953.9865731862483</c:v>
                </c:pt>
                <c:pt idx="3">
                  <c:v>2913.5017591862379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D-E44E-8868-0ECA3540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28168"/>
        <c:axId val="1602725208"/>
      </c:scatterChart>
      <c:valAx>
        <c:axId val="160272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2725208"/>
        <c:crosses val="autoZero"/>
        <c:crossBetween val="midCat"/>
      </c:valAx>
      <c:valAx>
        <c:axId val="1602725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02728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Sheet1!$A$53:$A$82</c:f>
              <c:numCache>
                <c:formatCode>General</c:formatCode>
                <c:ptCount val="3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</c:numCache>
            </c:numRef>
          </c:xVal>
          <c:yVal>
            <c:numRef>
              <c:f>Sheet1!$C$53:$C$82</c:f>
              <c:numCache>
                <c:formatCode>General</c:formatCode>
                <c:ptCount val="30"/>
                <c:pt idx="0">
                  <c:v>-70766.360270000005</c:v>
                </c:pt>
                <c:pt idx="1">
                  <c:v>-70837.970856999993</c:v>
                </c:pt>
                <c:pt idx="2">
                  <c:v>-70861.675847000006</c:v>
                </c:pt>
                <c:pt idx="3">
                  <c:v>-70865.738264</c:v>
                </c:pt>
                <c:pt idx="4">
                  <c:v>-70869.163255000007</c:v>
                </c:pt>
                <c:pt idx="5">
                  <c:v>-70887.672185000003</c:v>
                </c:pt>
                <c:pt idx="6">
                  <c:v>-70895.490512000004</c:v>
                </c:pt>
                <c:pt idx="7">
                  <c:v>-70874.989440000005</c:v>
                </c:pt>
                <c:pt idx="8">
                  <c:v>-70895.626738000006</c:v>
                </c:pt>
                <c:pt idx="9">
                  <c:v>-70902.574357999998</c:v>
                </c:pt>
                <c:pt idx="10">
                  <c:v>-70907.253188999995</c:v>
                </c:pt>
                <c:pt idx="11">
                  <c:v>-70924.944919999994</c:v>
                </c:pt>
                <c:pt idx="12">
                  <c:v>-70901.382354999994</c:v>
                </c:pt>
                <c:pt idx="13">
                  <c:v>-70920.921711000003</c:v>
                </c:pt>
                <c:pt idx="14">
                  <c:v>-70923.133688000002</c:v>
                </c:pt>
                <c:pt idx="15">
                  <c:v>-70917.010590999998</c:v>
                </c:pt>
                <c:pt idx="16">
                  <c:v>-70929.626573000001</c:v>
                </c:pt>
                <c:pt idx="17">
                  <c:v>-70924.038551999998</c:v>
                </c:pt>
                <c:pt idx="18">
                  <c:v>-70931.344859000004</c:v>
                </c:pt>
                <c:pt idx="19">
                  <c:v>-70915.663690000001</c:v>
                </c:pt>
                <c:pt idx="20">
                  <c:v>-70922.395994999999</c:v>
                </c:pt>
                <c:pt idx="21">
                  <c:v>-70931.667598999993</c:v>
                </c:pt>
                <c:pt idx="22">
                  <c:v>-70923.121826999995</c:v>
                </c:pt>
                <c:pt idx="23">
                  <c:v>-70918.539288</c:v>
                </c:pt>
                <c:pt idx="24">
                  <c:v>-70926.869336999996</c:v>
                </c:pt>
                <c:pt idx="25">
                  <c:v>-70934.074038999999</c:v>
                </c:pt>
                <c:pt idx="26">
                  <c:v>-70921.937233000004</c:v>
                </c:pt>
                <c:pt idx="27">
                  <c:v>-70933.083094999995</c:v>
                </c:pt>
                <c:pt idx="28">
                  <c:v>-70927.691940000004</c:v>
                </c:pt>
                <c:pt idx="29">
                  <c:v>-70937.252613999997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3-CC4E-9174-0FBF064B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00792"/>
        <c:axId val="1602697832"/>
      </c:scatterChart>
      <c:valAx>
        <c:axId val="1602700792"/>
        <c:scaling>
          <c:orientation val="minMax"/>
          <c:max val="300000"/>
        </c:scaling>
        <c:delete val="0"/>
        <c:axPos val="b"/>
        <c:numFmt formatCode="General" sourceLinked="1"/>
        <c:majorTickMark val="out"/>
        <c:minorTickMark val="none"/>
        <c:tickLblPos val="nextTo"/>
        <c:crossAx val="1602697832"/>
        <c:crosses val="autoZero"/>
        <c:crossBetween val="midCat"/>
        <c:majorUnit val="50000"/>
      </c:valAx>
      <c:valAx>
        <c:axId val="1602697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02700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(Sheet2!$Q$46,Sheet2!$Q$52,Sheet2!$Q$58)</c:f>
              <c:numCache>
                <c:formatCode>General</c:formatCode>
                <c:ptCount val="3"/>
                <c:pt idx="0">
                  <c:v>0.18608486790859582</c:v>
                </c:pt>
                <c:pt idx="1">
                  <c:v>0.18607139062087147</c:v>
                </c:pt>
                <c:pt idx="2">
                  <c:v>0.18602289392978905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D-8C45-BD56-EA730BF682B4}"/>
            </c:ext>
          </c:extLst>
        </c:ser>
        <c:ser>
          <c:idx val="1"/>
          <c:order val="1"/>
          <c:yVal>
            <c:numRef>
              <c:f>(Sheet2!$E$46,Sheet2!$E$52,Sheet2!$E$58)</c:f>
              <c:numCache>
                <c:formatCode>General</c:formatCode>
                <c:ptCount val="3"/>
                <c:pt idx="0">
                  <c:v>0.19369075380178641</c:v>
                </c:pt>
                <c:pt idx="1">
                  <c:v>0.19384516624926729</c:v>
                </c:pt>
                <c:pt idx="2">
                  <c:v>0.1937519642554914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D-8C45-BD56-EA730BF682B4}"/>
            </c:ext>
          </c:extLst>
        </c:ser>
        <c:ser>
          <c:idx val="2"/>
          <c:order val="2"/>
          <c:yVal>
            <c:numRef>
              <c:f>(Sheet2!$Q$21,Sheet2!$Q$27,Sheet2!$Q$33)</c:f>
              <c:numCache>
                <c:formatCode>General</c:formatCode>
                <c:ptCount val="3"/>
                <c:pt idx="0">
                  <c:v>0.20286270059047598</c:v>
                </c:pt>
                <c:pt idx="1">
                  <c:v>0.20289546130848085</c:v>
                </c:pt>
                <c:pt idx="2">
                  <c:v>0.20344805800970378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D-8C45-BD56-EA730BF682B4}"/>
            </c:ext>
          </c:extLst>
        </c:ser>
        <c:ser>
          <c:idx val="3"/>
          <c:order val="3"/>
          <c:yVal>
            <c:numRef>
              <c:f>(Sheet2!$Q$22,Sheet2!$Q$28,Sheet2!$Q$34)</c:f>
              <c:numCache>
                <c:formatCode>General</c:formatCode>
                <c:ptCount val="3"/>
                <c:pt idx="0">
                  <c:v>0.19493587244104613</c:v>
                </c:pt>
                <c:pt idx="1">
                  <c:v>0.19431623878070423</c:v>
                </c:pt>
                <c:pt idx="2">
                  <c:v>0.19482907206078476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D-8C45-BD56-EA730BF682B4}"/>
            </c:ext>
          </c:extLst>
        </c:ser>
        <c:ser>
          <c:idx val="4"/>
          <c:order val="4"/>
          <c:yVal>
            <c:numRef>
              <c:f>(Sheet2!$Q$23,Sheet2!$Q$29,Sheet2!$Q$35)</c:f>
              <c:numCache>
                <c:formatCode>General</c:formatCode>
                <c:ptCount val="3"/>
                <c:pt idx="0">
                  <c:v>0.18822067597386274</c:v>
                </c:pt>
                <c:pt idx="1">
                  <c:v>0.18806754279924426</c:v>
                </c:pt>
                <c:pt idx="2">
                  <c:v>0.1882634494548473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9D-8C45-BD56-EA730BF682B4}"/>
            </c:ext>
          </c:extLst>
        </c:ser>
        <c:ser>
          <c:idx val="5"/>
          <c:order val="5"/>
          <c:yVal>
            <c:numRef>
              <c:f>(Sheet2!$Q$24,Sheet2!$Q$30,Sheet2!$Q$36)</c:f>
              <c:numCache>
                <c:formatCode>General</c:formatCode>
                <c:ptCount val="3"/>
                <c:pt idx="0">
                  <c:v>0.18611502796925039</c:v>
                </c:pt>
                <c:pt idx="1">
                  <c:v>0.18607329796102826</c:v>
                </c:pt>
                <c:pt idx="2">
                  <c:v>0.18601516913190502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9D-8C45-BD56-EA730BF682B4}"/>
            </c:ext>
          </c:extLst>
        </c:ser>
        <c:ser>
          <c:idx val="6"/>
          <c:order val="6"/>
          <c:yVal>
            <c:numRef>
              <c:f>(Sheet2!$E$21,Sheet2!$E$27,Sheet2!$E$33)</c:f>
              <c:numCache>
                <c:formatCode>General</c:formatCode>
                <c:ptCount val="3"/>
                <c:pt idx="0">
                  <c:v>0.23229571252235101</c:v>
                </c:pt>
                <c:pt idx="1">
                  <c:v>0.23282850005234612</c:v>
                </c:pt>
                <c:pt idx="2">
                  <c:v>0.23043314893152053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9D-8C45-BD56-EA730BF682B4}"/>
            </c:ext>
          </c:extLst>
        </c:ser>
        <c:ser>
          <c:idx val="7"/>
          <c:order val="7"/>
          <c:yVal>
            <c:numRef>
              <c:f>(Sheet2!$E$22,Sheet2!$E$28,Sheet2!$E$34)</c:f>
              <c:numCache>
                <c:formatCode>General</c:formatCode>
                <c:ptCount val="3"/>
                <c:pt idx="0">
                  <c:v>0.21329237840873186</c:v>
                </c:pt>
                <c:pt idx="1">
                  <c:v>0.21322167355168256</c:v>
                </c:pt>
                <c:pt idx="2">
                  <c:v>0.21441819619954783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9D-8C45-BD56-EA730BF682B4}"/>
            </c:ext>
          </c:extLst>
        </c:ser>
        <c:ser>
          <c:idx val="8"/>
          <c:order val="8"/>
          <c:yVal>
            <c:numRef>
              <c:f>(Sheet2!$E$23,Sheet2!$E$29,Sheet2!$E$35)</c:f>
              <c:numCache>
                <c:formatCode>General</c:formatCode>
                <c:ptCount val="3"/>
                <c:pt idx="0">
                  <c:v>0.19864667447469556</c:v>
                </c:pt>
                <c:pt idx="1">
                  <c:v>0.1985047372119747</c:v>
                </c:pt>
                <c:pt idx="2">
                  <c:v>0.19858804935307861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9D-8C45-BD56-EA730BF682B4}"/>
            </c:ext>
          </c:extLst>
        </c:ser>
        <c:ser>
          <c:idx val="9"/>
          <c:order val="9"/>
          <c:yVal>
            <c:numRef>
              <c:f>(Sheet2!$E$24,Sheet2!$E$30,Sheet2!$E$36)</c:f>
              <c:numCache>
                <c:formatCode>General</c:formatCode>
                <c:ptCount val="3"/>
                <c:pt idx="0">
                  <c:v>0.19375594903039808</c:v>
                </c:pt>
                <c:pt idx="1">
                  <c:v>0.19379530316664595</c:v>
                </c:pt>
                <c:pt idx="2">
                  <c:v>0.19383479847968543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9D-8C45-BD56-EA730BF68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22200"/>
        <c:axId val="1602619240"/>
      </c:scatterChart>
      <c:valAx>
        <c:axId val="160262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619240"/>
        <c:crosses val="autoZero"/>
        <c:crossBetween val="midCat"/>
        <c:majorUnit val="1"/>
      </c:valAx>
      <c:valAx>
        <c:axId val="1602619240"/>
        <c:scaling>
          <c:orientation val="minMax"/>
          <c:min val="0.18"/>
        </c:scaling>
        <c:delete val="0"/>
        <c:axPos val="l"/>
        <c:numFmt formatCode="General" sourceLinked="1"/>
        <c:majorTickMark val="out"/>
        <c:minorTickMark val="none"/>
        <c:tickLblPos val="nextTo"/>
        <c:crossAx val="1602622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36</xdr:row>
      <xdr:rowOff>139700</xdr:rowOff>
    </xdr:from>
    <xdr:to>
      <xdr:col>6</xdr:col>
      <xdr:colOff>762000</xdr:colOff>
      <xdr:row>51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45</xdr:row>
      <xdr:rowOff>88900</xdr:rowOff>
    </xdr:from>
    <xdr:to>
      <xdr:col>15</xdr:col>
      <xdr:colOff>0</xdr:colOff>
      <xdr:row>59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63</xdr:row>
      <xdr:rowOff>101600</xdr:rowOff>
    </xdr:from>
    <xdr:to>
      <xdr:col>11</xdr:col>
      <xdr:colOff>38100</xdr:colOff>
      <xdr:row>77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60</xdr:row>
      <xdr:rowOff>158750</xdr:rowOff>
    </xdr:from>
    <xdr:to>
      <xdr:col>7</xdr:col>
      <xdr:colOff>127000</xdr:colOff>
      <xdr:row>75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>
      <selection activeCell="I38" sqref="I38"/>
    </sheetView>
  </sheetViews>
  <sheetFormatPr baseColWidth="10" defaultRowHeight="16" x14ac:dyDescent="0.2"/>
  <sheetData>
    <row r="1" spans="1:20" x14ac:dyDescent="0.2">
      <c r="A1" t="s">
        <v>0</v>
      </c>
    </row>
    <row r="3" spans="1:20" x14ac:dyDescent="0.2">
      <c r="A3" t="s">
        <v>1</v>
      </c>
    </row>
    <row r="4" spans="1:20" x14ac:dyDescent="0.2">
      <c r="A4" t="s">
        <v>2</v>
      </c>
      <c r="H4" t="s">
        <v>3</v>
      </c>
      <c r="O4" t="s">
        <v>14</v>
      </c>
    </row>
    <row r="5" spans="1:20" x14ac:dyDescent="0.2">
      <c r="A5" t="s">
        <v>4</v>
      </c>
      <c r="B5" t="s">
        <v>5</v>
      </c>
      <c r="C5" t="s">
        <v>7</v>
      </c>
      <c r="D5" t="s">
        <v>8</v>
      </c>
      <c r="E5" t="s">
        <v>6</v>
      </c>
      <c r="F5" t="s">
        <v>9</v>
      </c>
      <c r="H5" t="s">
        <v>4</v>
      </c>
      <c r="I5" t="s">
        <v>5</v>
      </c>
      <c r="J5" t="s">
        <v>7</v>
      </c>
      <c r="K5" t="s">
        <v>8</v>
      </c>
      <c r="L5" t="s">
        <v>6</v>
      </c>
      <c r="M5" t="s">
        <v>9</v>
      </c>
      <c r="O5" t="s">
        <v>4</v>
      </c>
      <c r="P5" t="s">
        <v>5</v>
      </c>
      <c r="Q5" t="s">
        <v>7</v>
      </c>
      <c r="R5" t="s">
        <v>8</v>
      </c>
      <c r="S5" t="s">
        <v>6</v>
      </c>
      <c r="T5" t="s">
        <v>9</v>
      </c>
    </row>
    <row r="6" spans="1:20" x14ac:dyDescent="0.2">
      <c r="A6">
        <v>0</v>
      </c>
      <c r="B6">
        <v>-1036.8672999999999</v>
      </c>
      <c r="C6" s="1">
        <f>B6/250</f>
        <v>-4.1474691999999997</v>
      </c>
      <c r="D6">
        <v>5616.9889999999996</v>
      </c>
      <c r="E6" s="1">
        <f>D6/250</f>
        <v>22.467955999999997</v>
      </c>
      <c r="F6" s="1">
        <f>(D6^(1/3))/5</f>
        <v>3.5552039527896255</v>
      </c>
      <c r="H6">
        <v>0</v>
      </c>
      <c r="I6">
        <v>-1732.3426999999999</v>
      </c>
      <c r="J6" s="1">
        <f>I6/250</f>
        <v>-6.9293708000000001</v>
      </c>
      <c r="K6">
        <v>3897.3717999999999</v>
      </c>
      <c r="L6" s="1">
        <f>K6/250</f>
        <v>15.589487199999999</v>
      </c>
      <c r="M6" s="1">
        <f>(K6^(1/3))/5</f>
        <v>3.1474145039395007</v>
      </c>
      <c r="O6">
        <v>0</v>
      </c>
      <c r="P6">
        <v>-4.8115075999999997</v>
      </c>
      <c r="Q6">
        <f>P6/500</f>
        <v>-9.6230151999999996E-3</v>
      </c>
      <c r="R6">
        <v>35851.055</v>
      </c>
      <c r="S6">
        <f>R6/500</f>
        <v>71.702110000000005</v>
      </c>
      <c r="T6" s="1">
        <f>(R6^(1/3))/5</f>
        <v>6.5947343982251949</v>
      </c>
    </row>
    <row r="7" spans="1:20" x14ac:dyDescent="0.2">
      <c r="A7">
        <v>500</v>
      </c>
      <c r="B7">
        <v>-1026.5398929999999</v>
      </c>
      <c r="C7" s="1">
        <f>B7/250</f>
        <v>-4.1061595719999993</v>
      </c>
      <c r="D7">
        <v>5543.7798620000003</v>
      </c>
      <c r="E7" s="1">
        <f>D7/250</f>
        <v>22.175119448</v>
      </c>
      <c r="F7" s="1">
        <f>(D7^(1/3))/5</f>
        <v>3.5396907519229392</v>
      </c>
      <c r="H7">
        <v>500</v>
      </c>
      <c r="I7">
        <v>-1715.3859339999999</v>
      </c>
      <c r="J7" s="1">
        <f>I7/250</f>
        <v>-6.8615437359999998</v>
      </c>
      <c r="K7">
        <v>3921.455277</v>
      </c>
      <c r="L7" s="1">
        <f>K7/250</f>
        <v>15.685821108000001</v>
      </c>
      <c r="M7" s="1">
        <f>(K7^(1/3))/5</f>
        <v>3.1538842556838005</v>
      </c>
      <c r="O7">
        <v>1000</v>
      </c>
    </row>
    <row r="8" spans="1:20" x14ac:dyDescent="0.2">
      <c r="A8">
        <v>500</v>
      </c>
      <c r="B8">
        <v>-65705.594071</v>
      </c>
      <c r="C8" s="1">
        <f>B8/16000</f>
        <v>-4.1065996294374996</v>
      </c>
      <c r="D8">
        <v>355172.18839000002</v>
      </c>
      <c r="E8" s="1">
        <f>D8/16000</f>
        <v>22.198261774375002</v>
      </c>
      <c r="F8" s="1">
        <f>(D8^(1/3))/20</f>
        <v>3.5409216840164559</v>
      </c>
      <c r="H8">
        <v>500</v>
      </c>
      <c r="I8">
        <v>-109783.95748899999</v>
      </c>
      <c r="J8" s="1">
        <f>I8/16000</f>
        <v>-6.8614973430624993</v>
      </c>
      <c r="K8">
        <v>250970.37695000001</v>
      </c>
      <c r="L8" s="1">
        <f>K8/16000</f>
        <v>15.685648559375</v>
      </c>
      <c r="M8" s="1">
        <f>(K8^(1/3))/20</f>
        <v>3.1538726910913057</v>
      </c>
    </row>
    <row r="9" spans="1:20" x14ac:dyDescent="0.2">
      <c r="A9">
        <v>1000</v>
      </c>
      <c r="B9">
        <v>-1008.4696269999999</v>
      </c>
      <c r="C9" s="1">
        <f>B9/250</f>
        <v>-4.0338785079999999</v>
      </c>
      <c r="D9">
        <v>5550.3313170000001</v>
      </c>
      <c r="E9" s="1">
        <f>D9/250</f>
        <v>22.201325268000002</v>
      </c>
      <c r="F9" s="1">
        <f>(D9^(1/3))/5</f>
        <v>3.5410845660196086</v>
      </c>
      <c r="H9">
        <v>1000</v>
      </c>
      <c r="I9">
        <v>-1696.36833</v>
      </c>
      <c r="J9" s="1">
        <f>I9/250</f>
        <v>-6.7854733200000004</v>
      </c>
      <c r="K9">
        <v>3954.8734020000002</v>
      </c>
      <c r="L9" s="1">
        <f>K9/250</f>
        <v>15.819493608</v>
      </c>
      <c r="M9" s="1">
        <f>(K9^(1/3))/5</f>
        <v>3.162817921672314</v>
      </c>
    </row>
    <row r="10" spans="1:20" x14ac:dyDescent="0.2">
      <c r="A10">
        <v>1000</v>
      </c>
      <c r="B10">
        <v>-64540.064499</v>
      </c>
      <c r="C10" s="1">
        <f>B10/16000</f>
        <v>-4.0337540311874998</v>
      </c>
      <c r="D10">
        <v>355218.30471300002</v>
      </c>
      <c r="E10" s="1">
        <f>D10/16000</f>
        <v>22.201144044562501</v>
      </c>
      <c r="F10" s="1">
        <f>(D10^(1/3))/20</f>
        <v>3.5410749310202583</v>
      </c>
      <c r="H10">
        <v>1000</v>
      </c>
      <c r="I10">
        <v>-108559.43077000001</v>
      </c>
      <c r="J10" s="1">
        <f>I10/16000</f>
        <v>-6.7849644231250004</v>
      </c>
      <c r="K10">
        <v>253120.09164500001</v>
      </c>
      <c r="L10" s="1">
        <f>K10/16000</f>
        <v>15.8200057278125</v>
      </c>
      <c r="M10" s="1">
        <f>(K10^(1/3))/20</f>
        <v>3.1628520509620572</v>
      </c>
    </row>
    <row r="13" spans="1:20" x14ac:dyDescent="0.2">
      <c r="A13" t="s">
        <v>13</v>
      </c>
      <c r="J13" t="s">
        <v>13</v>
      </c>
    </row>
    <row r="14" spans="1:20" x14ac:dyDescent="0.2">
      <c r="B14" t="s">
        <v>4</v>
      </c>
      <c r="C14" t="s">
        <v>5</v>
      </c>
      <c r="D14" t="s">
        <v>10</v>
      </c>
      <c r="E14" t="s">
        <v>11</v>
      </c>
      <c r="F14" t="s">
        <v>8</v>
      </c>
      <c r="G14" t="s">
        <v>6</v>
      </c>
      <c r="H14" t="s">
        <v>9</v>
      </c>
      <c r="K14" t="s">
        <v>4</v>
      </c>
      <c r="L14" t="s">
        <v>5</v>
      </c>
      <c r="M14" t="s">
        <v>10</v>
      </c>
      <c r="N14" t="s">
        <v>11</v>
      </c>
      <c r="O14" t="s">
        <v>8</v>
      </c>
      <c r="P14" t="s">
        <v>6</v>
      </c>
      <c r="Q14" t="s">
        <v>9</v>
      </c>
    </row>
    <row r="15" spans="1:20" x14ac:dyDescent="0.2">
      <c r="A15">
        <v>1</v>
      </c>
      <c r="B15">
        <v>1000</v>
      </c>
      <c r="C15">
        <v>-71503.275318999993</v>
      </c>
      <c r="D15">
        <f>C15-12470*$C$10-3530*$J$10</f>
        <v>2748.5618635393803</v>
      </c>
      <c r="E15">
        <f>D15/16000</f>
        <v>0.17178511647121128</v>
      </c>
      <c r="F15">
        <v>320040.20705899998</v>
      </c>
      <c r="G15" s="1">
        <f>F15/16000</f>
        <v>20.002512941187497</v>
      </c>
      <c r="H15" s="1">
        <f>(F15^(1/3))/20</f>
        <v>3.4200951229876346</v>
      </c>
      <c r="J15">
        <v>1</v>
      </c>
      <c r="K15">
        <v>500</v>
      </c>
      <c r="L15">
        <v>-72601.692897999994</v>
      </c>
      <c r="M15">
        <f>L15-12470*$C$8-3530*$J$8</f>
        <v>2828.6901020962468</v>
      </c>
      <c r="N15">
        <f>M15/16000</f>
        <v>0.17679313138101543</v>
      </c>
      <c r="O15">
        <v>316405.42726800003</v>
      </c>
      <c r="P15" s="1">
        <f>O15/16000</f>
        <v>19.775339204250002</v>
      </c>
      <c r="Q15" s="1">
        <f>(O15^(1/3))/20</f>
        <v>3.4070981584648434</v>
      </c>
    </row>
    <row r="16" spans="1:20" x14ac:dyDescent="0.2">
      <c r="A16">
        <v>2</v>
      </c>
      <c r="B16">
        <v>1000</v>
      </c>
      <c r="C16">
        <v>-71427.089108</v>
      </c>
      <c r="D16">
        <f>C16-12502*$C$10-3498*$J$10</f>
        <v>2736.7093419973753</v>
      </c>
      <c r="E16">
        <f t="shared" ref="E16:E24" si="0">D16/16000</f>
        <v>0.17104433387483595</v>
      </c>
      <c r="F16">
        <v>320294.18750100001</v>
      </c>
      <c r="G16" s="1">
        <f t="shared" ref="G16:G24" si="1">F16/16000</f>
        <v>20.018386718812501</v>
      </c>
      <c r="H16" s="1">
        <f t="shared" ref="H16:H24" si="2">(F16^(1/3))/20</f>
        <v>3.4209996005842407</v>
      </c>
      <c r="J16">
        <v>2</v>
      </c>
      <c r="K16">
        <v>500</v>
      </c>
      <c r="L16">
        <v>-72525.550061000002</v>
      </c>
      <c r="M16">
        <f>L16-12502*$C$8-3498*$J$8</f>
        <v>2816.6762122602449</v>
      </c>
      <c r="N16">
        <f t="shared" ref="N16:N24" si="3">M16/16000</f>
        <v>0.17604226326626532</v>
      </c>
      <c r="O16">
        <v>316670.98506099998</v>
      </c>
      <c r="P16" s="1">
        <f t="shared" ref="P16:P24" si="4">O16/16000</f>
        <v>19.791936566312501</v>
      </c>
      <c r="Q16" s="1">
        <f t="shared" ref="Q16:Q24" si="5">(O16^(1/3))/20</f>
        <v>3.4080510798130361</v>
      </c>
    </row>
    <row r="17" spans="1:17" x14ac:dyDescent="0.2">
      <c r="A17">
        <v>3</v>
      </c>
      <c r="B17">
        <v>1000</v>
      </c>
      <c r="C17">
        <v>-71618.716713000002</v>
      </c>
      <c r="D17">
        <f>C17-12421*$C$10-3579*$J$10</f>
        <v>2767.9297787443065</v>
      </c>
      <c r="E17">
        <f t="shared" si="0"/>
        <v>0.17299561117151915</v>
      </c>
      <c r="F17">
        <v>319655.18702800001</v>
      </c>
      <c r="G17" s="1">
        <f t="shared" si="1"/>
        <v>19.97844918925</v>
      </c>
      <c r="H17" s="1">
        <f t="shared" si="2"/>
        <v>3.4187230729459182</v>
      </c>
      <c r="J17">
        <v>3</v>
      </c>
      <c r="K17">
        <v>500</v>
      </c>
      <c r="L17">
        <v>-72712.011100000003</v>
      </c>
      <c r="M17">
        <f>L17-12421*$C$8-3579*$J$8</f>
        <v>2853.3618880638642</v>
      </c>
      <c r="N17">
        <f t="shared" si="3"/>
        <v>0.17833511800399152</v>
      </c>
      <c r="O17">
        <v>315930.75379500003</v>
      </c>
      <c r="P17" s="1">
        <f t="shared" si="4"/>
        <v>19.745672112187503</v>
      </c>
      <c r="Q17" s="1">
        <f t="shared" si="5"/>
        <v>3.4053935221639948</v>
      </c>
    </row>
    <row r="18" spans="1:17" x14ac:dyDescent="0.2">
      <c r="A18">
        <v>4</v>
      </c>
      <c r="B18">
        <v>1000</v>
      </c>
      <c r="C18">
        <v>-71255.338459999999</v>
      </c>
      <c r="D18">
        <f>C18-12575*$C$10-3425*$J$10</f>
        <v>2707.6216313859404</v>
      </c>
      <c r="E18">
        <f t="shared" si="0"/>
        <v>0.16922635196162128</v>
      </c>
      <c r="F18">
        <v>320971.21127899998</v>
      </c>
      <c r="G18" s="1">
        <f t="shared" si="1"/>
        <v>20.060700704937499</v>
      </c>
      <c r="H18" s="1">
        <f t="shared" si="2"/>
        <v>3.4234082904588528</v>
      </c>
      <c r="J18">
        <v>4</v>
      </c>
      <c r="K18">
        <v>500</v>
      </c>
      <c r="L18">
        <v>-72350.582563000004</v>
      </c>
      <c r="M18">
        <f>L18-12575*$C$8-3425*$J$8</f>
        <v>2790.5361771656098</v>
      </c>
      <c r="N18">
        <f t="shared" si="3"/>
        <v>0.1744085110728506</v>
      </c>
      <c r="O18">
        <v>317415.75134399999</v>
      </c>
      <c r="P18" s="1">
        <f t="shared" si="4"/>
        <v>19.838484459</v>
      </c>
      <c r="Q18" s="1">
        <f t="shared" si="5"/>
        <v>3.4107207426678365</v>
      </c>
    </row>
    <row r="19" spans="1:17" x14ac:dyDescent="0.2">
      <c r="A19">
        <v>5</v>
      </c>
      <c r="B19">
        <v>1000</v>
      </c>
      <c r="C19">
        <v>-71381.339372999995</v>
      </c>
      <c r="D19">
        <f>C19-12520*$C$10-3480*$J$10</f>
        <v>2732.9372899425071</v>
      </c>
      <c r="E19">
        <f t="shared" si="0"/>
        <v>0.17080858062140669</v>
      </c>
      <c r="F19">
        <v>320518.35857799998</v>
      </c>
      <c r="G19" s="1">
        <f t="shared" si="1"/>
        <v>20.032397411125</v>
      </c>
      <c r="H19" s="1">
        <f t="shared" si="2"/>
        <v>3.4217975236097424</v>
      </c>
      <c r="J19">
        <v>5</v>
      </c>
      <c r="K19">
        <v>500</v>
      </c>
      <c r="L19">
        <v>-72479.571968000004</v>
      </c>
      <c r="M19">
        <f>L19-12520*$C$8-3480*$J$8</f>
        <v>2813.0661464149889</v>
      </c>
      <c r="N19">
        <f t="shared" si="3"/>
        <v>0.17581663415093682</v>
      </c>
      <c r="O19">
        <v>316950.64385300002</v>
      </c>
      <c r="P19" s="1">
        <f t="shared" si="4"/>
        <v>19.809415240812502</v>
      </c>
      <c r="Q19" s="1">
        <f t="shared" si="5"/>
        <v>3.4090540251048944</v>
      </c>
    </row>
    <row r="20" spans="1:17" x14ac:dyDescent="0.2">
      <c r="A20">
        <v>6</v>
      </c>
      <c r="B20">
        <v>1000</v>
      </c>
      <c r="C20">
        <v>-71453.940795999995</v>
      </c>
      <c r="D20">
        <f>C20-12493*$C$10-3507*$J$10</f>
        <v>2734.618547524813</v>
      </c>
      <c r="E20">
        <f t="shared" si="0"/>
        <v>0.17091365922030083</v>
      </c>
      <c r="F20">
        <v>320278.51918</v>
      </c>
      <c r="G20" s="1">
        <f t="shared" si="1"/>
        <v>20.017407448749999</v>
      </c>
      <c r="H20" s="1">
        <f t="shared" si="2"/>
        <v>3.4209438162500971</v>
      </c>
      <c r="J20">
        <v>6</v>
      </c>
      <c r="K20">
        <v>500</v>
      </c>
      <c r="L20">
        <v>-72548.150452000002</v>
      </c>
      <c r="M20">
        <f>L20-12493*$C$8-3507*$J$8</f>
        <v>2818.8699006828647</v>
      </c>
      <c r="N20">
        <f t="shared" si="3"/>
        <v>0.17617936879267904</v>
      </c>
      <c r="O20">
        <v>316642.31094599998</v>
      </c>
      <c r="P20" s="1">
        <f t="shared" si="4"/>
        <v>19.790144434125001</v>
      </c>
      <c r="Q20" s="1">
        <f t="shared" si="5"/>
        <v>3.407948211954487</v>
      </c>
    </row>
    <row r="21" spans="1:17" x14ac:dyDescent="0.2">
      <c r="A21">
        <v>7</v>
      </c>
      <c r="B21">
        <v>1000</v>
      </c>
      <c r="C21">
        <v>-71302.087234000006</v>
      </c>
      <c r="D21">
        <f>C21-12555*$C$10-3445*$J$10</f>
        <v>2715.897065224679</v>
      </c>
      <c r="E21">
        <f t="shared" si="0"/>
        <v>0.16974356657654244</v>
      </c>
      <c r="F21">
        <v>320798.97211600002</v>
      </c>
      <c r="G21" s="1">
        <f t="shared" si="1"/>
        <v>20.049935757250001</v>
      </c>
      <c r="H21" s="1">
        <f t="shared" si="2"/>
        <v>3.4227958258921483</v>
      </c>
      <c r="J21">
        <v>7</v>
      </c>
      <c r="K21">
        <v>500</v>
      </c>
      <c r="L21">
        <v>-72401.999054</v>
      </c>
      <c r="M21">
        <f>L21-12555*$C$8-3445*$J$8</f>
        <v>2794.2176404381134</v>
      </c>
      <c r="N21">
        <f t="shared" si="3"/>
        <v>0.17463860252738209</v>
      </c>
      <c r="O21">
        <v>317195.801423</v>
      </c>
      <c r="P21" s="1">
        <f t="shared" si="4"/>
        <v>19.824737588937499</v>
      </c>
      <c r="Q21" s="1">
        <f t="shared" si="5"/>
        <v>3.4099327528892198</v>
      </c>
    </row>
    <row r="22" spans="1:17" x14ac:dyDescent="0.2">
      <c r="A22">
        <v>8</v>
      </c>
      <c r="B22">
        <v>1000</v>
      </c>
      <c r="C22">
        <v>-71398.683657999994</v>
      </c>
      <c r="D22">
        <f>C22-12514*$C$10-3486*$J$10</f>
        <v>2732.1002672941249</v>
      </c>
      <c r="E22">
        <f t="shared" si="0"/>
        <v>0.17075626670588281</v>
      </c>
      <c r="F22">
        <v>320404.21965400001</v>
      </c>
      <c r="G22" s="1">
        <f t="shared" si="1"/>
        <v>20.025263728375002</v>
      </c>
      <c r="H22" s="1">
        <f t="shared" si="2"/>
        <v>3.4213912997053875</v>
      </c>
      <c r="J22">
        <v>8</v>
      </c>
      <c r="K22">
        <v>500</v>
      </c>
      <c r="L22">
        <v>-72492.090876999995</v>
      </c>
      <c r="M22">
        <f>L22-12514*$C$8-3486*$J$8</f>
        <v>2817.0766236967429</v>
      </c>
      <c r="N22">
        <f t="shared" si="3"/>
        <v>0.17606728898104643</v>
      </c>
      <c r="O22">
        <v>316803.578767</v>
      </c>
      <c r="P22" s="1">
        <f t="shared" si="4"/>
        <v>19.800223672937499</v>
      </c>
      <c r="Q22" s="1">
        <f t="shared" si="5"/>
        <v>3.4085266765564035</v>
      </c>
    </row>
    <row r="23" spans="1:17" x14ac:dyDescent="0.2">
      <c r="A23">
        <v>9</v>
      </c>
      <c r="B23">
        <v>1000</v>
      </c>
      <c r="C23">
        <v>-71541.855100000001</v>
      </c>
      <c r="D23">
        <f>C23-12454*$C$10-3546*$J$10</f>
        <v>2754.0014488103734</v>
      </c>
      <c r="E23">
        <f t="shared" si="0"/>
        <v>0.17212509055064834</v>
      </c>
      <c r="F23">
        <v>319871.86183499999</v>
      </c>
      <c r="G23" s="1">
        <f t="shared" si="1"/>
        <v>19.9919913646875</v>
      </c>
      <c r="H23" s="1">
        <f t="shared" si="2"/>
        <v>3.4194953466176941</v>
      </c>
      <c r="J23">
        <v>9</v>
      </c>
      <c r="K23">
        <v>500</v>
      </c>
      <c r="L23">
        <v>-72632.233233999999</v>
      </c>
      <c r="M23">
        <f>L23-12454*$C$8-3546*$J$8</f>
        <v>2842.2281295142457</v>
      </c>
      <c r="N23">
        <f t="shared" si="3"/>
        <v>0.17763925809464035</v>
      </c>
      <c r="O23">
        <v>316177.80604699999</v>
      </c>
      <c r="P23" s="1">
        <f t="shared" si="4"/>
        <v>19.761112877937499</v>
      </c>
      <c r="Q23" s="1">
        <f t="shared" si="5"/>
        <v>3.4062809433548451</v>
      </c>
    </row>
    <row r="24" spans="1:17" x14ac:dyDescent="0.2">
      <c r="A24">
        <v>10</v>
      </c>
      <c r="B24">
        <v>1000</v>
      </c>
      <c r="C24">
        <v>-71410.767693000002</v>
      </c>
      <c r="D24">
        <f>C24-12508*$C$10-3492*$J$10</f>
        <v>2736.5234946457458</v>
      </c>
      <c r="E24">
        <f t="shared" si="0"/>
        <v>0.17103271841535911</v>
      </c>
      <c r="F24">
        <v>320403.65275000001</v>
      </c>
      <c r="G24" s="1">
        <f t="shared" si="1"/>
        <v>20.025228296875</v>
      </c>
      <c r="H24" s="1">
        <f t="shared" si="2"/>
        <v>3.4213892818360443</v>
      </c>
      <c r="J24">
        <v>10</v>
      </c>
      <c r="K24">
        <v>500</v>
      </c>
      <c r="L24">
        <v>-72508.337727999999</v>
      </c>
      <c r="M24">
        <f>L24-12508*$C$8-3492*$J$8</f>
        <v>2817.3591589784955</v>
      </c>
      <c r="N24">
        <f t="shared" si="3"/>
        <v>0.17608494743615596</v>
      </c>
      <c r="O24">
        <v>316786.27597800002</v>
      </c>
      <c r="P24" s="1">
        <f t="shared" si="4"/>
        <v>19.799142248624999</v>
      </c>
      <c r="Q24" s="1">
        <f t="shared" si="5"/>
        <v>3.4084646211845753</v>
      </c>
    </row>
    <row r="25" spans="1:17" x14ac:dyDescent="0.2">
      <c r="A25" t="s">
        <v>12</v>
      </c>
      <c r="E25" s="1">
        <f>AVERAGE(E15:E24)</f>
        <v>0.17104312955693279</v>
      </c>
      <c r="F25">
        <f>AVERAGE(F15:F24)</f>
        <v>320323.63769800001</v>
      </c>
      <c r="G25" s="1">
        <f>AVERAGE(G15:G24)</f>
        <v>20.020227356125002</v>
      </c>
      <c r="H25" s="1">
        <f>AVERAGE(H15:H24)</f>
        <v>3.4211039180887761</v>
      </c>
      <c r="J25" t="s">
        <v>12</v>
      </c>
      <c r="N25" s="1">
        <f>AVERAGE(N15:N24)</f>
        <v>0.17620051237069634</v>
      </c>
      <c r="O25">
        <f>AVERAGE(O15:O24)</f>
        <v>316697.9334482</v>
      </c>
      <c r="P25" s="1">
        <f>AVERAGE(P15:P24)</f>
        <v>19.793620840512503</v>
      </c>
      <c r="Q25" s="1">
        <f>AVERAGE(Q15:Q24)</f>
        <v>3.4081470734154129</v>
      </c>
    </row>
    <row r="28" spans="1:17" x14ac:dyDescent="0.2">
      <c r="A28" t="s">
        <v>15</v>
      </c>
      <c r="C28" t="s">
        <v>25</v>
      </c>
      <c r="J28" t="s">
        <v>15</v>
      </c>
      <c r="L28" t="s">
        <v>26</v>
      </c>
    </row>
    <row r="29" spans="1:17" x14ac:dyDescent="0.2">
      <c r="A29" t="s">
        <v>16</v>
      </c>
      <c r="J29" t="s">
        <v>16</v>
      </c>
    </row>
    <row r="30" spans="1:17" x14ac:dyDescent="0.2">
      <c r="B30" t="s">
        <v>21</v>
      </c>
      <c r="C30" t="s">
        <v>5</v>
      </c>
      <c r="D30" t="s">
        <v>10</v>
      </c>
      <c r="E30" t="s">
        <v>23</v>
      </c>
      <c r="F30" t="s">
        <v>8</v>
      </c>
      <c r="G30" t="s">
        <v>22</v>
      </c>
      <c r="H30" t="s">
        <v>24</v>
      </c>
      <c r="K30" t="s">
        <v>21</v>
      </c>
      <c r="L30" t="s">
        <v>5</v>
      </c>
      <c r="M30" t="s">
        <v>10</v>
      </c>
      <c r="N30" t="s">
        <v>23</v>
      </c>
      <c r="O30" t="s">
        <v>8</v>
      </c>
      <c r="P30" t="s">
        <v>22</v>
      </c>
      <c r="Q30" t="s">
        <v>24</v>
      </c>
    </row>
    <row r="31" spans="1:17" x14ac:dyDescent="0.2">
      <c r="A31" t="s">
        <v>17</v>
      </c>
      <c r="B31">
        <v>176</v>
      </c>
      <c r="C31">
        <v>-70081.298435000004</v>
      </c>
      <c r="D31">
        <f>C31-12291*$C$10-3471*$J$10</f>
        <v>3048.1838749924318</v>
      </c>
      <c r="E31">
        <f>D31/15762</f>
        <v>0.19338814078114655</v>
      </c>
      <c r="F31">
        <v>326023.23294399999</v>
      </c>
      <c r="G31">
        <f>F31-F$25</f>
        <v>5699.5952459999826</v>
      </c>
      <c r="H31">
        <f>B31/238</f>
        <v>0.73949579831932777</v>
      </c>
      <c r="J31" t="s">
        <v>17</v>
      </c>
      <c r="K31">
        <v>176</v>
      </c>
      <c r="L31">
        <v>-71198.470104000007</v>
      </c>
      <c r="M31">
        <f>L31-12291*$C$8-3471*$J$8</f>
        <v>3092.0032191862374</v>
      </c>
      <c r="N31">
        <f>M31/15762</f>
        <v>0.1961682032220681</v>
      </c>
      <c r="O31">
        <v>320998.58824900002</v>
      </c>
      <c r="P31">
        <f>O31-O$25</f>
        <v>4300.6548008000245</v>
      </c>
      <c r="Q31">
        <f>K31/238</f>
        <v>0.73949579831932777</v>
      </c>
    </row>
    <row r="32" spans="1:17" x14ac:dyDescent="0.2">
      <c r="A32" t="s">
        <v>18</v>
      </c>
      <c r="B32">
        <v>136</v>
      </c>
      <c r="C32">
        <v>-70171.977473999999</v>
      </c>
      <c r="D32">
        <f>C32-12291*$C$10-3471*$J$10</f>
        <v>2957.5048359924367</v>
      </c>
      <c r="E32">
        <f>D32/15762</f>
        <v>0.18763512472988433</v>
      </c>
      <c r="F32">
        <v>323646.97543599998</v>
      </c>
      <c r="G32">
        <f>F32-F$25</f>
        <v>3323.3377379999729</v>
      </c>
      <c r="H32">
        <f>B32/238</f>
        <v>0.5714285714285714</v>
      </c>
      <c r="J32" t="s">
        <v>18</v>
      </c>
      <c r="K32">
        <v>136</v>
      </c>
      <c r="L32">
        <v>-71267.668741000001</v>
      </c>
      <c r="M32">
        <f>L32-12291*$C$8-3471*$J$8</f>
        <v>3022.8045821862434</v>
      </c>
      <c r="N32">
        <f>M32/15762</f>
        <v>0.19177798389710971</v>
      </c>
      <c r="O32">
        <v>319213.17069399997</v>
      </c>
      <c r="P32">
        <f>O32-O$25</f>
        <v>2515.2372457999736</v>
      </c>
      <c r="Q32">
        <f>K32/238</f>
        <v>0.5714285714285714</v>
      </c>
    </row>
    <row r="33" spans="1:17" x14ac:dyDescent="0.2">
      <c r="A33" t="s">
        <v>19</v>
      </c>
      <c r="B33">
        <v>89</v>
      </c>
      <c r="C33">
        <v>-70261.594597999996</v>
      </c>
      <c r="D33">
        <f>C33-12291*$C$10-3471*$J$10</f>
        <v>2867.88771199244</v>
      </c>
      <c r="E33">
        <f>D33/15762</f>
        <v>0.18194948052229667</v>
      </c>
      <c r="F33">
        <v>321462.90665800002</v>
      </c>
      <c r="G33">
        <f>F33-F$25</f>
        <v>1139.2689600000158</v>
      </c>
      <c r="H33">
        <f>B33/238</f>
        <v>0.37394957983193278</v>
      </c>
      <c r="J33" t="s">
        <v>19</v>
      </c>
      <c r="K33">
        <v>89</v>
      </c>
      <c r="L33">
        <v>-71336.486749999996</v>
      </c>
      <c r="M33">
        <f>L33-12291*$C$8-3471*$J$8</f>
        <v>2953.9865731862483</v>
      </c>
      <c r="N33">
        <f>M33/15762</f>
        <v>0.18741191303046875</v>
      </c>
      <c r="O33">
        <v>317466.39237399999</v>
      </c>
      <c r="P33">
        <f>O33-O$25</f>
        <v>768.45892579999054</v>
      </c>
      <c r="Q33">
        <f>K33/238</f>
        <v>0.37394957983193278</v>
      </c>
    </row>
    <row r="34" spans="1:17" x14ac:dyDescent="0.2">
      <c r="A34" t="s">
        <v>20</v>
      </c>
      <c r="B34">
        <v>28</v>
      </c>
      <c r="C34">
        <v>-70319.550113999998</v>
      </c>
      <c r="D34">
        <f>C34-12291*$C$10-3471*$J$10</f>
        <v>2809.9321959924382</v>
      </c>
      <c r="E34">
        <f>D34/15762</f>
        <v>0.17827256667887567</v>
      </c>
      <c r="F34">
        <v>319745.41758399998</v>
      </c>
      <c r="G34">
        <f>F34-F$25</f>
        <v>-578.22011400002521</v>
      </c>
      <c r="H34">
        <f>B34/238</f>
        <v>0.11764705882352941</v>
      </c>
      <c r="J34" t="s">
        <v>20</v>
      </c>
      <c r="K34">
        <v>28</v>
      </c>
      <c r="L34">
        <v>-71376.971564000007</v>
      </c>
      <c r="M34">
        <f>L34-12291*$C$8-3471*$J$8</f>
        <v>2913.5017591862379</v>
      </c>
      <c r="N34">
        <f>M34/15762</f>
        <v>0.18484340560755222</v>
      </c>
      <c r="O34">
        <v>316197.51171799999</v>
      </c>
      <c r="P34">
        <f>O34-O$25</f>
        <v>-500.42173020000337</v>
      </c>
      <c r="Q34">
        <f>K34/238</f>
        <v>0.11764705882352941</v>
      </c>
    </row>
    <row r="36" spans="1:17" x14ac:dyDescent="0.2">
      <c r="J36" t="s">
        <v>27</v>
      </c>
      <c r="K36">
        <v>28</v>
      </c>
      <c r="L36">
        <v>-71173.555708999993</v>
      </c>
      <c r="M36">
        <f>L36-12300*$C$8-3469*$J$8</f>
        <v>3140.1540161650591</v>
      </c>
      <c r="N36">
        <f>M36/15769</f>
        <v>0.19913463226362224</v>
      </c>
      <c r="O36">
        <v>313888.509319</v>
      </c>
      <c r="P36">
        <f>O36-O$25</f>
        <v>-2809.4241291999933</v>
      </c>
    </row>
    <row r="37" spans="1:17" x14ac:dyDescent="0.2">
      <c r="J37" t="s">
        <v>28</v>
      </c>
      <c r="K37">
        <v>28</v>
      </c>
      <c r="L37">
        <v>-71119.016562999997</v>
      </c>
      <c r="M37">
        <f>L37-12320*$C$8-3449*$J$8</f>
        <v>3139.5952078925584</v>
      </c>
      <c r="N37">
        <f>M37/15769</f>
        <v>0.19909919512287136</v>
      </c>
      <c r="O37">
        <v>313596.81717300002</v>
      </c>
      <c r="P37">
        <f>O37-O$25</f>
        <v>-3101.11627519998</v>
      </c>
    </row>
    <row r="38" spans="1:17" x14ac:dyDescent="0.2">
      <c r="J38" t="s">
        <v>29</v>
      </c>
      <c r="K38">
        <v>28</v>
      </c>
      <c r="L38">
        <v>-71288.824512000007</v>
      </c>
      <c r="M38">
        <f>L38-12247*$C$8-3522*$J$8</f>
        <v>3170.8947919871716</v>
      </c>
      <c r="N38">
        <f>M38/15769</f>
        <v>0.20108407584419885</v>
      </c>
      <c r="O38">
        <v>313116.74812300003</v>
      </c>
      <c r="P38">
        <f>O38-O$25</f>
        <v>-3581.185325199971</v>
      </c>
    </row>
    <row r="39" spans="1:17" x14ac:dyDescent="0.2">
      <c r="J39" t="s">
        <v>30</v>
      </c>
      <c r="K39">
        <v>28</v>
      </c>
      <c r="L39">
        <v>-70928.779211000001</v>
      </c>
      <c r="M39">
        <f>L39-12403*$C$8-3366*$J$8</f>
        <v>3101.1760496616807</v>
      </c>
      <c r="N39">
        <f>M39/15769</f>
        <v>0.19666282260521789</v>
      </c>
      <c r="O39">
        <v>314489.68246699998</v>
      </c>
      <c r="P39">
        <f>O39-O$25</f>
        <v>-2208.2509812000208</v>
      </c>
    </row>
    <row r="40" spans="1:17" x14ac:dyDescent="0.2">
      <c r="J40" t="s">
        <v>31</v>
      </c>
      <c r="K40">
        <v>28</v>
      </c>
      <c r="L40">
        <v>-71061.968739999997</v>
      </c>
      <c r="M40">
        <f>L40-12346*$C$8-3423*$J$8</f>
        <v>3125.0156903383067</v>
      </c>
      <c r="N40">
        <f>M40/15769</f>
        <v>0.19817462682087048</v>
      </c>
      <c r="O40">
        <v>314168.191796</v>
      </c>
      <c r="P40">
        <f>O40-O$25</f>
        <v>-2529.7416521999985</v>
      </c>
    </row>
    <row r="41" spans="1:17" x14ac:dyDescent="0.2">
      <c r="M41">
        <f>AVERAGE(M36:M40)</f>
        <v>3135.3671512089554</v>
      </c>
      <c r="N41">
        <f>AVERAGE(N36:N40)</f>
        <v>0.19883107053135618</v>
      </c>
    </row>
    <row r="53" spans="1:5" x14ac:dyDescent="0.2">
      <c r="A53">
        <v>10000</v>
      </c>
      <c r="B53">
        <v>494.76548600000001</v>
      </c>
      <c r="C53">
        <v>-70766.360270000005</v>
      </c>
      <c r="D53">
        <v>314662.88578999997</v>
      </c>
      <c r="E53">
        <v>-522.56336699999997</v>
      </c>
    </row>
    <row r="54" spans="1:5" x14ac:dyDescent="0.2">
      <c r="A54">
        <v>20000</v>
      </c>
      <c r="B54">
        <v>489.461411</v>
      </c>
      <c r="C54">
        <v>-70837.970856999993</v>
      </c>
      <c r="D54">
        <v>314505.68350899999</v>
      </c>
      <c r="E54">
        <v>-262.17219699999998</v>
      </c>
    </row>
    <row r="55" spans="1:5" x14ac:dyDescent="0.2">
      <c r="A55">
        <v>30000</v>
      </c>
      <c r="B55">
        <v>491.13174600000002</v>
      </c>
      <c r="C55">
        <v>-70861.675847000006</v>
      </c>
      <c r="D55">
        <v>314454.80888000003</v>
      </c>
      <c r="E55">
        <v>-126.051294</v>
      </c>
    </row>
    <row r="56" spans="1:5" x14ac:dyDescent="0.2">
      <c r="A56">
        <v>40000</v>
      </c>
      <c r="B56">
        <v>494.31596000000002</v>
      </c>
      <c r="C56">
        <v>-70865.738264</v>
      </c>
      <c r="D56">
        <v>314459.47435500001</v>
      </c>
      <c r="E56">
        <v>-189.51253700000001</v>
      </c>
    </row>
    <row r="57" spans="1:5" x14ac:dyDescent="0.2">
      <c r="A57">
        <v>50000</v>
      </c>
      <c r="B57">
        <v>495.74759999999998</v>
      </c>
      <c r="C57">
        <v>-70869.163255000007</v>
      </c>
      <c r="D57">
        <v>314430.21844000003</v>
      </c>
      <c r="E57">
        <v>508.59625699999998</v>
      </c>
    </row>
    <row r="58" spans="1:5" x14ac:dyDescent="0.2">
      <c r="A58">
        <v>60000</v>
      </c>
      <c r="B58">
        <v>493.60558500000002</v>
      </c>
      <c r="C58">
        <v>-70887.672185000003</v>
      </c>
      <c r="D58">
        <v>314583.94044999999</v>
      </c>
      <c r="E58">
        <v>-190.86537899999999</v>
      </c>
    </row>
    <row r="59" spans="1:5" x14ac:dyDescent="0.2">
      <c r="A59">
        <v>70000</v>
      </c>
      <c r="B59">
        <v>491.47203200000001</v>
      </c>
      <c r="C59">
        <v>-70895.490512000004</v>
      </c>
      <c r="D59">
        <v>314652.21307400003</v>
      </c>
      <c r="E59">
        <v>-563.93598799999995</v>
      </c>
    </row>
    <row r="60" spans="1:5" x14ac:dyDescent="0.2">
      <c r="A60">
        <v>80000</v>
      </c>
      <c r="B60">
        <v>491.238404</v>
      </c>
      <c r="C60">
        <v>-70874.989440000005</v>
      </c>
      <c r="D60">
        <v>314452.68037800002</v>
      </c>
      <c r="E60">
        <v>163.61132900000001</v>
      </c>
    </row>
    <row r="61" spans="1:5" x14ac:dyDescent="0.2">
      <c r="A61">
        <v>90000</v>
      </c>
      <c r="B61">
        <v>491.984556</v>
      </c>
      <c r="C61">
        <v>-70895.626738000006</v>
      </c>
      <c r="D61">
        <v>314382.00822100003</v>
      </c>
      <c r="E61">
        <v>423.513488</v>
      </c>
    </row>
    <row r="62" spans="1:5" x14ac:dyDescent="0.2">
      <c r="A62">
        <v>100000</v>
      </c>
      <c r="B62">
        <v>492.17301099999997</v>
      </c>
      <c r="C62">
        <v>-70902.574357999998</v>
      </c>
      <c r="D62">
        <v>314476.63104800001</v>
      </c>
      <c r="E62">
        <v>-118.004723</v>
      </c>
    </row>
    <row r="63" spans="1:5" x14ac:dyDescent="0.2">
      <c r="A63">
        <v>110000</v>
      </c>
      <c r="B63">
        <v>487.50226900000001</v>
      </c>
      <c r="C63">
        <v>-70907.253188999995</v>
      </c>
      <c r="D63">
        <v>314380.37132500001</v>
      </c>
      <c r="E63">
        <v>72.653460999999993</v>
      </c>
    </row>
    <row r="64" spans="1:5" x14ac:dyDescent="0.2">
      <c r="A64">
        <v>120000</v>
      </c>
      <c r="B64">
        <v>489.22161799999998</v>
      </c>
      <c r="C64">
        <v>-70924.944919999994</v>
      </c>
      <c r="D64">
        <v>314233.11313399998</v>
      </c>
      <c r="E64">
        <v>690.129142</v>
      </c>
    </row>
    <row r="65" spans="1:5" x14ac:dyDescent="0.2">
      <c r="A65">
        <v>130000</v>
      </c>
      <c r="B65">
        <v>497.37687099999999</v>
      </c>
      <c r="C65">
        <v>-70901.382354999994</v>
      </c>
      <c r="D65">
        <v>314522.88985600002</v>
      </c>
      <c r="E65">
        <v>269.96952599999997</v>
      </c>
    </row>
    <row r="66" spans="1:5" x14ac:dyDescent="0.2">
      <c r="A66">
        <v>140000</v>
      </c>
      <c r="B66">
        <v>493.57110999999998</v>
      </c>
      <c r="C66">
        <v>-70920.921711000003</v>
      </c>
      <c r="D66">
        <v>314401.27929099998</v>
      </c>
      <c r="E66">
        <v>536.20049800000004</v>
      </c>
    </row>
    <row r="67" spans="1:5" x14ac:dyDescent="0.2">
      <c r="A67">
        <v>150000</v>
      </c>
      <c r="B67">
        <v>488.72438299999999</v>
      </c>
      <c r="C67">
        <v>-70923.133688000002</v>
      </c>
      <c r="D67">
        <v>314502.41706100001</v>
      </c>
      <c r="E67">
        <v>-101.251895</v>
      </c>
    </row>
    <row r="68" spans="1:5" x14ac:dyDescent="0.2">
      <c r="A68">
        <v>160000</v>
      </c>
      <c r="B68">
        <v>492.43697400000002</v>
      </c>
      <c r="C68">
        <v>-70917.010590999998</v>
      </c>
      <c r="D68">
        <v>314384.35208500002</v>
      </c>
      <c r="E68">
        <v>329.37248399999999</v>
      </c>
    </row>
    <row r="69" spans="1:5" x14ac:dyDescent="0.2">
      <c r="A69">
        <v>170000</v>
      </c>
      <c r="B69">
        <v>494.93153100000001</v>
      </c>
      <c r="C69">
        <v>-70929.626573000001</v>
      </c>
      <c r="D69">
        <v>314387.22082400002</v>
      </c>
      <c r="E69">
        <v>123.749565</v>
      </c>
    </row>
    <row r="70" spans="1:5" x14ac:dyDescent="0.2">
      <c r="A70">
        <v>180000</v>
      </c>
      <c r="B70">
        <v>490.93533500000001</v>
      </c>
      <c r="C70">
        <v>-70924.038551999998</v>
      </c>
      <c r="D70">
        <v>314320.81933999999</v>
      </c>
      <c r="E70">
        <v>106.380111</v>
      </c>
    </row>
    <row r="71" spans="1:5" x14ac:dyDescent="0.2">
      <c r="A71">
        <v>190000</v>
      </c>
      <c r="B71">
        <v>490.91246999999998</v>
      </c>
      <c r="C71">
        <v>-70931.344859000004</v>
      </c>
      <c r="D71">
        <v>314482.87951</v>
      </c>
      <c r="E71">
        <v>-222.54919699999999</v>
      </c>
    </row>
    <row r="72" spans="1:5" x14ac:dyDescent="0.2">
      <c r="A72">
        <v>200000</v>
      </c>
      <c r="B72">
        <v>491.85019</v>
      </c>
      <c r="C72">
        <v>-70915.663690000001</v>
      </c>
      <c r="D72">
        <v>314429.21274799999</v>
      </c>
      <c r="E72">
        <v>348.40192500000001</v>
      </c>
    </row>
    <row r="73" spans="1:5" x14ac:dyDescent="0.2">
      <c r="A73">
        <v>210000</v>
      </c>
      <c r="B73">
        <v>493.05199599999997</v>
      </c>
      <c r="C73">
        <v>-70922.395994999999</v>
      </c>
      <c r="D73">
        <v>314588.69415699999</v>
      </c>
      <c r="E73">
        <v>-132.63113899999999</v>
      </c>
    </row>
    <row r="74" spans="1:5" x14ac:dyDescent="0.2">
      <c r="A74">
        <v>220000</v>
      </c>
      <c r="B74">
        <v>491.03371700000002</v>
      </c>
      <c r="C74">
        <v>-70931.667598999993</v>
      </c>
      <c r="D74">
        <v>314360.20115400001</v>
      </c>
      <c r="E74">
        <v>91.372433000000001</v>
      </c>
    </row>
    <row r="75" spans="1:5" x14ac:dyDescent="0.2">
      <c r="A75">
        <v>230000</v>
      </c>
      <c r="B75">
        <v>490.47448900000001</v>
      </c>
      <c r="C75">
        <v>-70923.121826999995</v>
      </c>
      <c r="D75">
        <v>314507.755344</v>
      </c>
      <c r="E75">
        <v>100.76603299999999</v>
      </c>
    </row>
    <row r="76" spans="1:5" x14ac:dyDescent="0.2">
      <c r="A76">
        <v>240000</v>
      </c>
      <c r="B76">
        <v>490.60670499999998</v>
      </c>
      <c r="C76">
        <v>-70918.539288</v>
      </c>
      <c r="D76">
        <v>314568.20513000002</v>
      </c>
      <c r="E76">
        <v>-99.383297999999996</v>
      </c>
    </row>
    <row r="77" spans="1:5" x14ac:dyDescent="0.2">
      <c r="A77">
        <v>250000</v>
      </c>
      <c r="B77">
        <v>495.011955</v>
      </c>
      <c r="C77">
        <v>-70926.869336999996</v>
      </c>
      <c r="D77">
        <v>314361.60210000002</v>
      </c>
      <c r="E77">
        <v>248.87419199999999</v>
      </c>
    </row>
    <row r="78" spans="1:5" x14ac:dyDescent="0.2">
      <c r="A78">
        <v>260000</v>
      </c>
      <c r="B78">
        <v>493.07573200000002</v>
      </c>
      <c r="C78">
        <v>-70934.074038999999</v>
      </c>
      <c r="D78">
        <v>314543.12356199999</v>
      </c>
      <c r="E78">
        <v>-479.98655400000001</v>
      </c>
    </row>
    <row r="79" spans="1:5" x14ac:dyDescent="0.2">
      <c r="A79">
        <v>270000</v>
      </c>
      <c r="B79">
        <v>491.19545699999998</v>
      </c>
      <c r="C79">
        <v>-70921.937233000004</v>
      </c>
      <c r="D79">
        <v>314487.38929999998</v>
      </c>
      <c r="E79">
        <v>-104.93035399999999</v>
      </c>
    </row>
    <row r="80" spans="1:5" x14ac:dyDescent="0.2">
      <c r="A80">
        <v>280000</v>
      </c>
      <c r="B80">
        <v>495.772313</v>
      </c>
      <c r="C80">
        <v>-70933.083094999995</v>
      </c>
      <c r="D80">
        <v>314541.30264399998</v>
      </c>
      <c r="E80">
        <v>65.114397999999994</v>
      </c>
    </row>
    <row r="81" spans="1:5" x14ac:dyDescent="0.2">
      <c r="A81">
        <v>290000</v>
      </c>
      <c r="B81">
        <v>490.82776999999999</v>
      </c>
      <c r="C81">
        <v>-70927.691940000004</v>
      </c>
      <c r="D81">
        <v>314544.77252599999</v>
      </c>
      <c r="E81">
        <v>494.41470099999998</v>
      </c>
    </row>
    <row r="82" spans="1:5" x14ac:dyDescent="0.2">
      <c r="A82">
        <v>300000</v>
      </c>
      <c r="B82">
        <v>491.69116100000002</v>
      </c>
      <c r="C82">
        <v>-70937.252613999997</v>
      </c>
      <c r="D82">
        <v>314398.46942899999</v>
      </c>
      <c r="E82">
        <v>0.80855999999999995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opLeftCell="A38" workbookViewId="0">
      <selection activeCell="V78" sqref="V78"/>
    </sheetView>
  </sheetViews>
  <sheetFormatPr baseColWidth="10" defaultRowHeight="16" x14ac:dyDescent="0.2"/>
  <cols>
    <col min="18" max="18" width="11.83203125" bestFit="1" customWidth="1"/>
  </cols>
  <sheetData>
    <row r="1" spans="1:20" x14ac:dyDescent="0.2">
      <c r="A1" t="s">
        <v>1</v>
      </c>
    </row>
    <row r="2" spans="1:20" x14ac:dyDescent="0.2">
      <c r="A2" t="s">
        <v>2</v>
      </c>
      <c r="H2" t="s">
        <v>3</v>
      </c>
      <c r="O2" t="s">
        <v>14</v>
      </c>
    </row>
    <row r="3" spans="1:20" x14ac:dyDescent="0.2">
      <c r="A3" t="s">
        <v>4</v>
      </c>
      <c r="B3" t="s">
        <v>5</v>
      </c>
      <c r="C3" t="s">
        <v>7</v>
      </c>
      <c r="D3" t="s">
        <v>8</v>
      </c>
      <c r="E3" t="s">
        <v>6</v>
      </c>
      <c r="F3" t="s">
        <v>9</v>
      </c>
      <c r="H3" t="s">
        <v>4</v>
      </c>
      <c r="I3" t="s">
        <v>5</v>
      </c>
      <c r="J3" t="s">
        <v>7</v>
      </c>
      <c r="K3" t="s">
        <v>8</v>
      </c>
      <c r="L3" t="s">
        <v>6</v>
      </c>
      <c r="M3" t="s">
        <v>9</v>
      </c>
      <c r="O3" t="s">
        <v>4</v>
      </c>
      <c r="P3" t="s">
        <v>5</v>
      </c>
      <c r="Q3" t="s">
        <v>7</v>
      </c>
      <c r="R3" t="s">
        <v>8</v>
      </c>
      <c r="S3" t="s">
        <v>6</v>
      </c>
      <c r="T3" t="s">
        <v>9</v>
      </c>
    </row>
    <row r="4" spans="1:20" x14ac:dyDescent="0.2">
      <c r="A4">
        <v>0</v>
      </c>
      <c r="B4">
        <v>-1036.8672999999999</v>
      </c>
      <c r="C4" s="1">
        <f>B4/250</f>
        <v>-4.1474691999999997</v>
      </c>
      <c r="D4">
        <v>5616.9889999999996</v>
      </c>
      <c r="E4" s="1">
        <f>D4/250</f>
        <v>22.467955999999997</v>
      </c>
      <c r="F4" s="1">
        <f>(D4^(1/3))/5</f>
        <v>3.5552039527896255</v>
      </c>
      <c r="H4">
        <v>0</v>
      </c>
      <c r="I4">
        <v>-1732.3426999999999</v>
      </c>
      <c r="J4" s="1">
        <f>I4/250</f>
        <v>-6.9293708000000001</v>
      </c>
      <c r="K4">
        <v>3897.3717999999999</v>
      </c>
      <c r="L4" s="1">
        <f>K4/250</f>
        <v>15.589487199999999</v>
      </c>
      <c r="M4" s="1">
        <f>(K4^(1/3))/5</f>
        <v>3.1474145039395007</v>
      </c>
      <c r="O4">
        <v>0</v>
      </c>
      <c r="P4">
        <v>-4.8115075999999997</v>
      </c>
      <c r="Q4">
        <f>P4/500</f>
        <v>-9.6230151999999996E-3</v>
      </c>
      <c r="R4">
        <v>35851.055</v>
      </c>
      <c r="S4">
        <f>R4/500</f>
        <v>71.702110000000005</v>
      </c>
      <c r="T4" s="1">
        <f>(R4^(1/3))/5</f>
        <v>6.5947343982251949</v>
      </c>
    </row>
    <row r="5" spans="1:20" x14ac:dyDescent="0.2">
      <c r="A5">
        <v>500</v>
      </c>
      <c r="B5">
        <v>-1026.5398929999999</v>
      </c>
      <c r="C5" s="1">
        <f>B5/250</f>
        <v>-4.1061595719999993</v>
      </c>
      <c r="D5">
        <v>5543.7798620000003</v>
      </c>
      <c r="E5" s="1">
        <f>D5/250</f>
        <v>22.175119448</v>
      </c>
      <c r="F5" s="1">
        <f>(D5^(1/3))/5</f>
        <v>3.5396907519229392</v>
      </c>
      <c r="H5">
        <v>500</v>
      </c>
      <c r="I5">
        <v>-1715.3859339999999</v>
      </c>
      <c r="J5" s="1">
        <f>I5/250</f>
        <v>-6.8615437359999998</v>
      </c>
      <c r="K5">
        <v>3921.455277</v>
      </c>
      <c r="L5" s="1">
        <f>K5/250</f>
        <v>15.685821108000001</v>
      </c>
      <c r="M5" s="1">
        <f>(K5^(1/3))/5</f>
        <v>3.1538842556838005</v>
      </c>
      <c r="O5">
        <v>1000</v>
      </c>
    </row>
    <row r="6" spans="1:20" x14ac:dyDescent="0.2">
      <c r="A6">
        <v>500</v>
      </c>
      <c r="B6">
        <v>-65705.594071</v>
      </c>
      <c r="C6" s="1">
        <f>B6/16000</f>
        <v>-4.1065996294374996</v>
      </c>
      <c r="D6">
        <v>355172.18839000002</v>
      </c>
      <c r="E6" s="1">
        <f>D6/16000</f>
        <v>22.198261774375002</v>
      </c>
      <c r="F6" s="1">
        <f>(D6^(1/3))/20</f>
        <v>3.5409216840164559</v>
      </c>
      <c r="H6">
        <v>500</v>
      </c>
      <c r="I6">
        <v>-109783.95748899999</v>
      </c>
      <c r="J6" s="1">
        <f>I6/16000</f>
        <v>-6.8614973430624993</v>
      </c>
      <c r="K6">
        <v>250970.37695000001</v>
      </c>
      <c r="L6" s="1">
        <f>K6/16000</f>
        <v>15.685648559375</v>
      </c>
      <c r="M6" s="1">
        <f>(K6^(1/3))/20</f>
        <v>3.1538726910913057</v>
      </c>
    </row>
    <row r="7" spans="1:20" x14ac:dyDescent="0.2">
      <c r="A7">
        <v>1000</v>
      </c>
      <c r="B7">
        <v>-1008.4696269999999</v>
      </c>
      <c r="C7" s="1">
        <f>B7/250</f>
        <v>-4.0338785079999999</v>
      </c>
      <c r="D7">
        <v>5550.3313170000001</v>
      </c>
      <c r="E7" s="1">
        <f>D7/250</f>
        <v>22.201325268000002</v>
      </c>
      <c r="F7" s="1">
        <f>(D7^(1/3))/5</f>
        <v>3.5410845660196086</v>
      </c>
      <c r="H7">
        <v>1000</v>
      </c>
      <c r="I7">
        <v>-1696.36833</v>
      </c>
      <c r="J7" s="1">
        <f>I7/250</f>
        <v>-6.7854733200000004</v>
      </c>
      <c r="K7">
        <v>3954.8734020000002</v>
      </c>
      <c r="L7" s="1">
        <f>K7/250</f>
        <v>15.819493608</v>
      </c>
      <c r="M7" s="1">
        <f>(K7^(1/3))/5</f>
        <v>3.162817921672314</v>
      </c>
    </row>
    <row r="8" spans="1:20" x14ac:dyDescent="0.2">
      <c r="A8">
        <v>1000</v>
      </c>
      <c r="B8">
        <v>-64540.064499</v>
      </c>
      <c r="C8" s="1">
        <f>B8/16000</f>
        <v>-4.0337540311874998</v>
      </c>
      <c r="D8">
        <v>355218.30471300002</v>
      </c>
      <c r="E8" s="1">
        <f>D8/16000</f>
        <v>22.201144044562501</v>
      </c>
      <c r="F8" s="1">
        <f>(D8^(1/3))/20</f>
        <v>3.5410749310202583</v>
      </c>
      <c r="H8">
        <v>1000</v>
      </c>
      <c r="I8">
        <v>-108559.43077000001</v>
      </c>
      <c r="J8" s="1">
        <f>I8/16000</f>
        <v>-6.7849644231250004</v>
      </c>
      <c r="K8">
        <v>253120.09164500001</v>
      </c>
      <c r="L8" s="1">
        <f>K8/16000</f>
        <v>15.8200057278125</v>
      </c>
      <c r="M8" s="1">
        <f>(K8^(1/3))/20</f>
        <v>3.1628520509620572</v>
      </c>
    </row>
    <row r="10" spans="1:20" x14ac:dyDescent="0.2">
      <c r="A10" t="s">
        <v>32</v>
      </c>
    </row>
    <row r="11" spans="1:20" x14ac:dyDescent="0.2">
      <c r="B11" t="s">
        <v>4</v>
      </c>
      <c r="C11" t="s">
        <v>5</v>
      </c>
      <c r="D11" t="s">
        <v>10</v>
      </c>
      <c r="E11" t="s">
        <v>11</v>
      </c>
      <c r="F11" t="s">
        <v>8</v>
      </c>
      <c r="G11" t="s">
        <v>6</v>
      </c>
      <c r="H11" t="s">
        <v>9</v>
      </c>
      <c r="I11" t="s">
        <v>33</v>
      </c>
      <c r="L11" t="s">
        <v>4</v>
      </c>
      <c r="M11" t="s">
        <v>5</v>
      </c>
      <c r="N11" t="s">
        <v>10</v>
      </c>
      <c r="O11" t="s">
        <v>11</v>
      </c>
      <c r="P11" t="s">
        <v>8</v>
      </c>
      <c r="Q11" t="s">
        <v>6</v>
      </c>
      <c r="R11" t="s">
        <v>9</v>
      </c>
      <c r="S11" t="s">
        <v>33</v>
      </c>
    </row>
    <row r="12" spans="1:20" x14ac:dyDescent="0.2">
      <c r="A12">
        <v>1</v>
      </c>
      <c r="B12">
        <v>1000</v>
      </c>
      <c r="C12">
        <v>-382988.68317600002</v>
      </c>
      <c r="D12">
        <f>C12-66928*$C$8-18822*$J$8</f>
        <v>14689.006995375748</v>
      </c>
      <c r="E12">
        <f>D12/85750</f>
        <v>0.17130037312391544</v>
      </c>
      <c r="F12">
        <v>1716171.108919</v>
      </c>
      <c r="G12">
        <f>F12/85750</f>
        <v>20.013657246868807</v>
      </c>
      <c r="H12" s="1">
        <f>(F12^(1/3))/35</f>
        <v>3.4207301683501505</v>
      </c>
      <c r="I12">
        <f>18822/85750</f>
        <v>0.21949854227405247</v>
      </c>
      <c r="K12">
        <v>1</v>
      </c>
      <c r="L12">
        <v>500</v>
      </c>
      <c r="M12">
        <v>-388855.63867199997</v>
      </c>
      <c r="N12">
        <f>M12-66928*$C$6-18822*$J$6</f>
        <v>15137.964318115337</v>
      </c>
      <c r="O12">
        <f>N12/85750</f>
        <v>0.17653602703341501</v>
      </c>
      <c r="P12">
        <v>1696662.572586</v>
      </c>
      <c r="Q12">
        <f>P12/85750</f>
        <v>19.786152449982506</v>
      </c>
      <c r="R12" s="1">
        <f>(P12^(1/3))/35</f>
        <v>3.4077190509173865</v>
      </c>
      <c r="S12">
        <f>18822/85750</f>
        <v>0.21949854227405247</v>
      </c>
    </row>
    <row r="13" spans="1:20" x14ac:dyDescent="0.2">
      <c r="A13">
        <v>2</v>
      </c>
      <c r="B13">
        <v>1000</v>
      </c>
      <c r="C13">
        <v>-383327.10637300002</v>
      </c>
      <c r="D13">
        <f>C13-66785*$C$8-18965*$J$8</f>
        <v>14744.006884422779</v>
      </c>
      <c r="E13">
        <f>D13/85750</f>
        <v>0.17194177124691287</v>
      </c>
      <c r="F13">
        <v>1714847.382125</v>
      </c>
      <c r="G13">
        <f>F13/85750</f>
        <v>19.998220199708456</v>
      </c>
      <c r="H13" s="1">
        <f>(F13^(1/3))/35</f>
        <v>3.4198504431543668</v>
      </c>
      <c r="I13">
        <f>18965/85750</f>
        <v>0.2211661807580175</v>
      </c>
      <c r="K13">
        <v>2</v>
      </c>
      <c r="L13">
        <v>500</v>
      </c>
      <c r="M13">
        <v>-389196.82983200002</v>
      </c>
      <c r="N13">
        <f>M13-66785*$C$6-18965*$J$6</f>
        <v>15190.72353116369</v>
      </c>
      <c r="O13">
        <f>N13/85750</f>
        <v>0.17715129482406636</v>
      </c>
      <c r="P13">
        <v>1695235.1792599999</v>
      </c>
      <c r="Q13">
        <f>P13/85750</f>
        <v>19.769506463673469</v>
      </c>
      <c r="R13" s="1">
        <f>(P13^(1/3))/35</f>
        <v>3.4067631507461709</v>
      </c>
      <c r="S13">
        <f>18965/85750</f>
        <v>0.2211661807580175</v>
      </c>
    </row>
    <row r="14" spans="1:20" x14ac:dyDescent="0.2">
      <c r="A14">
        <v>3</v>
      </c>
      <c r="B14">
        <v>1000</v>
      </c>
      <c r="C14">
        <v>-383567.27745300002</v>
      </c>
      <c r="D14">
        <f>C14-66689*$C$8-19061*$J$8</f>
        <v>14767.952002048798</v>
      </c>
      <c r="E14">
        <f>D14/85750</f>
        <v>0.17222101460115216</v>
      </c>
      <c r="F14">
        <v>1713989.9935580001</v>
      </c>
      <c r="G14">
        <f>F14/85750</f>
        <v>19.98822149921866</v>
      </c>
      <c r="H14" s="1">
        <f>(F14^(1/3))/35</f>
        <v>3.419280396414881</v>
      </c>
      <c r="I14">
        <f>18738/85750</f>
        <v>0.21851895043731778</v>
      </c>
      <c r="K14">
        <v>3</v>
      </c>
      <c r="L14">
        <v>500</v>
      </c>
      <c r="M14">
        <v>-389431.16339399997</v>
      </c>
      <c r="N14">
        <f>M14-66689*$C$6-19061*$J$6</f>
        <v>15220.860149671716</v>
      </c>
      <c r="O14">
        <f>N14/85750</f>
        <v>0.17750274227022411</v>
      </c>
      <c r="P14">
        <v>1694160.7469319999</v>
      </c>
      <c r="Q14">
        <f>P14/85750</f>
        <v>19.756976640606414</v>
      </c>
      <c r="R14" s="1">
        <f>(P14^(1/3))/35</f>
        <v>3.4060432683208663</v>
      </c>
      <c r="S14">
        <f>18738/85750</f>
        <v>0.21851895043731778</v>
      </c>
    </row>
    <row r="15" spans="1:20" x14ac:dyDescent="0.2">
      <c r="A15">
        <v>4</v>
      </c>
      <c r="B15">
        <v>1000</v>
      </c>
      <c r="C15">
        <v>-382771.75432000001</v>
      </c>
      <c r="D15">
        <f>C15-67012*$C$8-18738*$J$8</f>
        <v>14674.834178452962</v>
      </c>
      <c r="E15">
        <f>D15/85750</f>
        <v>0.17113509246009284</v>
      </c>
      <c r="F15">
        <v>1716905.693034</v>
      </c>
      <c r="G15">
        <f>F15/85750</f>
        <v>20.022223825469389</v>
      </c>
      <c r="H15" s="1">
        <f>(F15^(1/3))/35</f>
        <v>3.4212181646791211</v>
      </c>
      <c r="I15">
        <f>19061/85750</f>
        <v>0.22228571428571428</v>
      </c>
      <c r="K15">
        <v>4</v>
      </c>
      <c r="L15">
        <v>500</v>
      </c>
      <c r="M15">
        <v>-388646.77604600001</v>
      </c>
      <c r="N15">
        <f>M15-67012*$C$6-18738*$J$6</f>
        <v>15115.415536170796</v>
      </c>
      <c r="O15">
        <f>N15/85750</f>
        <v>0.17627306747721044</v>
      </c>
      <c r="P15">
        <v>1697491.2079060001</v>
      </c>
      <c r="Q15">
        <f>P15/85750</f>
        <v>19.795815835638486</v>
      </c>
      <c r="R15" s="1">
        <f>(P15^(1/3))/35</f>
        <v>3.4082737274604495</v>
      </c>
      <c r="S15">
        <f>19061/85750</f>
        <v>0.22228571428571428</v>
      </c>
    </row>
    <row r="16" spans="1:20" x14ac:dyDescent="0.2">
      <c r="A16">
        <v>5</v>
      </c>
      <c r="B16">
        <v>1000</v>
      </c>
      <c r="C16">
        <v>-382721.255595</v>
      </c>
      <c r="D16">
        <f>C16-67041*$C$8-18709*$J$8</f>
        <v>14645.547802086803</v>
      </c>
      <c r="E16">
        <f>D16/85750</f>
        <v>0.17079356037419013</v>
      </c>
      <c r="F16">
        <v>1717130.416254</v>
      </c>
      <c r="G16">
        <f>F16/85750</f>
        <v>20.024844504419825</v>
      </c>
      <c r="H16" s="1">
        <f>(F16^(1/3))/35</f>
        <v>3.4213674242112186</v>
      </c>
      <c r="I16">
        <f>18709/85750</f>
        <v>0.2181807580174927</v>
      </c>
      <c r="K16">
        <v>5</v>
      </c>
      <c r="L16">
        <v>500</v>
      </c>
      <c r="M16">
        <v>-388598.73025000002</v>
      </c>
      <c r="N16">
        <f>M16-67041*$C$6-18709*$J$6</f>
        <v>15083.569298475704</v>
      </c>
      <c r="O16">
        <f>N16/85750</f>
        <v>0.17590168278105778</v>
      </c>
      <c r="P16">
        <v>1697836.1386229999</v>
      </c>
      <c r="Q16">
        <f>P16/85750</f>
        <v>19.799838351288628</v>
      </c>
      <c r="R16" s="1">
        <f>(P16^(1/3))/35</f>
        <v>3.408504565903165</v>
      </c>
      <c r="S16">
        <f>18709/85750</f>
        <v>0.2181807580174927</v>
      </c>
    </row>
    <row r="17" spans="1:23" x14ac:dyDescent="0.2">
      <c r="B17">
        <f t="shared" ref="B17:H17" si="0">AVERAGE(B12:B16)</f>
        <v>1000</v>
      </c>
      <c r="C17">
        <f t="shared" si="0"/>
        <v>-383075.21538340003</v>
      </c>
      <c r="D17">
        <f t="shared" si="0"/>
        <v>14704.269572477418</v>
      </c>
      <c r="E17">
        <f t="shared" si="0"/>
        <v>0.17147836236125269</v>
      </c>
      <c r="F17">
        <f t="shared" si="0"/>
        <v>1715808.9187779999</v>
      </c>
      <c r="G17">
        <f t="shared" si="0"/>
        <v>20.009433455137025</v>
      </c>
      <c r="H17">
        <f t="shared" si="0"/>
        <v>3.4204893193619474</v>
      </c>
      <c r="I17">
        <f>AVERAGE(I12:I16)</f>
        <v>0.21993002915451892</v>
      </c>
      <c r="L17">
        <f t="shared" ref="L17:S17" si="1">AVERAGE(L12:L16)</f>
        <v>500</v>
      </c>
      <c r="M17">
        <f t="shared" si="1"/>
        <v>-388945.82763879996</v>
      </c>
      <c r="N17">
        <f t="shared" si="1"/>
        <v>15149.706566719449</v>
      </c>
      <c r="O17">
        <f t="shared" si="1"/>
        <v>0.17667296287719472</v>
      </c>
      <c r="P17">
        <f t="shared" si="1"/>
        <v>1696277.1690614</v>
      </c>
      <c r="Q17">
        <f t="shared" si="1"/>
        <v>19.7816579482379</v>
      </c>
      <c r="R17">
        <f t="shared" si="1"/>
        <v>3.4074607526696079</v>
      </c>
      <c r="S17">
        <f t="shared" si="1"/>
        <v>0.21993002915451892</v>
      </c>
    </row>
    <row r="19" spans="1:23" x14ac:dyDescent="0.2">
      <c r="A19" t="s">
        <v>44</v>
      </c>
      <c r="M19" t="s">
        <v>43</v>
      </c>
    </row>
    <row r="20" spans="1:23" x14ac:dyDescent="0.2">
      <c r="A20" t="s">
        <v>34</v>
      </c>
      <c r="C20" t="s">
        <v>5</v>
      </c>
      <c r="D20" t="s">
        <v>10</v>
      </c>
      <c r="E20" t="s">
        <v>11</v>
      </c>
      <c r="F20" t="s">
        <v>46</v>
      </c>
      <c r="G20" t="s">
        <v>8</v>
      </c>
      <c r="H20" t="s">
        <v>35</v>
      </c>
      <c r="I20" t="s">
        <v>36</v>
      </c>
      <c r="J20" t="s">
        <v>21</v>
      </c>
      <c r="K20" t="s">
        <v>24</v>
      </c>
      <c r="M20" t="s">
        <v>34</v>
      </c>
      <c r="O20" t="s">
        <v>5</v>
      </c>
      <c r="P20" t="s">
        <v>10</v>
      </c>
      <c r="Q20" t="s">
        <v>11</v>
      </c>
      <c r="R20" t="s">
        <v>46</v>
      </c>
      <c r="S20" t="s">
        <v>8</v>
      </c>
      <c r="T20" t="s">
        <v>35</v>
      </c>
      <c r="U20" t="s">
        <v>36</v>
      </c>
      <c r="V20" t="s">
        <v>21</v>
      </c>
      <c r="W20" t="s">
        <v>24</v>
      </c>
    </row>
    <row r="21" spans="1:23" x14ac:dyDescent="0.2">
      <c r="A21" t="s">
        <v>37</v>
      </c>
      <c r="B21">
        <v>500</v>
      </c>
      <c r="C21">
        <v>-384405.204294</v>
      </c>
      <c r="D21">
        <f>C21-67087*$C$6-18779*$J$6</f>
        <v>19946.303651444192</v>
      </c>
      <c r="E21">
        <f>D21/85866</f>
        <v>0.23229571252235101</v>
      </c>
      <c r="F21">
        <f>E21-$E$46</f>
        <v>3.8604958720564603E-2</v>
      </c>
      <c r="G21">
        <v>1982672.7694669999</v>
      </c>
      <c r="H21">
        <f>(93312-85866)*$Q$17+G21</f>
        <v>2129966.9945495795</v>
      </c>
      <c r="I21">
        <f>H21-$Q$17*93312</f>
        <v>284100.92808360443</v>
      </c>
      <c r="J21">
        <v>5200</v>
      </c>
      <c r="K21">
        <f>J21/7446</f>
        <v>0.69836153639538012</v>
      </c>
      <c r="M21" t="s">
        <v>37</v>
      </c>
      <c r="N21">
        <v>500</v>
      </c>
      <c r="O21">
        <v>-406539.82933199999</v>
      </c>
      <c r="P21">
        <f>O21-70404*$C$6-19779*$J$6</f>
        <v>18294.766927350895</v>
      </c>
      <c r="Q21">
        <f>P21/90183</f>
        <v>0.20286270059047598</v>
      </c>
      <c r="R21">
        <f>Q21-$Q$46</f>
        <v>1.6777832681880156E-2</v>
      </c>
      <c r="S21">
        <v>1897450.302532</v>
      </c>
      <c r="T21">
        <f>(93312-90183)*$Q$17+S21</f>
        <v>1959347.1102520365</v>
      </c>
      <c r="U21">
        <f>T21-$Q$17*93312</f>
        <v>113481.04378606146</v>
      </c>
      <c r="V21">
        <v>2106</v>
      </c>
      <c r="W21">
        <f>V21/3129</f>
        <v>0.673058485139022</v>
      </c>
    </row>
    <row r="22" spans="1:23" x14ac:dyDescent="0.2">
      <c r="A22" t="s">
        <v>38</v>
      </c>
      <c r="B22">
        <v>500</v>
      </c>
      <c r="C22">
        <v>-386036.94458100002</v>
      </c>
      <c r="D22">
        <f>C22-67087*$C$6-18779*$J$6</f>
        <v>18314.56336444417</v>
      </c>
      <c r="E22">
        <f>D22/85866</f>
        <v>0.21329237840873186</v>
      </c>
      <c r="F22">
        <f>E22-$E$46</f>
        <v>1.960162460694545E-2</v>
      </c>
      <c r="G22">
        <v>1908971.440837</v>
      </c>
      <c r="H22">
        <f>(93312-85866)*$Q$17+G22</f>
        <v>2056265.6659195793</v>
      </c>
      <c r="I22">
        <f>H22-$Q$17*93312</f>
        <v>210399.59945360431</v>
      </c>
      <c r="J22">
        <v>3769</v>
      </c>
      <c r="K22">
        <f>J22/7446</f>
        <v>0.50617781359118985</v>
      </c>
      <c r="M22" t="s">
        <v>38</v>
      </c>
      <c r="N22">
        <v>500</v>
      </c>
      <c r="O22">
        <v>-407254.69447500003</v>
      </c>
      <c r="P22">
        <f>O22-70404*$C$6-19779*$J$6</f>
        <v>17579.901784350863</v>
      </c>
      <c r="Q22">
        <f>P22/90183</f>
        <v>0.19493587244104613</v>
      </c>
      <c r="R22">
        <f>Q22-$Q$46</f>
        <v>8.8510045324503017E-3</v>
      </c>
      <c r="S22">
        <v>1870463.3783819999</v>
      </c>
      <c r="T22">
        <f>(93312-90183)*$Q$17+S22</f>
        <v>1932360.1861020364</v>
      </c>
      <c r="U22">
        <f>T22-$Q$17*93312</f>
        <v>86494.119636061369</v>
      </c>
      <c r="V22">
        <v>1513</v>
      </c>
      <c r="W22">
        <f>V22/3129</f>
        <v>0.48354106743368486</v>
      </c>
    </row>
    <row r="23" spans="1:23" x14ac:dyDescent="0.2">
      <c r="A23" t="s">
        <v>39</v>
      </c>
      <c r="B23">
        <v>500</v>
      </c>
      <c r="C23">
        <v>-387294.51259499998</v>
      </c>
      <c r="D23">
        <f>C23-67087*$C$6-18779*$J$6</f>
        <v>17056.995350444209</v>
      </c>
      <c r="E23">
        <f>D23/85866</f>
        <v>0.19864667447469556</v>
      </c>
      <c r="F23">
        <f>E23-$E$46</f>
        <v>4.9559206729091476E-3</v>
      </c>
      <c r="G23">
        <v>1859011.965846</v>
      </c>
      <c r="H23">
        <f>(93312-85866)*$Q$17+G23</f>
        <v>2006306.1909285793</v>
      </c>
      <c r="I23">
        <f>H23-$Q$17*93312</f>
        <v>160440.12446260429</v>
      </c>
      <c r="J23">
        <v>2230</v>
      </c>
      <c r="K23">
        <f>J23/7446</f>
        <v>0.29948965887724954</v>
      </c>
      <c r="M23" t="s">
        <v>39</v>
      </c>
      <c r="N23">
        <v>500</v>
      </c>
      <c r="O23">
        <v>-407860.29103800002</v>
      </c>
      <c r="P23">
        <f>O23-70404*$C$6-19779*$J$6</f>
        <v>16974.305221350864</v>
      </c>
      <c r="Q23">
        <f>P23/90183</f>
        <v>0.18822067597386274</v>
      </c>
      <c r="R23">
        <f>Q23-$Q$46</f>
        <v>2.1358080652669198E-3</v>
      </c>
      <c r="S23">
        <v>1851168.883565</v>
      </c>
      <c r="T23">
        <f>(93312-90183)*$Q$17+S23</f>
        <v>1913065.6912850365</v>
      </c>
      <c r="U23">
        <f>T23-$Q$17*93312</f>
        <v>67199.624819061486</v>
      </c>
      <c r="V23">
        <v>882</v>
      </c>
      <c r="W23">
        <f>V23/3129</f>
        <v>0.28187919463087246</v>
      </c>
    </row>
    <row r="24" spans="1:23" x14ac:dyDescent="0.2">
      <c r="A24" t="s">
        <v>40</v>
      </c>
      <c r="B24">
        <v>500</v>
      </c>
      <c r="C24">
        <v>-387714.45962600003</v>
      </c>
      <c r="D24">
        <f>C24-67087*$C$6-18779*$J$6</f>
        <v>16637.048319444162</v>
      </c>
      <c r="E24">
        <f>D24/85866</f>
        <v>0.19375594903039808</v>
      </c>
      <c r="F24">
        <f>E24-$E$46</f>
        <v>6.519522861167526E-5</v>
      </c>
      <c r="G24">
        <v>1842442.9649700001</v>
      </c>
      <c r="H24">
        <f>(93312-85866)*$Q$17+G24</f>
        <v>1989737.1900525794</v>
      </c>
      <c r="I24">
        <f>H24-$Q$17*93312</f>
        <v>143871.12358660437</v>
      </c>
      <c r="J24">
        <v>727</v>
      </c>
      <c r="K24">
        <f>J24/7446</f>
        <v>9.7636314799892557E-2</v>
      </c>
      <c r="M24" t="s">
        <v>40</v>
      </c>
      <c r="N24">
        <v>500</v>
      </c>
      <c r="O24">
        <v>-408050.18469199998</v>
      </c>
      <c r="P24">
        <f>O24-70404*$C$6-19779*$J$6</f>
        <v>16784.411567350908</v>
      </c>
      <c r="Q24">
        <f>P24/90183</f>
        <v>0.18611502796925039</v>
      </c>
      <c r="R24">
        <f>Q24-$Q$46</f>
        <v>3.0160060654566001E-5</v>
      </c>
      <c r="S24">
        <v>1843617.1863269999</v>
      </c>
      <c r="T24">
        <f>(93312-90183)*$Q$17+S24</f>
        <v>1905513.9940470364</v>
      </c>
      <c r="U24">
        <f>T24-$Q$17*93312</f>
        <v>59647.927581061376</v>
      </c>
      <c r="V24">
        <v>286</v>
      </c>
      <c r="W24">
        <f>V24/3129</f>
        <v>9.1403004154682013E-2</v>
      </c>
    </row>
    <row r="26" spans="1:23" x14ac:dyDescent="0.2">
      <c r="A26" t="s">
        <v>41</v>
      </c>
      <c r="M26" t="s">
        <v>41</v>
      </c>
    </row>
    <row r="27" spans="1:23" x14ac:dyDescent="0.2">
      <c r="A27" t="s">
        <v>37</v>
      </c>
      <c r="B27">
        <v>500</v>
      </c>
      <c r="C27">
        <v>-384357.73536400002</v>
      </c>
      <c r="D27">
        <f>C27-67078*$C$6-18784*$J$6</f>
        <v>19991.120671494544</v>
      </c>
      <c r="E27">
        <f>D27/85862</f>
        <v>0.23282850005234612</v>
      </c>
      <c r="F27">
        <f>E27-$E$52</f>
        <v>3.8983333803078835E-2</v>
      </c>
      <c r="G27">
        <v>1979656.559993</v>
      </c>
      <c r="H27">
        <f>(93312-85862)*$Q$17+G27</f>
        <v>2127029.9117073724</v>
      </c>
      <c r="I27">
        <f>H27-$Q$17*93312</f>
        <v>281163.84524139739</v>
      </c>
      <c r="J27">
        <v>5142</v>
      </c>
      <c r="K27">
        <f>J27/7450</f>
        <v>0.69020134228187924</v>
      </c>
      <c r="M27" t="s">
        <v>37</v>
      </c>
      <c r="N27">
        <v>500</v>
      </c>
      <c r="O27">
        <v>-406532.97116800002</v>
      </c>
      <c r="P27">
        <f>O27-70403*$C$6-19779*$J$6</f>
        <v>18297.518491721421</v>
      </c>
      <c r="Q27">
        <f>P27/90182</f>
        <v>0.20289546130848085</v>
      </c>
      <c r="R27">
        <f>Q27-$Q$52</f>
        <v>1.6824070687609383E-2</v>
      </c>
      <c r="S27">
        <v>1895290.654811</v>
      </c>
      <c r="T27">
        <f>(93312-90182)*$Q$17+S27</f>
        <v>1957207.2441889846</v>
      </c>
      <c r="U27">
        <f>T27-$Q$17*93312</f>
        <v>111341.1777230096</v>
      </c>
      <c r="V27">
        <v>2069</v>
      </c>
      <c r="W27">
        <f>V27/3130</f>
        <v>0.66102236421725236</v>
      </c>
    </row>
    <row r="28" spans="1:23" x14ac:dyDescent="0.2">
      <c r="A28" t="s">
        <v>38</v>
      </c>
      <c r="B28">
        <v>500</v>
      </c>
      <c r="C28">
        <v>-386041.216701</v>
      </c>
      <c r="D28">
        <f>C28-67078*$C$6-18784*$J$6</f>
        <v>18307.639334494568</v>
      </c>
      <c r="E28">
        <f>D28/85862</f>
        <v>0.21322167355168256</v>
      </c>
      <c r="F28">
        <f>E28-$E$52</f>
        <v>1.9376507302415275E-2</v>
      </c>
      <c r="G28">
        <v>1906018.8537890001</v>
      </c>
      <c r="H28">
        <f>(93312-85862)*$Q$17+G28</f>
        <v>2053392.2055033725</v>
      </c>
      <c r="I28">
        <f>H28-$Q$17*93312</f>
        <v>207526.13903739746</v>
      </c>
      <c r="J28">
        <v>3697</v>
      </c>
      <c r="K28">
        <f>J28/7450</f>
        <v>0.49624161073825501</v>
      </c>
      <c r="M28" t="s">
        <v>38</v>
      </c>
      <c r="N28">
        <v>500</v>
      </c>
      <c r="O28">
        <v>-407306.66261399997</v>
      </c>
      <c r="P28">
        <f>O28-70403*$C$6-19779*$J$6</f>
        <v>17523.827045721468</v>
      </c>
      <c r="Q28">
        <f>P28/90182</f>
        <v>0.19431623878070423</v>
      </c>
      <c r="R28">
        <f>Q28-$Q$52</f>
        <v>8.2448481598327572E-3</v>
      </c>
      <c r="S28">
        <v>1868621.16888</v>
      </c>
      <c r="T28">
        <f>(93312-90182)*$Q$17+S28</f>
        <v>1930537.7582579846</v>
      </c>
      <c r="U28">
        <f>T28-$Q$17*93312</f>
        <v>84671.691792009631</v>
      </c>
      <c r="V28">
        <v>1471</v>
      </c>
      <c r="W28">
        <f>V28/3130</f>
        <v>0.46996805111821088</v>
      </c>
    </row>
    <row r="29" spans="1:23" x14ac:dyDescent="0.2">
      <c r="A29" t="s">
        <v>39</v>
      </c>
      <c r="B29">
        <v>500</v>
      </c>
      <c r="C29">
        <v>-387304.84228899999</v>
      </c>
      <c r="D29">
        <f>C29-67078*$C$6-18784*$J$6</f>
        <v>17044.013746494573</v>
      </c>
      <c r="E29">
        <f>D29/85862</f>
        <v>0.1985047372119747</v>
      </c>
      <c r="F29">
        <f>E29-$E$52</f>
        <v>4.6595709627074156E-3</v>
      </c>
      <c r="G29">
        <v>1857509.238264</v>
      </c>
      <c r="H29">
        <f>(93312-85862)*$Q$17+G29</f>
        <v>2004882.5899783724</v>
      </c>
      <c r="I29">
        <f>H29-$Q$17*93312</f>
        <v>159016.52351239743</v>
      </c>
      <c r="J29">
        <v>2182</v>
      </c>
      <c r="K29">
        <f>J29/7450</f>
        <v>0.29288590604026843</v>
      </c>
      <c r="M29" t="s">
        <v>39</v>
      </c>
      <c r="N29">
        <v>500</v>
      </c>
      <c r="O29">
        <v>-407870.18251499999</v>
      </c>
      <c r="P29">
        <f>O29-70403*$C$6-19779*$J$6</f>
        <v>16960.307144721446</v>
      </c>
      <c r="Q29">
        <f>P29/90182</f>
        <v>0.18806754279924426</v>
      </c>
      <c r="R29">
        <f>Q29-$Q$52</f>
        <v>1.9961521783727898E-3</v>
      </c>
      <c r="S29">
        <v>1850530.395</v>
      </c>
      <c r="T29">
        <f>(93312-90182)*$Q$17+S29</f>
        <v>1912446.9843779847</v>
      </c>
      <c r="U29">
        <f>T29-$Q$17*93312</f>
        <v>66580.917912009638</v>
      </c>
      <c r="V29">
        <v>864</v>
      </c>
      <c r="W29">
        <f>V29/3130</f>
        <v>0.27603833865814698</v>
      </c>
    </row>
    <row r="30" spans="1:23" x14ac:dyDescent="0.2">
      <c r="A30" t="s">
        <v>40</v>
      </c>
      <c r="B30">
        <v>500</v>
      </c>
      <c r="C30">
        <v>-387709.20371500001</v>
      </c>
      <c r="D30">
        <f>C30-67078*$C$6-18784*$J$6</f>
        <v>16639.652320494555</v>
      </c>
      <c r="E30">
        <f>D30/85862</f>
        <v>0.19379530316664595</v>
      </c>
      <c r="F30">
        <f>E30-$E$52</f>
        <v>-4.986308262133754E-5</v>
      </c>
      <c r="G30">
        <v>1841870.2032570001</v>
      </c>
      <c r="H30">
        <f>(93312-85862)*$Q$17+G30</f>
        <v>1989243.5549713725</v>
      </c>
      <c r="I30">
        <f>H30-$Q$17*93312</f>
        <v>143377.48850539746</v>
      </c>
      <c r="J30">
        <v>691</v>
      </c>
      <c r="K30">
        <f>J30/7450</f>
        <v>9.2751677852348988E-2</v>
      </c>
      <c r="M30" t="s">
        <v>40</v>
      </c>
      <c r="N30">
        <v>500</v>
      </c>
      <c r="O30">
        <v>-408050.02750299999</v>
      </c>
      <c r="P30">
        <f>O30-70403*$C$6-19779*$J$6</f>
        <v>16780.462156721449</v>
      </c>
      <c r="Q30">
        <f>P30/90182</f>
        <v>0.18607329796102826</v>
      </c>
      <c r="R30">
        <f>Q30-$Q$52</f>
        <v>1.9073401567870629E-6</v>
      </c>
      <c r="S30">
        <v>1843281.719088</v>
      </c>
      <c r="T30">
        <f>(93312-90182)*$Q$17+S30</f>
        <v>1905198.3084659846</v>
      </c>
      <c r="U30">
        <f>T30-$Q$17*93312</f>
        <v>59332.242000009632</v>
      </c>
      <c r="V30">
        <v>262</v>
      </c>
      <c r="W30">
        <f>V30/3130</f>
        <v>8.370607028753993E-2</v>
      </c>
    </row>
    <row r="32" spans="1:23" x14ac:dyDescent="0.2">
      <c r="A32" t="s">
        <v>42</v>
      </c>
      <c r="M32" t="s">
        <v>42</v>
      </c>
    </row>
    <row r="33" spans="1:23" x14ac:dyDescent="0.2">
      <c r="A33" t="s">
        <v>37</v>
      </c>
      <c r="B33">
        <v>500</v>
      </c>
      <c r="C33">
        <v>-384715.11747300002</v>
      </c>
      <c r="D33">
        <f>C33-67047*$C$6-18825*$J$6</f>
        <v>19787.755365047531</v>
      </c>
      <c r="E33">
        <f>D33/85872</f>
        <v>0.23043314893152053</v>
      </c>
      <c r="F33">
        <f>E33-$E$58</f>
        <v>3.6681184676029127E-2</v>
      </c>
      <c r="G33">
        <v>2000772.534403</v>
      </c>
      <c r="H33">
        <f>(93312-85872)*$Q$17+G33</f>
        <v>2147948.0695378901</v>
      </c>
      <c r="I33">
        <f>H33-$Q$17*93312</f>
        <v>302082.00307191513</v>
      </c>
      <c r="J33">
        <v>5156</v>
      </c>
      <c r="K33">
        <f>J33/7440</f>
        <v>0.69301075268817203</v>
      </c>
      <c r="M33" t="s">
        <v>37</v>
      </c>
      <c r="N33">
        <v>500</v>
      </c>
      <c r="O33">
        <v>-406459.48650900001</v>
      </c>
      <c r="P33">
        <f>O33-70385*$C$6-19786*$J$6</f>
        <v>18345.114838793001</v>
      </c>
      <c r="Q33">
        <f>P33/90171</f>
        <v>0.20344805800970378</v>
      </c>
      <c r="R33">
        <f>Q33-$Q$58</f>
        <v>1.7425164079914734E-2</v>
      </c>
      <c r="S33">
        <v>1897321.151088</v>
      </c>
      <c r="T33">
        <f>(93312-90171)*$Q$17+S33</f>
        <v>1959455.3387034154</v>
      </c>
      <c r="U33">
        <f>T33-$Q$17*93312</f>
        <v>113589.27223744034</v>
      </c>
      <c r="V33">
        <v>2077</v>
      </c>
      <c r="W33">
        <f>V33/3141</f>
        <v>0.66125437758675576</v>
      </c>
    </row>
    <row r="34" spans="1:23" x14ac:dyDescent="0.2">
      <c r="A34" t="s">
        <v>38</v>
      </c>
      <c r="B34">
        <v>500</v>
      </c>
      <c r="C34">
        <v>-386090.35349399998</v>
      </c>
      <c r="D34">
        <f>C34-67047*$C$6-18825*$J$6</f>
        <v>18412.51934404757</v>
      </c>
      <c r="E34">
        <f>D34/85872</f>
        <v>0.21441819619954783</v>
      </c>
      <c r="F34">
        <f>E34-$E$58</f>
        <v>2.0666231944056423E-2</v>
      </c>
      <c r="G34">
        <v>1912072.2108</v>
      </c>
      <c r="H34">
        <f>(93312-85872)*$Q$17+G34</f>
        <v>2059247.7459348899</v>
      </c>
      <c r="I34">
        <f>H34-$Q$17*93312</f>
        <v>213381.67946891487</v>
      </c>
      <c r="J34">
        <v>3736</v>
      </c>
      <c r="K34">
        <f>J34/7440</f>
        <v>0.50215053763440864</v>
      </c>
      <c r="M34" t="s">
        <v>38</v>
      </c>
      <c r="N34">
        <v>500</v>
      </c>
      <c r="O34">
        <v>-407236.66909099999</v>
      </c>
      <c r="P34">
        <f>O34-70385*$C$6-19786*$J$6</f>
        <v>17567.932256793021</v>
      </c>
      <c r="Q34">
        <f>P34/90171</f>
        <v>0.19482907206078476</v>
      </c>
      <c r="R34">
        <f>Q34-$Q$58</f>
        <v>8.8061781309957121E-3</v>
      </c>
      <c r="S34">
        <v>1870474.4467770001</v>
      </c>
      <c r="T34">
        <f>(93312-90171)*$Q$17+S34</f>
        <v>1932608.6343924154</v>
      </c>
      <c r="U34">
        <f>T34-$Q$17*93312</f>
        <v>86742.567926440388</v>
      </c>
      <c r="V34">
        <v>1506</v>
      </c>
      <c r="W34">
        <f>V34/3141</f>
        <v>0.47946513849092648</v>
      </c>
    </row>
    <row r="35" spans="1:23" x14ac:dyDescent="0.2">
      <c r="A35" t="s">
        <v>39</v>
      </c>
      <c r="B35">
        <v>500</v>
      </c>
      <c r="C35">
        <v>-387449.71986399998</v>
      </c>
      <c r="D35">
        <f>C35-67047*$C$6-18825*$J$6</f>
        <v>17053.152974047567</v>
      </c>
      <c r="E35">
        <f>D35/85872</f>
        <v>0.19858804935307861</v>
      </c>
      <c r="F35">
        <f>E35-$E$58</f>
        <v>4.8360850975872061E-3</v>
      </c>
      <c r="G35">
        <v>1857886.094821</v>
      </c>
      <c r="H35">
        <f>(93312-85872)*$Q$17+G35</f>
        <v>2005061.6299558899</v>
      </c>
      <c r="I35">
        <f>H35-$Q$17*93312</f>
        <v>159195.56348991487</v>
      </c>
      <c r="J35">
        <v>2201</v>
      </c>
      <c r="K35">
        <f>J35/7440</f>
        <v>0.29583333333333334</v>
      </c>
      <c r="M35" t="s">
        <v>39</v>
      </c>
      <c r="N35">
        <v>500</v>
      </c>
      <c r="O35">
        <v>-407828.69784699997</v>
      </c>
      <c r="P35">
        <f>O35-70385*$C$6-19786*$J$6</f>
        <v>16975.903500793036</v>
      </c>
      <c r="Q35">
        <f>P35/90171</f>
        <v>0.1882634494548473</v>
      </c>
      <c r="R35">
        <f>Q35-$Q$58</f>
        <v>2.2405555250582521E-3</v>
      </c>
      <c r="S35">
        <v>1851162.1203020001</v>
      </c>
      <c r="T35">
        <f>(93312-90171)*$Q$17+S35</f>
        <v>1913296.3079174154</v>
      </c>
      <c r="U35">
        <f>T35-$Q$17*93312</f>
        <v>67430.241451440379</v>
      </c>
      <c r="V35">
        <v>894</v>
      </c>
      <c r="W35">
        <f>V35/3141</f>
        <v>0.28462273161413565</v>
      </c>
    </row>
    <row r="36" spans="1:23" x14ac:dyDescent="0.2">
      <c r="A36" t="s">
        <v>40</v>
      </c>
      <c r="B36">
        <v>500</v>
      </c>
      <c r="C36">
        <v>-387857.891023</v>
      </c>
      <c r="D36">
        <f>C36-67047*$C$6-18825*$J$6</f>
        <v>16644.981815047548</v>
      </c>
      <c r="E36">
        <f>D36/85872</f>
        <v>0.19383479847968543</v>
      </c>
      <c r="F36">
        <f>E36-$E$58</f>
        <v>8.2834224194028305E-5</v>
      </c>
      <c r="G36">
        <v>1840751.6787340001</v>
      </c>
      <c r="H36">
        <f>(93312-85872)*$Q$17+G36</f>
        <v>1987927.21386889</v>
      </c>
      <c r="I36">
        <f>H36-$Q$17*93312</f>
        <v>142061.14740291494</v>
      </c>
      <c r="J36">
        <v>699</v>
      </c>
      <c r="K36">
        <f>J36/7440</f>
        <v>9.3951612903225803E-2</v>
      </c>
      <c r="M36" t="s">
        <v>40</v>
      </c>
      <c r="N36">
        <v>500</v>
      </c>
      <c r="O36">
        <v>-408031.427532</v>
      </c>
      <c r="P36">
        <f>O36-70385*$C$6-19786*$J$6</f>
        <v>16773.173815793009</v>
      </c>
      <c r="Q36">
        <f>P36/90171</f>
        <v>0.18601516913190502</v>
      </c>
      <c r="R36">
        <f>Q36-$Q$58</f>
        <v>-7.72479788402336E-6</v>
      </c>
      <c r="S36">
        <v>1843160.8942259999</v>
      </c>
      <c r="T36">
        <f>(93312-90171)*$Q$17+S36</f>
        <v>1905295.0818414153</v>
      </c>
      <c r="U36">
        <f>T36-$Q$17*93312</f>
        <v>59429.015375440242</v>
      </c>
      <c r="V36">
        <v>265</v>
      </c>
      <c r="W36">
        <f>V36/3141</f>
        <v>8.4368035657433935E-2</v>
      </c>
    </row>
    <row r="38" spans="1:23" x14ac:dyDescent="0.2">
      <c r="A38" t="s">
        <v>53</v>
      </c>
      <c r="B38">
        <v>500</v>
      </c>
      <c r="C38">
        <v>-384887.15233000001</v>
      </c>
      <c r="D38">
        <f>C38-66965*$C$6-18732*$J$6</f>
        <v>18640.860085528882</v>
      </c>
      <c r="E38">
        <f>D38/85697</f>
        <v>0.21752056764564551</v>
      </c>
      <c r="F38">
        <f>E38-$E$58</f>
        <v>2.3768603390154103E-2</v>
      </c>
      <c r="G38">
        <v>1974815.0525420001</v>
      </c>
      <c r="H38">
        <f>(93312-85697)*$Q$17+G38</f>
        <v>2125452.3778178315</v>
      </c>
      <c r="I38">
        <f>H38-$Q$17*93312</f>
        <v>279586.31135185645</v>
      </c>
      <c r="J38">
        <v>5152</v>
      </c>
      <c r="K38">
        <f>J38/7615</f>
        <v>0.67655942219304011</v>
      </c>
      <c r="M38" t="s">
        <v>53</v>
      </c>
      <c r="N38">
        <v>500</v>
      </c>
      <c r="O38">
        <v>-406795.62410900003</v>
      </c>
      <c r="P38">
        <f>O38-70351*$C$6-19770*$J$6</f>
        <v>17759.568893903139</v>
      </c>
      <c r="Q38">
        <f>P38/90121</f>
        <v>0.19706360220040989</v>
      </c>
      <c r="R38">
        <f>Q38-$Q$58</f>
        <v>1.1040708270620841E-2</v>
      </c>
      <c r="S38">
        <v>1899401.819622</v>
      </c>
      <c r="T38">
        <f>(93312-90121)*$Q$17+S38</f>
        <v>1962525.0901348272</v>
      </c>
      <c r="U38">
        <f>T38-$Q$17*93312</f>
        <v>116659.02366885217</v>
      </c>
      <c r="V38">
        <v>2196</v>
      </c>
      <c r="W38">
        <f>V38/3191</f>
        <v>0.68818552178000625</v>
      </c>
    </row>
    <row r="40" spans="1:23" x14ac:dyDescent="0.2">
      <c r="A40" t="s">
        <v>45</v>
      </c>
      <c r="M40" t="s">
        <v>51</v>
      </c>
    </row>
    <row r="41" spans="1:23" x14ac:dyDescent="0.2">
      <c r="A41" t="s">
        <v>34</v>
      </c>
      <c r="C41" t="s">
        <v>5</v>
      </c>
      <c r="D41" t="s">
        <v>10</v>
      </c>
      <c r="E41" t="s">
        <v>11</v>
      </c>
      <c r="F41" t="s">
        <v>8</v>
      </c>
      <c r="G41" t="s">
        <v>35</v>
      </c>
      <c r="H41" t="s">
        <v>36</v>
      </c>
      <c r="M41" t="s">
        <v>34</v>
      </c>
      <c r="O41" t="s">
        <v>5</v>
      </c>
      <c r="P41" t="s">
        <v>10</v>
      </c>
      <c r="Q41" t="s">
        <v>11</v>
      </c>
      <c r="R41" t="s">
        <v>8</v>
      </c>
      <c r="S41" t="s">
        <v>35</v>
      </c>
      <c r="T41" t="s">
        <v>36</v>
      </c>
    </row>
    <row r="42" spans="1:23" x14ac:dyDescent="0.2">
      <c r="A42" t="s">
        <v>47</v>
      </c>
      <c r="B42">
        <v>500</v>
      </c>
      <c r="C42">
        <v>-387718.824884</v>
      </c>
      <c r="D42">
        <f>C42-67087*$C$6-18779*$J$6</f>
        <v>16632.683061444186</v>
      </c>
      <c r="E42">
        <f>D42/85866</f>
        <v>0.1937051110037056</v>
      </c>
      <c r="F42">
        <v>1841177.837724</v>
      </c>
      <c r="G42">
        <f>(93312-85866)*$Q$17+F42</f>
        <v>1988472.0628065793</v>
      </c>
      <c r="H42">
        <f>G42-$Q$17*93312</f>
        <v>142605.99634060427</v>
      </c>
      <c r="M42" t="s">
        <v>47</v>
      </c>
      <c r="N42">
        <v>500</v>
      </c>
      <c r="O42">
        <v>-408055.56125799997</v>
      </c>
      <c r="P42">
        <f>O42-70404*$C$6-19779*$J$6</f>
        <v>16779.035001350916</v>
      </c>
      <c r="Q42">
        <f>P42/90183</f>
        <v>0.18605540957110447</v>
      </c>
      <c r="R42">
        <v>1842610.419644</v>
      </c>
      <c r="S42">
        <f>(93312-90183)*$Q$17+R42</f>
        <v>1904507.2273640365</v>
      </c>
      <c r="T42">
        <f>S42-$Q$17*93312</f>
        <v>58641.160898061469</v>
      </c>
    </row>
    <row r="43" spans="1:23" x14ac:dyDescent="0.2">
      <c r="A43" t="s">
        <v>48</v>
      </c>
      <c r="B43">
        <v>500</v>
      </c>
      <c r="C43">
        <v>-387720.53665000002</v>
      </c>
      <c r="D43">
        <f>C43-67087*$C$6-18779*$J$6</f>
        <v>16630.971295444164</v>
      </c>
      <c r="E43">
        <f>D43/85866</f>
        <v>0.19368517568588456</v>
      </c>
      <c r="F43">
        <v>1840971.9878489999</v>
      </c>
      <c r="G43">
        <f>(93312-85866)*$Q$17+F43</f>
        <v>1988266.2129315792</v>
      </c>
      <c r="H43">
        <f>G43-$Q$17*93312</f>
        <v>142400.14646560419</v>
      </c>
      <c r="M43" t="s">
        <v>48</v>
      </c>
      <c r="N43">
        <v>500</v>
      </c>
      <c r="O43">
        <v>-408052.00114000001</v>
      </c>
      <c r="P43">
        <f>O43-70404*$C$6-19779*$J$6</f>
        <v>16782.595119350881</v>
      </c>
      <c r="Q43">
        <f>P43/90183</f>
        <v>0.18609488616868902</v>
      </c>
      <c r="R43">
        <v>1842580.0137199999</v>
      </c>
      <c r="S43">
        <f>(93312-90183)*$Q$17+R43</f>
        <v>1904476.8214400364</v>
      </c>
      <c r="T43">
        <f>S43-$Q$17*93312</f>
        <v>58610.75497406139</v>
      </c>
    </row>
    <row r="44" spans="1:23" x14ac:dyDescent="0.2">
      <c r="A44" t="s">
        <v>49</v>
      </c>
      <c r="B44">
        <v>500</v>
      </c>
      <c r="C44">
        <v>-387718.59937299998</v>
      </c>
      <c r="D44">
        <f>C44-67087*$C$6-18779*$J$6</f>
        <v>16632.908572444212</v>
      </c>
      <c r="E44">
        <f>D44/85866</f>
        <v>0.19370773731679841</v>
      </c>
      <c r="F44">
        <v>1841050.562107</v>
      </c>
      <c r="G44">
        <f>(93312-85866)*$Q$17+F44</f>
        <v>1988344.7871895793</v>
      </c>
      <c r="H44">
        <f>G44-$Q$17*93312</f>
        <v>142478.72072360432</v>
      </c>
      <c r="M44" t="s">
        <v>49</v>
      </c>
      <c r="N44">
        <v>500</v>
      </c>
      <c r="O44">
        <v>-408050.96813499997</v>
      </c>
      <c r="P44">
        <f>O44-70404*$C$6-19779*$J$6</f>
        <v>16783.628124350915</v>
      </c>
      <c r="Q44">
        <f>P44/90183</f>
        <v>0.18610634071111978</v>
      </c>
      <c r="R44">
        <v>1842885.295559</v>
      </c>
      <c r="S44">
        <f>(93312-90183)*$Q$17+R44</f>
        <v>1904782.1032790365</v>
      </c>
      <c r="T44">
        <f>S44-$Q$17*93312</f>
        <v>58916.036813061452</v>
      </c>
    </row>
    <row r="45" spans="1:23" x14ac:dyDescent="0.2">
      <c r="A45" t="s">
        <v>50</v>
      </c>
      <c r="B45">
        <v>500</v>
      </c>
      <c r="C45">
        <v>-387722.26981099998</v>
      </c>
      <c r="D45">
        <f>C45-67087*$C$6-18779*$J$6</f>
        <v>16629.238134444211</v>
      </c>
      <c r="E45">
        <f>D45/85866</f>
        <v>0.19366499120075711</v>
      </c>
      <c r="F45">
        <v>1840807.359279</v>
      </c>
      <c r="G45">
        <f>(93312-85866)*$Q$17+F45</f>
        <v>1988101.5843615793</v>
      </c>
      <c r="H45">
        <f>G45-$Q$17*93312</f>
        <v>142235.51789560425</v>
      </c>
      <c r="M45" t="s">
        <v>50</v>
      </c>
      <c r="N45">
        <v>500</v>
      </c>
      <c r="O45">
        <v>-408053.08793400001</v>
      </c>
      <c r="P45">
        <f>O45-70404*$C$6-19779*$J$6</f>
        <v>16781.508325350878</v>
      </c>
      <c r="Q45">
        <f>P45/90183</f>
        <v>0.18608283518347005</v>
      </c>
      <c r="R45">
        <v>1842665.6030890001</v>
      </c>
      <c r="S45">
        <f>(93312-90183)*$Q$17+R45</f>
        <v>1904562.4108090366</v>
      </c>
      <c r="T45">
        <f>S45-$Q$17*93312</f>
        <v>58696.344343061559</v>
      </c>
    </row>
    <row r="46" spans="1:23" x14ac:dyDescent="0.2">
      <c r="C46">
        <f t="shared" ref="C46:H46" si="2">AVERAGE(C42:C45)</f>
        <v>-387720.05767950002</v>
      </c>
      <c r="D46">
        <f t="shared" si="2"/>
        <v>16631.450265944193</v>
      </c>
      <c r="E46">
        <f t="shared" si="2"/>
        <v>0.19369075380178641</v>
      </c>
      <c r="F46">
        <f t="shared" si="2"/>
        <v>1841001.93673975</v>
      </c>
      <c r="G46">
        <f t="shared" si="2"/>
        <v>1988296.1618223293</v>
      </c>
      <c r="H46">
        <f t="shared" si="2"/>
        <v>142430.09535635426</v>
      </c>
      <c r="O46">
        <f t="shared" ref="O46:T46" si="3">AVERAGE(O42:O45)</f>
        <v>-408052.90461674996</v>
      </c>
      <c r="P46">
        <f t="shared" si="3"/>
        <v>16781.691642600897</v>
      </c>
      <c r="Q46">
        <f t="shared" si="3"/>
        <v>0.18608486790859582</v>
      </c>
      <c r="R46">
        <f t="shared" si="3"/>
        <v>1842685.3330030001</v>
      </c>
      <c r="S46">
        <f t="shared" si="3"/>
        <v>1904582.1407230364</v>
      </c>
      <c r="T46">
        <f t="shared" si="3"/>
        <v>58716.074257061468</v>
      </c>
    </row>
    <row r="47" spans="1:23" x14ac:dyDescent="0.2">
      <c r="A47" t="s">
        <v>41</v>
      </c>
      <c r="M47" t="s">
        <v>41</v>
      </c>
    </row>
    <row r="48" spans="1:23" x14ac:dyDescent="0.2">
      <c r="A48" t="s">
        <v>47</v>
      </c>
      <c r="B48">
        <v>500</v>
      </c>
      <c r="C48">
        <v>-387705.02332799998</v>
      </c>
      <c r="D48">
        <f>C48-67078*$C$6-18784*$J$6</f>
        <v>16643.832707494585</v>
      </c>
      <c r="E48">
        <f>D48/85862</f>
        <v>0.19384399044390516</v>
      </c>
      <c r="F48">
        <v>1840414.386925</v>
      </c>
      <c r="G48">
        <f>(93312-85862)*$Q$17+F48</f>
        <v>1987787.7386393724</v>
      </c>
      <c r="H48">
        <f>G48-$Q$17*93312</f>
        <v>141921.67217339738</v>
      </c>
      <c r="M48" t="s">
        <v>47</v>
      </c>
      <c r="N48">
        <v>500</v>
      </c>
      <c r="O48">
        <v>-408050.66257799999</v>
      </c>
      <c r="P48">
        <f>O48-70403*$C$6-19779*$J$6</f>
        <v>16779.827081721451</v>
      </c>
      <c r="Q48">
        <f>P48/90182</f>
        <v>0.18606625581292777</v>
      </c>
      <c r="R48">
        <v>1842723.540481</v>
      </c>
      <c r="S48">
        <f>(93312-90182)*$Q$17+R48</f>
        <v>1904640.1298589846</v>
      </c>
      <c r="T48">
        <f>S48-$Q$17*93312</f>
        <v>58774.063393009594</v>
      </c>
    </row>
    <row r="49" spans="1:23" x14ac:dyDescent="0.2">
      <c r="A49" t="s">
        <v>48</v>
      </c>
      <c r="B49">
        <v>500</v>
      </c>
      <c r="C49">
        <v>-387701.64055299998</v>
      </c>
      <c r="D49">
        <f>C49-67078*$C$6-18784*$J$6</f>
        <v>16647.21548249459</v>
      </c>
      <c r="E49">
        <f>D49/85862</f>
        <v>0.19388338825667456</v>
      </c>
      <c r="F49">
        <v>1840386.102983</v>
      </c>
      <c r="G49">
        <f>(93312-85862)*$Q$17+F49</f>
        <v>1987759.4546973724</v>
      </c>
      <c r="H49">
        <f>G49-$Q$17*93312</f>
        <v>141893.38823139737</v>
      </c>
      <c r="M49" t="s">
        <v>48</v>
      </c>
      <c r="N49">
        <v>500</v>
      </c>
      <c r="O49">
        <v>-408051.20608600002</v>
      </c>
      <c r="P49">
        <f>O49-70403*$C$6-19779*$J$6</f>
        <v>16779.283573721419</v>
      </c>
      <c r="Q49">
        <f>P49/90182</f>
        <v>0.18606022902265884</v>
      </c>
      <c r="R49">
        <v>1842795.0649929999</v>
      </c>
      <c r="S49">
        <f>(93312-90182)*$Q$17+R49</f>
        <v>1904711.6543709845</v>
      </c>
      <c r="T49">
        <f>S49-$Q$17*93312</f>
        <v>58845.58790500951</v>
      </c>
    </row>
    <row r="50" spans="1:23" x14ac:dyDescent="0.2">
      <c r="A50" t="s">
        <v>49</v>
      </c>
      <c r="B50">
        <v>500</v>
      </c>
      <c r="C50">
        <v>-387710.12949999998</v>
      </c>
      <c r="D50">
        <f>C50-67078*$C$6-18784*$J$6</f>
        <v>16638.726535494585</v>
      </c>
      <c r="E50">
        <f>D50/85862</f>
        <v>0.1937845209230461</v>
      </c>
      <c r="F50">
        <v>1840440.244437</v>
      </c>
      <c r="G50">
        <f>(93312-85862)*$Q$17+F50</f>
        <v>1987813.5961513724</v>
      </c>
      <c r="H50">
        <f>G50-$Q$17*93312</f>
        <v>141947.5296853974</v>
      </c>
      <c r="M50" t="s">
        <v>49</v>
      </c>
      <c r="N50">
        <v>500</v>
      </c>
      <c r="O50">
        <v>-408048.27343300002</v>
      </c>
      <c r="P50">
        <f>O50-70403*$C$6-19779*$J$6</f>
        <v>16782.216226721415</v>
      </c>
      <c r="Q50">
        <f>P50/90182</f>
        <v>0.18609274829479736</v>
      </c>
      <c r="R50">
        <v>1842901.9596849999</v>
      </c>
      <c r="S50">
        <f>(93312-90182)*$Q$17+R50</f>
        <v>1904818.5490629845</v>
      </c>
      <c r="T50">
        <f>S50-$Q$17*93312</f>
        <v>58952.482597009512</v>
      </c>
    </row>
    <row r="51" spans="1:23" x14ac:dyDescent="0.2">
      <c r="A51" t="s">
        <v>50</v>
      </c>
      <c r="B51">
        <v>500</v>
      </c>
      <c r="C51">
        <v>-387702.89610299998</v>
      </c>
      <c r="D51">
        <f>C51-67078*$C$6-18784*$J$6</f>
        <v>16645.959932494588</v>
      </c>
      <c r="E51">
        <f>D51/85862</f>
        <v>0.1938687653734433</v>
      </c>
      <c r="F51">
        <v>1840529.716881</v>
      </c>
      <c r="G51">
        <f>(93312-85862)*$Q$17+F51</f>
        <v>1987903.0685953724</v>
      </c>
      <c r="H51">
        <f>G51-$Q$17*93312</f>
        <v>142037.00212939736</v>
      </c>
      <c r="M51" t="s">
        <v>50</v>
      </c>
      <c r="N51">
        <v>500</v>
      </c>
      <c r="O51">
        <v>-408050.65594600001</v>
      </c>
      <c r="P51">
        <f>O51-70403*$C$6-19779*$J$6</f>
        <v>16779.833713721426</v>
      </c>
      <c r="Q51">
        <f>P51/90182</f>
        <v>0.1860663293531018</v>
      </c>
      <c r="R51">
        <v>1842672.5119129999</v>
      </c>
      <c r="S51">
        <f>(93312-90182)*$Q$17+R51</f>
        <v>1904589.1012909845</v>
      </c>
      <c r="T51">
        <f>S51-$Q$17*93312</f>
        <v>58723.034825009527</v>
      </c>
    </row>
    <row r="52" spans="1:23" x14ac:dyDescent="0.2">
      <c r="C52">
        <f t="shared" ref="C52:H52" si="4">AVERAGE(C48:C51)</f>
        <v>-387704.92237099999</v>
      </c>
      <c r="D52">
        <f t="shared" si="4"/>
        <v>16643.933664494587</v>
      </c>
      <c r="E52">
        <f t="shared" si="4"/>
        <v>0.19384516624926729</v>
      </c>
      <c r="F52">
        <f t="shared" si="4"/>
        <v>1840442.6128064999</v>
      </c>
      <c r="G52">
        <f t="shared" si="4"/>
        <v>1987815.9645208723</v>
      </c>
      <c r="H52">
        <f t="shared" si="4"/>
        <v>141949.89805489738</v>
      </c>
      <c r="O52">
        <f t="shared" ref="O52:T52" si="5">AVERAGE(O48:O51)</f>
        <v>-408050.19951075001</v>
      </c>
      <c r="P52">
        <f t="shared" si="5"/>
        <v>16780.290148971428</v>
      </c>
      <c r="Q52">
        <f t="shared" si="5"/>
        <v>0.18607139062087147</v>
      </c>
      <c r="R52">
        <f t="shared" si="5"/>
        <v>1842773.2692679998</v>
      </c>
      <c r="S52">
        <f t="shared" si="5"/>
        <v>1904689.8586459844</v>
      </c>
      <c r="T52">
        <f t="shared" si="5"/>
        <v>58823.792180009536</v>
      </c>
    </row>
    <row r="53" spans="1:23" x14ac:dyDescent="0.2">
      <c r="A53" t="s">
        <v>42</v>
      </c>
      <c r="M53" t="s">
        <v>42</v>
      </c>
    </row>
    <row r="54" spans="1:23" x14ac:dyDescent="0.2">
      <c r="A54" t="s">
        <v>47</v>
      </c>
      <c r="B54">
        <v>500</v>
      </c>
      <c r="C54">
        <v>-387860.52567499998</v>
      </c>
      <c r="D54">
        <f>C54-67047*$C$6-18825*$J$6</f>
        <v>16642.347163047569</v>
      </c>
      <c r="E54">
        <f>D54/85872</f>
        <v>0.19380411732634117</v>
      </c>
      <c r="F54">
        <v>1839269.0485950001</v>
      </c>
      <c r="G54">
        <f>(93312-85872)*$Q$17+F54</f>
        <v>1986444.5837298899</v>
      </c>
      <c r="H54">
        <f>G54-$Q$17*93312</f>
        <v>140578.51726391492</v>
      </c>
      <c r="M54" t="s">
        <v>47</v>
      </c>
      <c r="N54">
        <v>500</v>
      </c>
      <c r="O54">
        <v>-408032.506307</v>
      </c>
      <c r="P54">
        <f>O54-70385*$C$6-19786*$J$6</f>
        <v>16772.095040793007</v>
      </c>
      <c r="Q54">
        <f>P54/90171</f>
        <v>0.1860032054739662</v>
      </c>
      <c r="R54">
        <v>1842524.5871069999</v>
      </c>
      <c r="S54">
        <f>(93312-90171)*$Q$17+R54</f>
        <v>1904658.7747224153</v>
      </c>
      <c r="T54">
        <f>S54-$Q$17*93312</f>
        <v>58792.708256440237</v>
      </c>
    </row>
    <row r="55" spans="1:23" x14ac:dyDescent="0.2">
      <c r="A55" t="s">
        <v>48</v>
      </c>
      <c r="B55">
        <v>500</v>
      </c>
      <c r="C55">
        <v>-387868.18833999999</v>
      </c>
      <c r="D55">
        <f>C55-67047*$C$6-18825*$J$6</f>
        <v>16634.684498047558</v>
      </c>
      <c r="E55">
        <f>D55/85872</f>
        <v>0.19371488375777388</v>
      </c>
      <c r="F55">
        <v>1839399.4518820001</v>
      </c>
      <c r="G55">
        <f>(93312-85872)*$Q$17+F55</f>
        <v>1986574.98701689</v>
      </c>
      <c r="H55">
        <f>G55-$Q$17*93312</f>
        <v>140708.92055091495</v>
      </c>
      <c r="M55" t="s">
        <v>48</v>
      </c>
      <c r="N55">
        <v>500</v>
      </c>
      <c r="O55">
        <v>-408033.26759800001</v>
      </c>
      <c r="P55">
        <f>O55-70385*$C$6-19786*$J$6</f>
        <v>16771.333749793004</v>
      </c>
      <c r="Q55">
        <f>P55/90171</f>
        <v>0.18599476272629786</v>
      </c>
      <c r="R55">
        <v>1842425.9972580001</v>
      </c>
      <c r="S55">
        <f>(93312-90171)*$Q$17+R55</f>
        <v>1904560.1848734154</v>
      </c>
      <c r="T55">
        <f>S55-$Q$17*93312</f>
        <v>58694.118407440372</v>
      </c>
    </row>
    <row r="56" spans="1:23" x14ac:dyDescent="0.2">
      <c r="A56" t="s">
        <v>49</v>
      </c>
      <c r="B56">
        <v>500</v>
      </c>
      <c r="C56">
        <v>-387864.13000200002</v>
      </c>
      <c r="D56">
        <f>C56-67047*$C$6-18825*$J$6</f>
        <v>16638.742836047531</v>
      </c>
      <c r="E56">
        <f>D56/85872</f>
        <v>0.19376214407545569</v>
      </c>
      <c r="F56">
        <v>1838926.3865380001</v>
      </c>
      <c r="G56">
        <f>(93312-85872)*$Q$17+F56</f>
        <v>1986101.92167289</v>
      </c>
      <c r="H56">
        <f>G56-$Q$17*93312</f>
        <v>140235.85520691494</v>
      </c>
      <c r="M56" t="s">
        <v>49</v>
      </c>
      <c r="N56">
        <v>500</v>
      </c>
      <c r="O56">
        <v>-408026.76778300002</v>
      </c>
      <c r="P56">
        <f>O56-70385*$C$6-19786*$J$6</f>
        <v>16777.833564792993</v>
      </c>
      <c r="Q56">
        <f>P56/90171</f>
        <v>0.18606684593486811</v>
      </c>
      <c r="R56">
        <v>1842464.053352</v>
      </c>
      <c r="S56">
        <f>(93312-90171)*$Q$17+R56</f>
        <v>1904598.2409674153</v>
      </c>
      <c r="T56">
        <f>S56-$Q$17*93312</f>
        <v>58732.174501440255</v>
      </c>
    </row>
    <row r="57" spans="1:23" x14ac:dyDescent="0.2">
      <c r="A57" t="s">
        <v>50</v>
      </c>
      <c r="B57">
        <v>500</v>
      </c>
      <c r="C57">
        <v>-387867.17263699998</v>
      </c>
      <c r="D57">
        <f>C57-67047*$C$6-18825*$J$6</f>
        <v>16635.70020104757</v>
      </c>
      <c r="E57">
        <f>D57/85872</f>
        <v>0.19372671186239485</v>
      </c>
      <c r="F57">
        <v>1838696.739692</v>
      </c>
      <c r="G57">
        <f>(93312-85872)*$Q$17+F57</f>
        <v>1985872.2748268899</v>
      </c>
      <c r="H57">
        <f>G57-$Q$17*93312</f>
        <v>140006.20836091484</v>
      </c>
      <c r="M57" t="s">
        <v>50</v>
      </c>
      <c r="N57">
        <v>500</v>
      </c>
      <c r="O57">
        <v>-408030.38222899998</v>
      </c>
      <c r="P57">
        <f>O57-70385*$C$6-19786*$J$6</f>
        <v>16774.219118793029</v>
      </c>
      <c r="Q57">
        <f>P57/90171</f>
        <v>0.18602676158402401</v>
      </c>
      <c r="R57">
        <v>1842413.53278</v>
      </c>
      <c r="S57">
        <f>(93312-90171)*$Q$17+R57</f>
        <v>1904547.7203954153</v>
      </c>
      <c r="T57">
        <f>S57-$Q$17*93312</f>
        <v>58681.653929440305</v>
      </c>
    </row>
    <row r="58" spans="1:23" x14ac:dyDescent="0.2">
      <c r="C58">
        <f t="shared" ref="C58:H58" si="6">AVERAGE(C54:C57)</f>
        <v>-387865.00416349998</v>
      </c>
      <c r="D58">
        <f t="shared" si="6"/>
        <v>16637.868674547557</v>
      </c>
      <c r="E58">
        <f t="shared" si="6"/>
        <v>0.1937519642554914</v>
      </c>
      <c r="F58">
        <f t="shared" si="6"/>
        <v>1839072.9066767499</v>
      </c>
      <c r="G58">
        <f t="shared" si="6"/>
        <v>1986248.4418116398</v>
      </c>
      <c r="H58">
        <f t="shared" si="6"/>
        <v>140382.37534566491</v>
      </c>
      <c r="O58">
        <f t="shared" ref="O58:T58" si="7">AVERAGE(O54:O57)</f>
        <v>-408030.73097924993</v>
      </c>
      <c r="P58">
        <f t="shared" si="7"/>
        <v>16773.870368543008</v>
      </c>
      <c r="Q58">
        <f t="shared" si="7"/>
        <v>0.18602289392978905</v>
      </c>
      <c r="R58">
        <f t="shared" si="7"/>
        <v>1842457.0426242501</v>
      </c>
      <c r="S58">
        <f t="shared" si="7"/>
        <v>1904591.2302396654</v>
      </c>
      <c r="T58">
        <f t="shared" si="7"/>
        <v>58725.163773690292</v>
      </c>
    </row>
    <row r="60" spans="1:23" x14ac:dyDescent="0.2">
      <c r="M60" t="s">
        <v>52</v>
      </c>
    </row>
    <row r="61" spans="1:23" x14ac:dyDescent="0.2">
      <c r="M61" t="s">
        <v>34</v>
      </c>
      <c r="O61" t="s">
        <v>5</v>
      </c>
      <c r="P61" t="s">
        <v>10</v>
      </c>
      <c r="Q61" t="s">
        <v>11</v>
      </c>
      <c r="R61" t="s">
        <v>46</v>
      </c>
      <c r="S61" t="s">
        <v>8</v>
      </c>
      <c r="T61" t="s">
        <v>35</v>
      </c>
      <c r="U61" t="s">
        <v>36</v>
      </c>
      <c r="V61" t="s">
        <v>21</v>
      </c>
      <c r="W61" t="s">
        <v>24</v>
      </c>
    </row>
    <row r="62" spans="1:23" x14ac:dyDescent="0.2">
      <c r="M62" t="s">
        <v>37</v>
      </c>
      <c r="N62">
        <v>500</v>
      </c>
      <c r="O62">
        <v>-349562.64799999999</v>
      </c>
      <c r="P62">
        <f>O62-61602*$C$6-17206*$J$6</f>
        <v>21471.025657342238</v>
      </c>
      <c r="Q62">
        <f>P62/78808</f>
        <v>0.27244728526726014</v>
      </c>
      <c r="S62">
        <v>2156394.0406519999</v>
      </c>
      <c r="T62">
        <f>(93312-78808)*$Q$17+S62</f>
        <v>2443307.2075332422</v>
      </c>
      <c r="U62">
        <f>T62-$Q$17*93312</f>
        <v>597441.14106726716</v>
      </c>
      <c r="V62">
        <v>9815</v>
      </c>
      <c r="W62">
        <f>V62/14504</f>
        <v>0.67670987313844455</v>
      </c>
    </row>
    <row r="63" spans="1:23" x14ac:dyDescent="0.2">
      <c r="M63" t="s">
        <v>38</v>
      </c>
      <c r="N63">
        <v>500</v>
      </c>
      <c r="O63">
        <v>-352198.57110300002</v>
      </c>
      <c r="P63">
        <f t="shared" ref="P63:P65" si="8">O63-61602*$C$6-17206*$J$6</f>
        <v>18835.1025543422</v>
      </c>
      <c r="Q63">
        <f t="shared" ref="Q63:Q65" si="9">P63/78808</f>
        <v>0.23899988014341439</v>
      </c>
      <c r="S63">
        <v>1965293.207768</v>
      </c>
      <c r="T63">
        <f t="shared" ref="T63:T65" si="10">(93312-78808)*$Q$17+S63</f>
        <v>2252206.3746492425</v>
      </c>
      <c r="U63">
        <f>T63-$Q$17*93312</f>
        <v>406340.30818326748</v>
      </c>
      <c r="V63">
        <v>7082</v>
      </c>
      <c r="W63">
        <f t="shared" ref="W63:W65" si="11">V63/14504</f>
        <v>0.48827909542195258</v>
      </c>
    </row>
    <row r="64" spans="1:23" x14ac:dyDescent="0.2">
      <c r="M64" t="s">
        <v>39</v>
      </c>
      <c r="N64">
        <v>500</v>
      </c>
      <c r="O64">
        <v>-354202.19134000002</v>
      </c>
      <c r="P64">
        <f t="shared" si="8"/>
        <v>16831.482317342205</v>
      </c>
      <c r="Q64">
        <f t="shared" si="9"/>
        <v>0.21357580851363064</v>
      </c>
      <c r="S64">
        <v>1869404.2117620001</v>
      </c>
      <c r="T64">
        <f t="shared" si="10"/>
        <v>2156317.3786432426</v>
      </c>
      <c r="U64">
        <f>T64-$Q$17*93312</f>
        <v>310451.31217726762</v>
      </c>
      <c r="V64">
        <v>4218</v>
      </c>
      <c r="W64">
        <f t="shared" si="11"/>
        <v>0.29081632653061223</v>
      </c>
    </row>
    <row r="65" spans="13:23" x14ac:dyDescent="0.2">
      <c r="M65" t="s">
        <v>40</v>
      </c>
      <c r="N65">
        <v>500</v>
      </c>
      <c r="O65">
        <v>-354834.82124899997</v>
      </c>
      <c r="P65">
        <f t="shared" si="8"/>
        <v>16198.852408342253</v>
      </c>
      <c r="Q65">
        <f t="shared" si="9"/>
        <v>0.20554832514899823</v>
      </c>
      <c r="S65">
        <v>1840723.767732</v>
      </c>
      <c r="T65">
        <f t="shared" si="10"/>
        <v>2127636.9346132423</v>
      </c>
      <c r="U65">
        <f>T65-$Q$17*93312</f>
        <v>281770.86814726726</v>
      </c>
      <c r="V65">
        <v>1400</v>
      </c>
      <c r="W65">
        <f t="shared" si="11"/>
        <v>9.6525096525096526E-2</v>
      </c>
    </row>
    <row r="67" spans="13:23" x14ac:dyDescent="0.2">
      <c r="M67" t="s">
        <v>41</v>
      </c>
    </row>
    <row r="68" spans="13:23" x14ac:dyDescent="0.2">
      <c r="M68" t="s">
        <v>37</v>
      </c>
      <c r="N68">
        <v>500</v>
      </c>
      <c r="O68">
        <v>-349554.70450699999</v>
      </c>
      <c r="P68">
        <f>O68-61610*$C$6-17206*$J$6</f>
        <v>21511.821947377714</v>
      </c>
      <c r="Q68">
        <f>P68/78816</f>
        <v>0.27293724557675741</v>
      </c>
      <c r="S68">
        <v>2137000.8798779999</v>
      </c>
      <c r="T68">
        <f>(93312-78816)*$Q$17+S68</f>
        <v>2423755.7934956565</v>
      </c>
      <c r="U68">
        <f>T68-$Q$17*93312</f>
        <v>577889.72702968144</v>
      </c>
      <c r="V68">
        <v>9785</v>
      </c>
      <c r="W68">
        <f>V68/14496</f>
        <v>0.67501379690949226</v>
      </c>
    </row>
    <row r="69" spans="13:23" x14ac:dyDescent="0.2">
      <c r="M69" t="s">
        <v>38</v>
      </c>
      <c r="N69">
        <v>500</v>
      </c>
      <c r="O69">
        <v>-352210.88745699998</v>
      </c>
      <c r="P69">
        <f t="shared" ref="P69:P71" si="12">O69-61610*$C$6-17206*$J$6</f>
        <v>18855.638997377726</v>
      </c>
      <c r="Q69">
        <f t="shared" ref="Q69:Q71" si="13">P69/78816</f>
        <v>0.23923618297525534</v>
      </c>
      <c r="S69">
        <v>1962495.8102289999</v>
      </c>
      <c r="T69">
        <f t="shared" ref="T69:T71" si="14">(93312-78816)*$Q$17+S69</f>
        <v>2249250.7238466567</v>
      </c>
      <c r="U69">
        <f>T69-$Q$17*93312</f>
        <v>403384.65738068172</v>
      </c>
      <c r="V69">
        <v>7015</v>
      </c>
      <c r="W69">
        <f t="shared" ref="W69:W71" si="15">V69/14496</f>
        <v>0.4839266004415011</v>
      </c>
    </row>
    <row r="70" spans="13:23" x14ac:dyDescent="0.2">
      <c r="M70" t="s">
        <v>39</v>
      </c>
      <c r="N70">
        <v>500</v>
      </c>
      <c r="O70">
        <v>-354253.49489600002</v>
      </c>
      <c r="P70">
        <f t="shared" si="12"/>
        <v>16813.031558377683</v>
      </c>
      <c r="Q70">
        <f t="shared" si="13"/>
        <v>0.21332003093759747</v>
      </c>
      <c r="S70">
        <v>1867300.582038</v>
      </c>
      <c r="T70">
        <f t="shared" si="14"/>
        <v>2154055.4956556568</v>
      </c>
      <c r="U70">
        <f>T70-$Q$17*93312</f>
        <v>308189.42918968177</v>
      </c>
      <c r="V70">
        <v>4147</v>
      </c>
      <c r="W70">
        <f t="shared" si="15"/>
        <v>0.28607891832229582</v>
      </c>
    </row>
    <row r="71" spans="13:23" x14ac:dyDescent="0.2">
      <c r="M71" t="s">
        <v>40</v>
      </c>
      <c r="N71">
        <v>500</v>
      </c>
      <c r="O71">
        <v>-354867.36576800002</v>
      </c>
      <c r="P71">
        <f t="shared" si="12"/>
        <v>16199.160686377683</v>
      </c>
      <c r="Q71">
        <f t="shared" si="13"/>
        <v>0.20553137289862064</v>
      </c>
      <c r="S71">
        <v>1838712.9658979999</v>
      </c>
      <c r="T71">
        <f t="shared" si="14"/>
        <v>2125467.8795156567</v>
      </c>
      <c r="U71">
        <f>T71-$Q$17*93312</f>
        <v>279601.81304968172</v>
      </c>
      <c r="V71">
        <v>1334</v>
      </c>
      <c r="W71">
        <f t="shared" si="15"/>
        <v>9.2025386313465782E-2</v>
      </c>
    </row>
    <row r="73" spans="13:23" x14ac:dyDescent="0.2">
      <c r="M73" t="s">
        <v>42</v>
      </c>
    </row>
    <row r="74" spans="13:23" x14ac:dyDescent="0.2">
      <c r="M74" t="s">
        <v>37</v>
      </c>
      <c r="N74">
        <v>500</v>
      </c>
      <c r="O74">
        <v>-350521.17836600001</v>
      </c>
      <c r="P74">
        <f>O74-61538*$C$6-17287*$J$6</f>
        <v>20805.454199846252</v>
      </c>
      <c r="Q74">
        <f>P74/78825</f>
        <v>0.26394486774305426</v>
      </c>
      <c r="S74">
        <v>2156208.453462</v>
      </c>
      <c r="T74">
        <f>(93312-78825)*$Q$17+S74</f>
        <v>2442785.3321581222</v>
      </c>
      <c r="U74">
        <f>T74-$Q$17*93312</f>
        <v>596919.26569214719</v>
      </c>
      <c r="V74">
        <v>9827</v>
      </c>
      <c r="W74">
        <f>V74/14487</f>
        <v>0.67833229792227512</v>
      </c>
    </row>
    <row r="75" spans="13:23" x14ac:dyDescent="0.2">
      <c r="M75" t="s">
        <v>38</v>
      </c>
      <c r="N75">
        <v>500</v>
      </c>
      <c r="O75">
        <v>-352457.75185300002</v>
      </c>
      <c r="P75">
        <f t="shared" ref="P75:P77" si="16">O75-61538*$C$6-17287*$J$6</f>
        <v>18868.880712846236</v>
      </c>
      <c r="Q75">
        <f t="shared" ref="Q75:Q77" si="17">P75/78825</f>
        <v>0.23937685649027893</v>
      </c>
      <c r="S75">
        <v>1990081.8139839999</v>
      </c>
      <c r="T75">
        <f t="shared" ref="T75:T77" si="18">(93312-78825)*$Q$17+S75</f>
        <v>2276658.6926801223</v>
      </c>
      <c r="U75">
        <f>T75-$Q$17*93312</f>
        <v>430792.62621414731</v>
      </c>
      <c r="V75">
        <v>7073</v>
      </c>
      <c r="W75">
        <f t="shared" ref="W75:W77" si="19">V75/14487</f>
        <v>0.48823082763857251</v>
      </c>
    </row>
    <row r="76" spans="13:23" x14ac:dyDescent="0.2">
      <c r="M76" t="s">
        <v>39</v>
      </c>
      <c r="N76">
        <v>500</v>
      </c>
      <c r="O76">
        <v>-354433.34318600001</v>
      </c>
      <c r="P76">
        <f t="shared" si="16"/>
        <v>16893.289379846246</v>
      </c>
      <c r="Q76">
        <f t="shared" si="17"/>
        <v>0.21431385194857275</v>
      </c>
      <c r="S76">
        <v>1868526.277029</v>
      </c>
      <c r="T76">
        <f t="shared" si="18"/>
        <v>2155103.1557251224</v>
      </c>
      <c r="U76">
        <f>T76-$Q$17*93312</f>
        <v>309237.08925914741</v>
      </c>
      <c r="V76">
        <v>4191</v>
      </c>
      <c r="W76">
        <f t="shared" si="19"/>
        <v>0.28929384965831434</v>
      </c>
    </row>
    <row r="77" spans="13:23" x14ac:dyDescent="0.2">
      <c r="M77" t="s">
        <v>40</v>
      </c>
      <c r="N77">
        <v>500</v>
      </c>
      <c r="O77">
        <v>-355091.81455000001</v>
      </c>
      <c r="P77">
        <f t="shared" si="16"/>
        <v>16234.818015846249</v>
      </c>
      <c r="Q77">
        <f t="shared" si="17"/>
        <v>0.20596026661397082</v>
      </c>
      <c r="S77">
        <v>1835840.005285</v>
      </c>
      <c r="T77">
        <f t="shared" si="18"/>
        <v>2122416.8839811226</v>
      </c>
      <c r="U77">
        <f>T77-$Q$17*93312</f>
        <v>276550.81751514762</v>
      </c>
      <c r="V77">
        <v>1345</v>
      </c>
      <c r="W77">
        <f t="shared" si="19"/>
        <v>9.2841858217712431E-2</v>
      </c>
    </row>
    <row r="79" spans="13:23" x14ac:dyDescent="0.2">
      <c r="M79" t="s">
        <v>53</v>
      </c>
      <c r="N79">
        <v>500</v>
      </c>
      <c r="O79">
        <v>-350181.63868600002</v>
      </c>
      <c r="P79">
        <f>O79-61420*$C$6-17134*$J$6</f>
        <v>19610.606030084076</v>
      </c>
      <c r="Q79">
        <f>P79/78554</f>
        <v>0.24964490707136588</v>
      </c>
      <c r="S79">
        <v>2136583.004003</v>
      </c>
      <c r="T79">
        <f>(93312-78554)*$Q$17+S79</f>
        <v>2428520.7120030951</v>
      </c>
      <c r="U79">
        <f>T79-$Q$17*93312</f>
        <v>582654.64553712006</v>
      </c>
      <c r="V79">
        <v>9976</v>
      </c>
      <c r="W79">
        <f>V79/14758</f>
        <v>0.67597235397750377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</cp:lastModifiedBy>
  <dcterms:created xsi:type="dcterms:W3CDTF">2016-03-30T21:22:45Z</dcterms:created>
  <dcterms:modified xsi:type="dcterms:W3CDTF">2018-01-29T20:07:43Z</dcterms:modified>
</cp:coreProperties>
</file>