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240" yWindow="3380" windowWidth="32360" windowHeight="22000" tabRatio="500" activeTab="1"/>
  </bookViews>
  <sheets>
    <sheet name="Sheet1" sheetId="1" r:id="rId1"/>
    <sheet name="u2m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8" i="2" l="1"/>
  <c r="Q38" i="2"/>
  <c r="O38" i="2"/>
  <c r="Q37" i="2"/>
  <c r="O37" i="2"/>
  <c r="W36" i="2"/>
  <c r="W37" i="2"/>
  <c r="Q36" i="2"/>
  <c r="O36" i="2"/>
  <c r="W34" i="2"/>
  <c r="W35" i="2"/>
  <c r="R35" i="2"/>
  <c r="Q35" i="2"/>
  <c r="O35" i="2"/>
  <c r="R34" i="2"/>
  <c r="Q34" i="2"/>
  <c r="O34" i="2"/>
  <c r="W33" i="2"/>
  <c r="Q33" i="2"/>
  <c r="O33" i="2"/>
  <c r="E61" i="2"/>
  <c r="C61" i="2"/>
  <c r="E60" i="2"/>
  <c r="C60" i="2"/>
  <c r="E59" i="2"/>
  <c r="C59" i="2"/>
  <c r="E58" i="2"/>
  <c r="C58" i="2"/>
  <c r="E57" i="2"/>
  <c r="C57" i="2"/>
  <c r="I54" i="2"/>
  <c r="E54" i="2"/>
  <c r="C54" i="2"/>
  <c r="E51" i="2"/>
  <c r="C51" i="2"/>
  <c r="I51" i="2"/>
  <c r="E50" i="2"/>
  <c r="I50" i="2"/>
  <c r="C50" i="2"/>
  <c r="E48" i="2"/>
  <c r="C48" i="2"/>
  <c r="I48" i="2"/>
  <c r="I47" i="2"/>
  <c r="E47" i="2"/>
  <c r="C47" i="2"/>
  <c r="I46" i="2"/>
  <c r="E46" i="2"/>
  <c r="C46" i="2"/>
  <c r="I49" i="2"/>
  <c r="I52" i="2"/>
  <c r="I53" i="2"/>
  <c r="I45" i="2"/>
  <c r="E52" i="2"/>
  <c r="E53" i="2"/>
  <c r="C53" i="2"/>
  <c r="C52" i="2"/>
  <c r="E45" i="2"/>
  <c r="E49" i="2"/>
  <c r="C45" i="2"/>
  <c r="C49" i="2"/>
  <c r="K37" i="2"/>
  <c r="K36" i="2"/>
  <c r="K35" i="2"/>
  <c r="K34" i="2"/>
  <c r="K33" i="2"/>
  <c r="E29" i="2"/>
  <c r="C29" i="2"/>
  <c r="E37" i="2"/>
  <c r="C37" i="2"/>
  <c r="E28" i="2"/>
  <c r="C28" i="2"/>
  <c r="E36" i="2"/>
  <c r="C36" i="2"/>
  <c r="E27" i="2"/>
  <c r="C27" i="2"/>
  <c r="E35" i="2"/>
  <c r="C35" i="2"/>
  <c r="E26" i="2"/>
  <c r="E34" i="2"/>
  <c r="C34" i="2"/>
  <c r="C26" i="2"/>
  <c r="E33" i="2"/>
  <c r="C33" i="2"/>
  <c r="E25" i="2"/>
  <c r="C25" i="2"/>
  <c r="E4" i="2"/>
  <c r="J2" i="2"/>
  <c r="F9" i="2"/>
  <c r="E9" i="2"/>
  <c r="D9" i="2"/>
  <c r="F12" i="2"/>
  <c r="F10" i="2"/>
  <c r="Q6" i="2"/>
  <c r="Q3" i="2"/>
  <c r="E12" i="2"/>
  <c r="E10" i="2"/>
  <c r="P6" i="2"/>
  <c r="P3" i="2"/>
  <c r="M13" i="2"/>
  <c r="R15" i="2"/>
  <c r="R14" i="2"/>
  <c r="Q13" i="2"/>
  <c r="O13" i="2"/>
  <c r="O6" i="2"/>
  <c r="O3" i="2"/>
  <c r="B9" i="2"/>
  <c r="C9" i="2"/>
  <c r="C12" i="2"/>
  <c r="C10" i="2"/>
  <c r="D10" i="2"/>
  <c r="D12" i="2"/>
  <c r="B10" i="2"/>
  <c r="E2" i="2"/>
  <c r="B12" i="2"/>
  <c r="K2" i="2"/>
  <c r="F2" i="2"/>
  <c r="N37" i="1"/>
  <c r="M37" i="1"/>
  <c r="L37" i="1"/>
  <c r="L33" i="1"/>
  <c r="Q37" i="1"/>
  <c r="F26" i="1"/>
  <c r="F25" i="1"/>
  <c r="G25" i="1"/>
  <c r="G26" i="1"/>
  <c r="F27" i="1"/>
  <c r="G27" i="1"/>
  <c r="F28" i="1"/>
  <c r="G28" i="1"/>
  <c r="F29" i="1"/>
  <c r="G29" i="1"/>
  <c r="F30" i="1"/>
  <c r="G30" i="1"/>
  <c r="F32" i="1"/>
  <c r="G32" i="1"/>
  <c r="F33" i="1"/>
  <c r="G33" i="1"/>
  <c r="F34" i="1"/>
  <c r="G34" i="1"/>
  <c r="F31" i="1"/>
  <c r="G31" i="1"/>
  <c r="M35" i="1"/>
  <c r="L35" i="1"/>
  <c r="Q35" i="1"/>
  <c r="L31" i="1"/>
  <c r="Q31" i="1"/>
  <c r="L29" i="1"/>
  <c r="Q29" i="1"/>
  <c r="L27" i="1"/>
  <c r="Q27" i="1"/>
  <c r="L25" i="1"/>
  <c r="Q25" i="1"/>
  <c r="P33" i="1"/>
  <c r="C16" i="1"/>
  <c r="M16" i="1"/>
  <c r="D31" i="1"/>
  <c r="E31" i="1"/>
  <c r="N31" i="1"/>
  <c r="M31" i="1"/>
  <c r="M29" i="1"/>
  <c r="M25" i="1"/>
  <c r="D26" i="1"/>
  <c r="E26" i="1"/>
  <c r="D27" i="1"/>
  <c r="E27" i="1"/>
  <c r="D28" i="1"/>
  <c r="E28" i="1"/>
  <c r="D29" i="1"/>
  <c r="E29" i="1"/>
  <c r="D30" i="1"/>
  <c r="E30" i="1"/>
  <c r="D32" i="1"/>
  <c r="E32" i="1"/>
  <c r="D33" i="1"/>
  <c r="E33" i="1"/>
  <c r="D34" i="1"/>
  <c r="E34" i="1"/>
  <c r="D25" i="1"/>
  <c r="E25" i="1"/>
  <c r="C26" i="1"/>
  <c r="C27" i="1"/>
  <c r="C28" i="1"/>
  <c r="C29" i="1"/>
  <c r="C30" i="1"/>
  <c r="C31" i="1"/>
  <c r="C32" i="1"/>
  <c r="C33" i="1"/>
  <c r="C34" i="1"/>
  <c r="C25" i="1"/>
  <c r="G21" i="1"/>
  <c r="G20" i="1"/>
  <c r="P16" i="1"/>
  <c r="Q16" i="1"/>
  <c r="P11" i="1"/>
  <c r="Q11" i="1"/>
  <c r="P10" i="1"/>
  <c r="Q10" i="1"/>
  <c r="P8" i="1"/>
  <c r="Q8" i="1"/>
  <c r="P5" i="1"/>
  <c r="Q5" i="1"/>
  <c r="P4" i="1"/>
  <c r="Q4" i="1"/>
  <c r="G22" i="1"/>
  <c r="D21" i="1"/>
  <c r="E21" i="1"/>
  <c r="C21" i="1"/>
  <c r="D22" i="1"/>
  <c r="E22" i="1"/>
  <c r="C22" i="1"/>
  <c r="D20" i="1"/>
  <c r="E20" i="1"/>
  <c r="C20" i="1"/>
  <c r="D16" i="1"/>
  <c r="H16" i="1"/>
  <c r="N16" i="1"/>
  <c r="O16" i="1"/>
  <c r="D5" i="1"/>
  <c r="C5" i="1"/>
  <c r="H5" i="1"/>
  <c r="N5" i="1"/>
  <c r="O5" i="1"/>
  <c r="M5" i="1"/>
  <c r="I16" i="1"/>
  <c r="I15" i="1"/>
  <c r="I14" i="1"/>
  <c r="H15" i="1"/>
  <c r="H14" i="1"/>
  <c r="I13" i="1"/>
  <c r="H13" i="1"/>
  <c r="I5" i="1"/>
  <c r="H12" i="1"/>
  <c r="I12" i="1"/>
  <c r="D11" i="1"/>
  <c r="I11" i="1"/>
  <c r="H11" i="1"/>
  <c r="C11" i="1"/>
  <c r="N11" i="1"/>
  <c r="O11" i="1"/>
  <c r="M11" i="1"/>
  <c r="D10" i="1"/>
  <c r="I10" i="1"/>
  <c r="H10" i="1"/>
  <c r="C10" i="1"/>
  <c r="N10" i="1"/>
  <c r="O10" i="1"/>
  <c r="M10" i="1"/>
  <c r="C8" i="1"/>
  <c r="H8" i="1"/>
  <c r="N8" i="1"/>
  <c r="O8" i="1"/>
  <c r="C4" i="1"/>
  <c r="H4" i="1"/>
  <c r="N4" i="1"/>
  <c r="O4" i="1"/>
  <c r="C9" i="1"/>
  <c r="D9" i="1"/>
  <c r="I8" i="1"/>
  <c r="M8" i="1"/>
  <c r="M4" i="1"/>
  <c r="D8" i="1"/>
  <c r="D7" i="1"/>
  <c r="C7" i="1"/>
  <c r="D6" i="1"/>
  <c r="C6" i="1"/>
  <c r="I4" i="1"/>
  <c r="D4" i="1"/>
</calcChain>
</file>

<file path=xl/sharedStrings.xml><?xml version="1.0" encoding="utf-8"?>
<sst xmlns="http://schemas.openxmlformats.org/spreadsheetml/2006/main" count="219" uniqueCount="102">
  <si>
    <t>bcc U and bcc Mo VASP work</t>
  </si>
  <si>
    <t>bcc U</t>
  </si>
  <si>
    <t>E</t>
  </si>
  <si>
    <t>a0</t>
  </si>
  <si>
    <t>E/at</t>
  </si>
  <si>
    <t>bcc Mo</t>
  </si>
  <si>
    <t>bcc U54</t>
  </si>
  <si>
    <t>time</t>
  </si>
  <si>
    <t>bcc U54 ft</t>
  </si>
  <si>
    <t>bcc U54 ft1</t>
  </si>
  <si>
    <t xml:space="preserve">bcc Mo 54 </t>
  </si>
  <si>
    <t>Ef</t>
  </si>
  <si>
    <t>B2 UMo 54</t>
  </si>
  <si>
    <t>B2 UMo</t>
  </si>
  <si>
    <t>bcc U54 ft2</t>
  </si>
  <si>
    <t>bccU 16</t>
  </si>
  <si>
    <t>bccMo16</t>
  </si>
  <si>
    <t>B2 Umo 16</t>
  </si>
  <si>
    <t>NOTES:</t>
  </si>
  <si>
    <t>ispin1 vs ispin2 makes no difference in Mo, and minimal difference in U</t>
  </si>
  <si>
    <t>for 16 atom supercell, cant use real space projectors</t>
  </si>
  <si>
    <t xml:space="preserve">16 atom SQS </t>
  </si>
  <si>
    <t>U(x)Mo(1-x)</t>
  </si>
  <si>
    <t>x=0.75</t>
  </si>
  <si>
    <t>Ef/at</t>
  </si>
  <si>
    <t>kpoints10x</t>
  </si>
  <si>
    <t>kpoins6x</t>
  </si>
  <si>
    <t>isym0 kpts 6x</t>
  </si>
  <si>
    <t>V</t>
  </si>
  <si>
    <t>V/at</t>
  </si>
  <si>
    <t>rand structures</t>
  </si>
  <si>
    <t>3 11/5</t>
  </si>
  <si>
    <t>5 13/3</t>
  </si>
  <si>
    <t>2 12/4</t>
  </si>
  <si>
    <t>bccU</t>
  </si>
  <si>
    <t>fct U</t>
  </si>
  <si>
    <t>sc U</t>
  </si>
  <si>
    <t>bct U</t>
  </si>
  <si>
    <t>q</t>
  </si>
  <si>
    <t>alpha U</t>
  </si>
  <si>
    <t>fcc U</t>
  </si>
  <si>
    <t>UMo SQS ibrion6</t>
  </si>
  <si>
    <t>UMo rand2 ibrion6</t>
  </si>
  <si>
    <t>continued with no change</t>
  </si>
  <si>
    <t>bct U aniso</t>
  </si>
  <si>
    <t>U2Mo</t>
  </si>
  <si>
    <t>isif3</t>
  </si>
  <si>
    <t>a</t>
  </si>
  <si>
    <t>c</t>
  </si>
  <si>
    <t>c11</t>
  </si>
  <si>
    <t>c33</t>
  </si>
  <si>
    <t>c12</t>
  </si>
  <si>
    <t>c13</t>
  </si>
  <si>
    <t>c44</t>
  </si>
  <si>
    <t>c66</t>
  </si>
  <si>
    <t>U=1.5</t>
  </si>
  <si>
    <t>sp2,sym2</t>
  </si>
  <si>
    <t>alphaU +U1.5</t>
  </si>
  <si>
    <t>sp1,sym2</t>
  </si>
  <si>
    <t>E isif3</t>
  </si>
  <si>
    <t>E isif2</t>
  </si>
  <si>
    <t>mag</t>
  </si>
  <si>
    <t>mag/at</t>
  </si>
  <si>
    <t>vac</t>
  </si>
  <si>
    <t>&lt;100&gt;</t>
  </si>
  <si>
    <t>isolated U atom</t>
  </si>
  <si>
    <t>U=2.5</t>
  </si>
  <si>
    <t>bccU54 U1.5</t>
  </si>
  <si>
    <t>U=1</t>
  </si>
  <si>
    <t>alpha U ramping</t>
  </si>
  <si>
    <t>0a</t>
  </si>
  <si>
    <t>U</t>
  </si>
  <si>
    <t>Mag</t>
  </si>
  <si>
    <t>b</t>
  </si>
  <si>
    <t>bcc U ramping</t>
  </si>
  <si>
    <t>c22</t>
  </si>
  <si>
    <t>c23</t>
  </si>
  <si>
    <t>c55</t>
  </si>
  <si>
    <t>c'</t>
  </si>
  <si>
    <t>u2mo ramping</t>
  </si>
  <si>
    <t>k888</t>
  </si>
  <si>
    <t>k4412</t>
  </si>
  <si>
    <t>0b</t>
  </si>
  <si>
    <t>k444 isym0</t>
  </si>
  <si>
    <t>0c</t>
  </si>
  <si>
    <t>Mag/at</t>
  </si>
  <si>
    <t>k448 isym0</t>
  </si>
  <si>
    <t>metagga + maxmix</t>
  </si>
  <si>
    <t>0.5a</t>
  </si>
  <si>
    <t>1a</t>
  </si>
  <si>
    <t>sp2</t>
  </si>
  <si>
    <t>sp1</t>
  </si>
  <si>
    <t>magnetic</t>
  </si>
  <si>
    <t>non-magnetic</t>
  </si>
  <si>
    <t>ran with ispin1 and then read in CHGCAR and WAVECAR to run an ispin2</t>
  </si>
  <si>
    <t>did not change results for either k888 or the k4412 system</t>
  </si>
  <si>
    <t>k888 remained non-magnetic</t>
  </si>
  <si>
    <t>k4412 remained magnetic</t>
  </si>
  <si>
    <t>0d</t>
  </si>
  <si>
    <t>k888 isym0</t>
  </si>
  <si>
    <t>u2mo losada</t>
  </si>
  <si>
    <t>bcc U non-ramping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</si>
</sst>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9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164" fontId="0" fillId="0" borderId="0" xfId="0" applyNumberFormat="1" applyFont="1"/>
    <xf numFmtId="166" fontId="0" fillId="0" borderId="0" xfId="0" applyNumberForma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u2mo!$A$45:$A$48</c:f>
              <c:numCache>
                <c:formatCode>General</c:formatCode>
                <c:ptCount val="4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</c:numCache>
            </c:numRef>
          </c:xVal>
          <c:yVal>
            <c:numRef>
              <c:f>u2mo!$C$45:$C$48</c:f>
              <c:numCache>
                <c:formatCode>0.0000</c:formatCode>
                <c:ptCount val="4"/>
                <c:pt idx="0">
                  <c:v>-11.00927683333333</c:v>
                </c:pt>
                <c:pt idx="1">
                  <c:v>-10.63625616666667</c:v>
                </c:pt>
                <c:pt idx="2">
                  <c:v>-10.27147533333333</c:v>
                </c:pt>
                <c:pt idx="3">
                  <c:v>-9.914996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97368"/>
        <c:axId val="1971981336"/>
      </c:scatterChart>
      <c:valAx>
        <c:axId val="200519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981336"/>
        <c:crosses val="autoZero"/>
        <c:crossBetween val="midCat"/>
      </c:valAx>
      <c:valAx>
        <c:axId val="197198133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00519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64</xdr:row>
      <xdr:rowOff>12700</xdr:rowOff>
    </xdr:from>
    <xdr:to>
      <xdr:col>7</xdr:col>
      <xdr:colOff>723900</xdr:colOff>
      <xdr:row>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G6" sqref="G6"/>
    </sheetView>
  </sheetViews>
  <sheetFormatPr baseColWidth="10" defaultRowHeight="15" x14ac:dyDescent="0"/>
  <sheetData>
    <row r="1" spans="1:17">
      <c r="A1" t="s">
        <v>0</v>
      </c>
      <c r="G1" t="s">
        <v>18</v>
      </c>
      <c r="H1" t="s">
        <v>19</v>
      </c>
    </row>
    <row r="2" spans="1:17">
      <c r="H2" t="s">
        <v>20</v>
      </c>
    </row>
    <row r="3" spans="1:17">
      <c r="B3" t="s">
        <v>2</v>
      </c>
      <c r="C3" t="s">
        <v>4</v>
      </c>
      <c r="D3" t="s">
        <v>3</v>
      </c>
      <c r="E3" t="s">
        <v>7</v>
      </c>
      <c r="G3" t="s">
        <v>2</v>
      </c>
      <c r="H3" t="s">
        <v>4</v>
      </c>
      <c r="I3" t="s">
        <v>3</v>
      </c>
      <c r="L3" t="s">
        <v>2</v>
      </c>
      <c r="M3" t="s">
        <v>4</v>
      </c>
      <c r="N3" t="s">
        <v>11</v>
      </c>
      <c r="O3" t="s">
        <v>24</v>
      </c>
      <c r="P3" t="s">
        <v>3</v>
      </c>
      <c r="Q3" t="s">
        <v>29</v>
      </c>
    </row>
    <row r="4" spans="1:17">
      <c r="A4" t="s">
        <v>1</v>
      </c>
      <c r="B4" s="1">
        <v>-21.733944000000001</v>
      </c>
      <c r="C4" s="1">
        <f>B4/2</f>
        <v>-10.866972000000001</v>
      </c>
      <c r="D4" s="1">
        <f>3.45*0.994791359034366</f>
        <v>3.4320301886685627</v>
      </c>
      <c r="F4" t="s">
        <v>5</v>
      </c>
      <c r="G4" s="1">
        <v>-21.903551</v>
      </c>
      <c r="H4" s="1">
        <f>G4/2</f>
        <v>-10.9517755</v>
      </c>
      <c r="I4" s="1">
        <f>3.25*0.969209929102933</f>
        <v>3.1499322695845322</v>
      </c>
      <c r="K4" t="s">
        <v>13</v>
      </c>
      <c r="L4" s="1">
        <v>-21.254698999999999</v>
      </c>
      <c r="M4" s="1">
        <f>L4/2</f>
        <v>-10.627349499999999</v>
      </c>
      <c r="N4" s="1">
        <f>L4-C4-H4</f>
        <v>0.56404850000000195</v>
      </c>
      <c r="O4" s="1">
        <f>N4/2</f>
        <v>0.28202425000000098</v>
      </c>
      <c r="P4" s="1">
        <f>3.25*1.04162</f>
        <v>3.385265</v>
      </c>
      <c r="Q4">
        <f>(P4^3)/2</f>
        <v>19.397600813514241</v>
      </c>
    </row>
    <row r="5" spans="1:17">
      <c r="B5" s="1">
        <v>-21.754480999999998</v>
      </c>
      <c r="C5" s="1">
        <f>B5/2</f>
        <v>-10.877240499999999</v>
      </c>
      <c r="D5" s="1">
        <f>3.45*0.9948</f>
        <v>3.4320600000000003</v>
      </c>
      <c r="F5" t="s">
        <v>5</v>
      </c>
      <c r="G5" s="1">
        <v>-21.903265999999999</v>
      </c>
      <c r="H5" s="1">
        <f>G5/2</f>
        <v>-10.951632999999999</v>
      </c>
      <c r="I5" s="1">
        <f>3.25*0.96935</f>
        <v>3.1503875000000003</v>
      </c>
      <c r="L5" s="1">
        <v>-21.267261000000001</v>
      </c>
      <c r="M5" s="1">
        <f>L5/2</f>
        <v>-10.633630500000001</v>
      </c>
      <c r="N5" s="1">
        <f>L5-C5-H5</f>
        <v>0.56161249999999718</v>
      </c>
      <c r="O5" s="1">
        <f>N5/2</f>
        <v>0.28080624999999859</v>
      </c>
      <c r="P5" s="1">
        <f>3.25*1.04136</f>
        <v>3.3844200000000004</v>
      </c>
      <c r="Q5">
        <f>(P5^3)/2</f>
        <v>19.383078864723451</v>
      </c>
    </row>
    <row r="6" spans="1:17">
      <c r="A6" t="s">
        <v>6</v>
      </c>
      <c r="B6" s="1">
        <v>-587.35852999999997</v>
      </c>
      <c r="C6" s="1">
        <f>B6/54</f>
        <v>-10.877009814814814</v>
      </c>
      <c r="D6" s="1">
        <f>3.45*2.98479221351375/3</f>
        <v>3.4325110455408123</v>
      </c>
      <c r="E6">
        <v>12460</v>
      </c>
      <c r="G6" s="1"/>
      <c r="H6" s="1"/>
      <c r="I6" s="1"/>
      <c r="L6" s="1"/>
      <c r="M6" s="1"/>
      <c r="N6" s="1"/>
      <c r="O6" s="1"/>
      <c r="P6" s="1"/>
    </row>
    <row r="7" spans="1:17">
      <c r="A7" t="s">
        <v>8</v>
      </c>
      <c r="B7" s="1">
        <v>-587.81392000000005</v>
      </c>
      <c r="C7" s="1">
        <f>B7/54</f>
        <v>-10.885442962962964</v>
      </c>
      <c r="D7" s="1">
        <f>3.45*2.97798041143201/3</f>
        <v>3.4246774731468115</v>
      </c>
      <c r="E7">
        <v>7165</v>
      </c>
      <c r="G7" s="1"/>
      <c r="H7" s="1"/>
      <c r="I7" s="1"/>
      <c r="L7" s="1"/>
      <c r="M7" s="1"/>
      <c r="N7" s="1"/>
      <c r="O7" s="1"/>
      <c r="P7" s="1"/>
    </row>
    <row r="8" spans="1:17">
      <c r="A8" t="s">
        <v>9</v>
      </c>
      <c r="B8" s="1">
        <v>-587.81397000000004</v>
      </c>
      <c r="C8" s="1">
        <f>B8/54</f>
        <v>-10.88544388888889</v>
      </c>
      <c r="D8" s="1">
        <f>3.45*2.97800473816779/3</f>
        <v>3.4247054488929582</v>
      </c>
      <c r="E8">
        <v>5297</v>
      </c>
      <c r="F8" t="s">
        <v>10</v>
      </c>
      <c r="G8" s="1">
        <v>-591.33443</v>
      </c>
      <c r="H8" s="1">
        <f>G8/54</f>
        <v>-10.950637592592592</v>
      </c>
      <c r="I8" s="1">
        <f>3.1*3.048932/3</f>
        <v>3.1505630666666669</v>
      </c>
      <c r="K8" t="s">
        <v>12</v>
      </c>
      <c r="L8" s="1">
        <v>-575.64233000000002</v>
      </c>
      <c r="M8" s="1">
        <f>L8/54</f>
        <v>-10.660043148148148</v>
      </c>
      <c r="N8" s="1">
        <f>L8-27*C8-27*H8</f>
        <v>13.931870000000004</v>
      </c>
      <c r="O8" s="1">
        <f>N8/54</f>
        <v>0.25799759259259264</v>
      </c>
      <c r="P8" s="1">
        <f>3.25*3.12078/3</f>
        <v>3.3808449999999994</v>
      </c>
      <c r="Q8">
        <f>(P8^3)/2</f>
        <v>19.321720047408416</v>
      </c>
    </row>
    <row r="9" spans="1:17">
      <c r="A9" t="s">
        <v>14</v>
      </c>
      <c r="B9" s="1">
        <v>-587.81403999999998</v>
      </c>
      <c r="C9" s="1">
        <f>B9/54</f>
        <v>-10.885445185185185</v>
      </c>
      <c r="D9" s="1">
        <f>3.45*2.978077/3</f>
        <v>3.4247885500000002</v>
      </c>
      <c r="E9">
        <v>2760.076</v>
      </c>
      <c r="G9" s="1"/>
      <c r="H9" s="1"/>
      <c r="I9" s="1"/>
      <c r="L9" s="1"/>
      <c r="M9" s="1"/>
      <c r="N9" s="1"/>
      <c r="O9" s="1"/>
      <c r="P9" s="1"/>
    </row>
    <row r="10" spans="1:17">
      <c r="A10" t="s">
        <v>15</v>
      </c>
      <c r="B10" s="1">
        <v>-174.14836</v>
      </c>
      <c r="C10" s="1">
        <f>B10/16</f>
        <v>-10.8842725</v>
      </c>
      <c r="D10" s="1">
        <f>3.45*2.00333/2</f>
        <v>3.4557442500000004</v>
      </c>
      <c r="F10" t="s">
        <v>16</v>
      </c>
      <c r="G10" s="1">
        <v>-175.40234000000001</v>
      </c>
      <c r="H10" s="1">
        <f t="shared" ref="H10:H16" si="0">G10/16</f>
        <v>-10.962646250000001</v>
      </c>
      <c r="I10" s="1">
        <f>3.2*1.981168/2</f>
        <v>3.1698688000000002</v>
      </c>
      <c r="K10" t="s">
        <v>17</v>
      </c>
      <c r="L10" s="1">
        <v>-170.38677999999999</v>
      </c>
      <c r="M10" s="1">
        <f>L10/16</f>
        <v>-10.649173749999999</v>
      </c>
      <c r="N10" s="1">
        <f>L10-8*C10-8*H10</f>
        <v>4.3885700000000156</v>
      </c>
      <c r="O10" s="1">
        <f>N10/16</f>
        <v>0.27428562500000098</v>
      </c>
      <c r="P10" s="1">
        <f>3.35*2.006816/2</f>
        <v>3.3614168000000002</v>
      </c>
      <c r="Q10">
        <f>(P10^3)/2</f>
        <v>18.990530776246079</v>
      </c>
    </row>
    <row r="11" spans="1:17">
      <c r="A11" t="s">
        <v>15</v>
      </c>
      <c r="B11" s="1">
        <v>-174.14793</v>
      </c>
      <c r="C11" s="1">
        <f>B11/16</f>
        <v>-10.884245625</v>
      </c>
      <c r="D11" s="1">
        <f>3.45*2.0034/2</f>
        <v>3.4558650000000002</v>
      </c>
      <c r="F11" t="s">
        <v>16</v>
      </c>
      <c r="G11" s="1">
        <v>-175.37971999999999</v>
      </c>
      <c r="H11" s="1">
        <f t="shared" si="0"/>
        <v>-10.961232499999999</v>
      </c>
      <c r="I11" s="1">
        <f>3.2*1.981167/2</f>
        <v>3.1698672000000001</v>
      </c>
      <c r="K11" t="s">
        <v>17</v>
      </c>
      <c r="L11" s="1">
        <v>-170.38309000000001</v>
      </c>
      <c r="M11" s="1">
        <f>L11/16</f>
        <v>-10.648943125000001</v>
      </c>
      <c r="N11" s="1">
        <f>L11-8*C11-8*H11</f>
        <v>4.3807349999999872</v>
      </c>
      <c r="O11" s="1">
        <f>N11/16</f>
        <v>0.2737959374999992</v>
      </c>
      <c r="P11" s="1">
        <f>3.35*2.006874/2</f>
        <v>3.36151395</v>
      </c>
      <c r="Q11">
        <f>(P11^3)/2</f>
        <v>18.992177388519817</v>
      </c>
    </row>
    <row r="12" spans="1:17">
      <c r="B12" s="1"/>
      <c r="C12" s="1"/>
      <c r="D12" s="1"/>
      <c r="F12" t="s">
        <v>16</v>
      </c>
      <c r="G12" s="1">
        <v>-175.37971999999999</v>
      </c>
      <c r="H12" s="1">
        <f t="shared" si="0"/>
        <v>-10.961232499999999</v>
      </c>
      <c r="I12" s="1">
        <f>3.2*1.981167/2</f>
        <v>3.1698672000000001</v>
      </c>
      <c r="L12" s="1"/>
      <c r="M12" s="1"/>
      <c r="N12" s="1"/>
      <c r="O12" s="1"/>
      <c r="P12" s="1"/>
    </row>
    <row r="13" spans="1:17">
      <c r="B13" s="1"/>
      <c r="C13" s="1"/>
      <c r="D13" s="1"/>
      <c r="G13" s="1">
        <v>-175.36660000000001</v>
      </c>
      <c r="H13" s="1">
        <f t="shared" si="0"/>
        <v>-10.9604125</v>
      </c>
      <c r="I13" s="1">
        <f>3.2*1.98126/2</f>
        <v>3.1700160000000004</v>
      </c>
      <c r="L13" s="1"/>
      <c r="M13" s="1"/>
      <c r="N13" s="1"/>
      <c r="O13" s="1"/>
      <c r="P13" s="1"/>
    </row>
    <row r="14" spans="1:17">
      <c r="B14" s="1"/>
      <c r="C14" s="1"/>
      <c r="D14" s="1"/>
      <c r="G14" s="1">
        <v>-175.36660000000001</v>
      </c>
      <c r="H14" s="1">
        <f t="shared" si="0"/>
        <v>-10.9604125</v>
      </c>
      <c r="I14" s="1">
        <f>3.2*1.98126/2</f>
        <v>3.1700160000000004</v>
      </c>
      <c r="L14" s="1"/>
      <c r="M14" s="1"/>
      <c r="N14" s="1"/>
      <c r="O14" s="1"/>
      <c r="P14" s="1"/>
    </row>
    <row r="15" spans="1:17">
      <c r="G15" s="1">
        <v>-175.18333000000001</v>
      </c>
      <c r="H15" s="1">
        <f t="shared" si="0"/>
        <v>-10.948958125000001</v>
      </c>
      <c r="I15" s="1">
        <f>3.2*1.96925/2</f>
        <v>3.1508000000000003</v>
      </c>
      <c r="L15" s="1"/>
      <c r="M15" s="1"/>
      <c r="N15" s="1"/>
      <c r="O15" s="1"/>
      <c r="P15" s="1"/>
    </row>
    <row r="16" spans="1:17">
      <c r="A16" t="s">
        <v>15</v>
      </c>
      <c r="B16" s="1">
        <v>-174.03478999999999</v>
      </c>
      <c r="C16" s="1">
        <f>B16/16</f>
        <v>-10.877174374999999</v>
      </c>
      <c r="D16" s="1">
        <f>3.45*1.98953/2</f>
        <v>3.4319392500000001</v>
      </c>
      <c r="F16" t="s">
        <v>16</v>
      </c>
      <c r="G16" s="1">
        <v>-175.19833</v>
      </c>
      <c r="H16" s="1">
        <f t="shared" si="0"/>
        <v>-10.949895625</v>
      </c>
      <c r="I16" s="1">
        <f>3.2*1.96913/2</f>
        <v>3.1506080000000001</v>
      </c>
      <c r="K16" t="s">
        <v>17</v>
      </c>
      <c r="L16" s="1">
        <v>-170.14957000000001</v>
      </c>
      <c r="M16" s="1">
        <f>L16/16</f>
        <v>-10.634348125000001</v>
      </c>
      <c r="N16" s="1">
        <f>L16-8*C16-8*H16</f>
        <v>4.4669899999999814</v>
      </c>
      <c r="O16" s="1">
        <f>N16/16</f>
        <v>0.27918687499999884</v>
      </c>
      <c r="P16" s="1">
        <f>3.35*2.0209/2</f>
        <v>3.3850075000000004</v>
      </c>
      <c r="Q16">
        <f>(P16^3)/2</f>
        <v>19.393174717816866</v>
      </c>
    </row>
    <row r="17" spans="1:17">
      <c r="B17" s="1"/>
      <c r="C17" s="1"/>
      <c r="D17" s="1"/>
      <c r="E17" t="s">
        <v>38</v>
      </c>
      <c r="G17" s="1"/>
      <c r="H17" s="1"/>
      <c r="I17" s="1"/>
      <c r="L17" s="1"/>
      <c r="M17" s="1"/>
      <c r="N17" s="1"/>
      <c r="O17" s="1"/>
      <c r="P17" s="1"/>
    </row>
    <row r="18" spans="1:17">
      <c r="A18" t="s">
        <v>21</v>
      </c>
      <c r="G18" s="1"/>
      <c r="H18" s="1"/>
      <c r="I18" s="1"/>
    </row>
    <row r="19" spans="1:17">
      <c r="A19" t="s">
        <v>22</v>
      </c>
      <c r="B19" t="s">
        <v>2</v>
      </c>
      <c r="C19" t="s">
        <v>4</v>
      </c>
      <c r="D19" t="s">
        <v>11</v>
      </c>
      <c r="E19" t="s">
        <v>24</v>
      </c>
      <c r="F19" t="s">
        <v>28</v>
      </c>
      <c r="G19" t="s">
        <v>29</v>
      </c>
    </row>
    <row r="20" spans="1:17">
      <c r="A20" t="s">
        <v>23</v>
      </c>
      <c r="B20" s="1">
        <v>-175.18341000000001</v>
      </c>
      <c r="C20" s="1">
        <f>B20/16</f>
        <v>-10.948963125000001</v>
      </c>
      <c r="D20" s="1">
        <f>B20-12*C16-4*M16</f>
        <v>-2.1199250000000021</v>
      </c>
      <c r="E20" s="1">
        <f>D20/16</f>
        <v>-0.13249531250000013</v>
      </c>
      <c r="F20" s="1">
        <v>309.73</v>
      </c>
      <c r="G20">
        <f>F20/16</f>
        <v>19.358125000000001</v>
      </c>
      <c r="H20" t="s">
        <v>27</v>
      </c>
    </row>
    <row r="21" spans="1:17">
      <c r="B21" s="1">
        <v>-175.1754</v>
      </c>
      <c r="C21" s="1">
        <f>B21/16</f>
        <v>-10.9484625</v>
      </c>
      <c r="D21" s="1">
        <f>B21-12*C16-4*M16</f>
        <v>-2.1119149999999891</v>
      </c>
      <c r="E21" s="1">
        <f>D21/16</f>
        <v>-0.13199468749999932</v>
      </c>
      <c r="F21" s="1">
        <v>309.99</v>
      </c>
      <c r="G21">
        <f>F21/16</f>
        <v>19.374375000000001</v>
      </c>
      <c r="H21" t="s">
        <v>25</v>
      </c>
    </row>
    <row r="22" spans="1:17">
      <c r="B22" s="1">
        <v>-175.18343999999999</v>
      </c>
      <c r="C22" s="1">
        <f>B22/16</f>
        <v>-10.948964999999999</v>
      </c>
      <c r="D22" s="1">
        <f>B22-12*C16-4*M16</f>
        <v>-2.1199549999999832</v>
      </c>
      <c r="E22" s="1">
        <f>D22/16</f>
        <v>-0.13249718749999895</v>
      </c>
      <c r="F22" s="1">
        <v>309.67</v>
      </c>
      <c r="G22">
        <f>F22/16</f>
        <v>19.354375000000001</v>
      </c>
      <c r="H22" t="s">
        <v>26</v>
      </c>
    </row>
    <row r="23" spans="1:17">
      <c r="B23" s="1"/>
      <c r="C23" s="1"/>
      <c r="D23" s="1"/>
      <c r="E23" s="1"/>
      <c r="F23" s="1"/>
    </row>
    <row r="24" spans="1:17">
      <c r="A24" t="s">
        <v>30</v>
      </c>
      <c r="B24" s="1"/>
      <c r="C24" s="1"/>
      <c r="D24" s="1"/>
      <c r="E24" s="1"/>
      <c r="F24" s="1"/>
      <c r="K24" s="1" t="s">
        <v>34</v>
      </c>
      <c r="L24" s="1"/>
      <c r="M24" s="1"/>
    </row>
    <row r="25" spans="1:17">
      <c r="A25">
        <v>1</v>
      </c>
      <c r="B25" s="1">
        <v>-174.17770999999999</v>
      </c>
      <c r="C25" s="1">
        <f>B25/16</f>
        <v>-10.886106874999999</v>
      </c>
      <c r="D25" s="1">
        <f>B25-11*$C$16-5*$M$16</f>
        <v>-1.3570512499999907</v>
      </c>
      <c r="E25" s="1">
        <f>D25/16</f>
        <v>-8.481570312499942E-2</v>
      </c>
      <c r="F25">
        <f>6.8*0.989411643922143</f>
        <v>6.7279991786705722</v>
      </c>
      <c r="G25">
        <f t="shared" ref="G25:G30" si="1">F25/2</f>
        <v>3.3639995893352861</v>
      </c>
      <c r="K25" s="1">
        <v>-21.754480999999998</v>
      </c>
      <c r="L25" s="1">
        <f>K25/2</f>
        <v>-10.877240499999999</v>
      </c>
      <c r="M25" s="1">
        <f>3.45*0.9948</f>
        <v>3.4320600000000003</v>
      </c>
      <c r="Q25" s="1">
        <f>L25-$L$33</f>
        <v>0.26661325000000069</v>
      </c>
    </row>
    <row r="26" spans="1:17">
      <c r="A26">
        <v>2</v>
      </c>
      <c r="B26" s="1">
        <v>-174.50993</v>
      </c>
      <c r="C26" s="1">
        <f t="shared" ref="C26:C34" si="2">B26/16</f>
        <v>-10.906870625</v>
      </c>
      <c r="D26" s="1">
        <f>B26-13*$C$16-3*$M$16</f>
        <v>-1.2036187500000111</v>
      </c>
      <c r="E26" s="1">
        <f t="shared" ref="E26:E34" si="3">D26/16</f>
        <v>-7.5226171875000691E-2</v>
      </c>
      <c r="F26">
        <f>6.8*0.998779105315812</f>
        <v>6.7916979161475215</v>
      </c>
      <c r="G26">
        <f t="shared" si="1"/>
        <v>3.3958489580737607</v>
      </c>
      <c r="H26" t="s">
        <v>43</v>
      </c>
      <c r="K26" s="1" t="s">
        <v>35</v>
      </c>
      <c r="L26" s="1"/>
      <c r="M26" s="1"/>
    </row>
    <row r="27" spans="1:17">
      <c r="A27">
        <v>3</v>
      </c>
      <c r="B27" s="1">
        <v>-174.42281</v>
      </c>
      <c r="C27" s="1">
        <f t="shared" si="2"/>
        <v>-10.901425625</v>
      </c>
      <c r="D27" s="1">
        <f>B27-11*$C$16-5*$M$16</f>
        <v>-1.6021512499999986</v>
      </c>
      <c r="E27" s="1">
        <f t="shared" si="3"/>
        <v>-0.10013445312499991</v>
      </c>
      <c r="F27">
        <f>6.8*0.98953743944427</f>
        <v>6.7288545882210355</v>
      </c>
      <c r="G27">
        <f t="shared" si="1"/>
        <v>3.3644272941105178</v>
      </c>
      <c r="K27" s="1">
        <v>-21.470281</v>
      </c>
      <c r="L27" s="1">
        <f>K27/2</f>
        <v>-10.7351405</v>
      </c>
      <c r="M27" s="1"/>
      <c r="Q27" s="1">
        <f>L27-$L$33</f>
        <v>0.40871324999999992</v>
      </c>
    </row>
    <row r="28" spans="1:17">
      <c r="A28">
        <v>4</v>
      </c>
      <c r="B28" s="1">
        <v>-174.73150999999999</v>
      </c>
      <c r="C28" s="1">
        <f t="shared" si="2"/>
        <v>-10.920719374999999</v>
      </c>
      <c r="D28" s="1">
        <f>B28-12*$C$16-4*$M$16</f>
        <v>-1.6680249999999788</v>
      </c>
      <c r="E28" s="1">
        <f t="shared" si="3"/>
        <v>-0.10425156249999867</v>
      </c>
      <c r="F28">
        <f>6.8*0.993690236450738</f>
        <v>6.7570936078650181</v>
      </c>
      <c r="G28">
        <f t="shared" si="1"/>
        <v>3.3785468039325091</v>
      </c>
      <c r="K28" s="1" t="s">
        <v>36</v>
      </c>
      <c r="L28" s="1"/>
      <c r="M28" s="1"/>
    </row>
    <row r="29" spans="1:17">
      <c r="A29">
        <v>5</v>
      </c>
      <c r="B29" s="1">
        <v>-174.57119</v>
      </c>
      <c r="C29" s="1">
        <f t="shared" si="2"/>
        <v>-10.910699375</v>
      </c>
      <c r="D29" s="1">
        <f>B29-12*$C$16-4*$M$16</f>
        <v>-1.5077049999999943</v>
      </c>
      <c r="E29" s="1">
        <f t="shared" si="3"/>
        <v>-9.4231562499999644E-2</v>
      </c>
      <c r="F29">
        <f>6.8*0.993940345743337</f>
        <v>6.7587943510546911</v>
      </c>
      <c r="G29">
        <f t="shared" si="1"/>
        <v>3.3793971755273455</v>
      </c>
      <c r="K29" s="1">
        <v>-10.930023</v>
      </c>
      <c r="L29" s="1">
        <f>K29/1</f>
        <v>-10.930023</v>
      </c>
      <c r="M29" s="1">
        <f>3.45*0.7754</f>
        <v>2.6751300000000002</v>
      </c>
      <c r="Q29" s="1">
        <f>L29-$L$33</f>
        <v>0.21383074999999963</v>
      </c>
    </row>
    <row r="30" spans="1:17">
      <c r="A30">
        <v>6</v>
      </c>
      <c r="B30" s="1">
        <v>-174.50885</v>
      </c>
      <c r="C30" s="1">
        <f t="shared" si="2"/>
        <v>-10.906803125</v>
      </c>
      <c r="D30" s="1">
        <f>B30-13*$C$16-3*$M$16</f>
        <v>-1.2025387500000093</v>
      </c>
      <c r="E30" s="1">
        <f t="shared" si="3"/>
        <v>-7.5158671875000582E-2</v>
      </c>
      <c r="F30">
        <f>6.8*0.998781290628701</f>
        <v>6.7917127762751672</v>
      </c>
      <c r="G30">
        <f t="shared" si="1"/>
        <v>3.3958563881375836</v>
      </c>
      <c r="K30" s="1" t="s">
        <v>37</v>
      </c>
      <c r="L30" s="1"/>
      <c r="M30" s="1"/>
      <c r="N30" s="1"/>
    </row>
    <row r="31" spans="1:17">
      <c r="A31">
        <v>7</v>
      </c>
      <c r="B31" s="1">
        <v>-173.72257999999999</v>
      </c>
      <c r="C31" s="1">
        <f t="shared" si="2"/>
        <v>-10.85766125</v>
      </c>
      <c r="D31" s="1">
        <f>B31-13*$C$16-3*$M$16</f>
        <v>-0.41626875000000751</v>
      </c>
      <c r="E31" s="1">
        <f>D31/16</f>
        <v>-2.601679687500047E-2</v>
      </c>
      <c r="F31">
        <f>6.8*1.00084156892372</f>
        <v>6.8057226686812955</v>
      </c>
      <c r="G31">
        <f>F31/2</f>
        <v>3.4028613343406477</v>
      </c>
      <c r="K31" s="1">
        <v>-22.014275999999999</v>
      </c>
      <c r="L31" s="1">
        <f>K31/2</f>
        <v>-11.007137999999999</v>
      </c>
      <c r="M31" s="1">
        <f>3.6*1.02777</f>
        <v>3.6999720000000003</v>
      </c>
      <c r="N31" s="1">
        <f>3.6*0.8273</f>
        <v>2.9782800000000003</v>
      </c>
      <c r="Q31" s="1">
        <f>L31-$L$33</f>
        <v>0.13671575000000047</v>
      </c>
    </row>
    <row r="32" spans="1:17">
      <c r="A32">
        <v>8</v>
      </c>
      <c r="B32" s="1">
        <v>-173.53565</v>
      </c>
      <c r="C32" s="1">
        <f t="shared" si="2"/>
        <v>-10.845978125</v>
      </c>
      <c r="D32" s="1">
        <f>B32-11*$C$16-5*$M$16</f>
        <v>-0.71499125000000419</v>
      </c>
      <c r="E32" s="1">
        <f t="shared" si="3"/>
        <v>-4.4686953125000262E-2</v>
      </c>
      <c r="F32">
        <f>6.8*0.991482318404579</f>
        <v>6.7420797651511375</v>
      </c>
      <c r="G32">
        <f>F32/2</f>
        <v>3.3710398825755687</v>
      </c>
      <c r="K32" s="1" t="s">
        <v>39</v>
      </c>
      <c r="L32" s="1"/>
      <c r="M32" s="1"/>
      <c r="N32" s="1"/>
    </row>
    <row r="33" spans="1:17">
      <c r="A33">
        <v>9</v>
      </c>
      <c r="B33" s="1">
        <v>-174.24755999999999</v>
      </c>
      <c r="C33" s="1">
        <f t="shared" si="2"/>
        <v>-10.8904725</v>
      </c>
      <c r="D33" s="1">
        <f>B33-13*$C$16-3*$M$16</f>
        <v>-0.94124875000000685</v>
      </c>
      <c r="E33" s="1">
        <f t="shared" si="3"/>
        <v>-5.8828046875000428E-2</v>
      </c>
      <c r="F33">
        <f>6.8*0.998557921404027</f>
        <v>6.7901938655473835</v>
      </c>
      <c r="G33">
        <f>F33/2</f>
        <v>3.3950969327736917</v>
      </c>
      <c r="K33" s="1">
        <v>-44.575415</v>
      </c>
      <c r="L33" s="1">
        <f>K33/4</f>
        <v>-11.14385375</v>
      </c>
      <c r="M33" s="1">
        <v>2.7895048357330099</v>
      </c>
      <c r="N33" s="1">
        <v>5.84843288730361</v>
      </c>
      <c r="O33" s="1">
        <v>4.9138301969913902</v>
      </c>
      <c r="P33" s="1">
        <f>(1-0.8012706623664)/2</f>
        <v>9.9364668816800006E-2</v>
      </c>
    </row>
    <row r="34" spans="1:17">
      <c r="A34">
        <v>10</v>
      </c>
      <c r="B34" s="1">
        <v>-174.45941999999999</v>
      </c>
      <c r="C34" s="1">
        <f t="shared" si="2"/>
        <v>-10.90371375</v>
      </c>
      <c r="D34" s="1">
        <f>B34-13*$C$16-3*$M$16</f>
        <v>-1.1531087500000083</v>
      </c>
      <c r="E34" s="1">
        <f t="shared" si="3"/>
        <v>-7.2069296875000521E-2</v>
      </c>
      <c r="F34">
        <f>6.8*0.997609057723633</f>
        <v>6.7837415925207036</v>
      </c>
      <c r="G34">
        <f>F34/2</f>
        <v>3.3918707962603518</v>
      </c>
      <c r="K34" s="1" t="s">
        <v>40</v>
      </c>
      <c r="L34" s="1"/>
      <c r="M34" s="1"/>
      <c r="N34" s="1"/>
    </row>
    <row r="35" spans="1:17">
      <c r="K35" s="3">
        <v>-43.015039999999999</v>
      </c>
      <c r="L35">
        <f>K35/4</f>
        <v>-10.75376</v>
      </c>
      <c r="M35">
        <f>4.45*0.99455</f>
        <v>4.4257474999999999</v>
      </c>
      <c r="Q35" s="1">
        <f>L35-$L$33</f>
        <v>0.39009375000000013</v>
      </c>
    </row>
    <row r="36" spans="1:17">
      <c r="B36" s="2" t="s">
        <v>31</v>
      </c>
      <c r="C36" s="2" t="s">
        <v>32</v>
      </c>
      <c r="D36" s="2" t="s">
        <v>33</v>
      </c>
      <c r="K36" t="s">
        <v>44</v>
      </c>
    </row>
    <row r="37" spans="1:17">
      <c r="K37" s="1">
        <v>-22.056467000000001</v>
      </c>
      <c r="L37" s="1">
        <f>K37/2</f>
        <v>-11.028233500000001</v>
      </c>
      <c r="M37" s="1">
        <f>3.6*1.01665242746123</f>
        <v>3.6599487388604284</v>
      </c>
      <c r="N37" s="1">
        <f>3.6*0.842661555696634</f>
        <v>3.0335816005078824</v>
      </c>
      <c r="Q37" s="1">
        <f>L37-$L$33</f>
        <v>0.1156202499999992</v>
      </c>
    </row>
    <row r="39" spans="1:17">
      <c r="A39" t="s">
        <v>41</v>
      </c>
      <c r="D39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3" workbookViewId="0">
      <selection activeCell="N35" sqref="N35"/>
    </sheetView>
  </sheetViews>
  <sheetFormatPr baseColWidth="10" defaultRowHeight="15" x14ac:dyDescent="0"/>
  <cols>
    <col min="3" max="3" width="12.5" customWidth="1"/>
  </cols>
  <sheetData>
    <row r="1" spans="1:21">
      <c r="D1" t="s">
        <v>2</v>
      </c>
      <c r="E1" t="s">
        <v>4</v>
      </c>
      <c r="F1" t="s">
        <v>3</v>
      </c>
      <c r="G1" t="s">
        <v>7</v>
      </c>
      <c r="I1" t="s">
        <v>2</v>
      </c>
      <c r="J1" t="s">
        <v>4</v>
      </c>
      <c r="K1" t="s">
        <v>3</v>
      </c>
      <c r="O1" t="s">
        <v>55</v>
      </c>
      <c r="P1" t="s">
        <v>66</v>
      </c>
      <c r="Q1" t="s">
        <v>68</v>
      </c>
      <c r="S1" t="s">
        <v>65</v>
      </c>
    </row>
    <row r="2" spans="1:21">
      <c r="A2" t="s">
        <v>45</v>
      </c>
      <c r="C2" t="s">
        <v>1</v>
      </c>
      <c r="D2" s="1">
        <v>-21.754480999999998</v>
      </c>
      <c r="E2" s="1">
        <f>D2/2</f>
        <v>-10.877240499999999</v>
      </c>
      <c r="F2" s="1">
        <f>3.45*0.9948</f>
        <v>3.4320600000000003</v>
      </c>
      <c r="H2" t="s">
        <v>5</v>
      </c>
      <c r="I2" s="1">
        <v>-21.903265999999999</v>
      </c>
      <c r="J2" s="1">
        <f>I2/2</f>
        <v>-10.951632999999999</v>
      </c>
      <c r="K2" s="1">
        <f>3.25*0.96935</f>
        <v>3.1503875000000003</v>
      </c>
      <c r="M2" t="s">
        <v>1</v>
      </c>
      <c r="N2" t="s">
        <v>2</v>
      </c>
      <c r="O2" s="1">
        <v>-18.665965</v>
      </c>
      <c r="P2" s="1">
        <v>-17.182741</v>
      </c>
      <c r="Q2" s="1">
        <v>-19.633289000000001</v>
      </c>
      <c r="S2" t="s">
        <v>90</v>
      </c>
      <c r="T2" s="1">
        <v>-4.4663545999999998</v>
      </c>
      <c r="U2" t="s">
        <v>92</v>
      </c>
    </row>
    <row r="3" spans="1:21">
      <c r="C3" t="s">
        <v>39</v>
      </c>
      <c r="E3">
        <v>-11.14385375</v>
      </c>
      <c r="F3" s="1"/>
      <c r="I3" s="1"/>
      <c r="J3" s="1"/>
      <c r="K3" s="1"/>
      <c r="N3" t="s">
        <v>4</v>
      </c>
      <c r="O3" s="1">
        <f>O2/2</f>
        <v>-9.3329825</v>
      </c>
      <c r="P3" s="1">
        <f>P2/2</f>
        <v>-8.5913705</v>
      </c>
      <c r="Q3" s="1">
        <f>Q2/2</f>
        <v>-9.8166445000000007</v>
      </c>
      <c r="S3" t="s">
        <v>90</v>
      </c>
      <c r="T3" s="1">
        <v>-4.5142699000000004</v>
      </c>
      <c r="U3" t="s">
        <v>92</v>
      </c>
    </row>
    <row r="4" spans="1:21">
      <c r="C4" t="s">
        <v>57</v>
      </c>
      <c r="E4">
        <f>-37.801043/4</f>
        <v>-9.45026075</v>
      </c>
      <c r="N4" t="s">
        <v>60</v>
      </c>
      <c r="O4" s="1"/>
      <c r="P4" s="1"/>
      <c r="Q4" s="1">
        <v>-19.634029000000002</v>
      </c>
      <c r="S4" t="s">
        <v>90</v>
      </c>
      <c r="T4" s="1">
        <v>-2.4695198999999999</v>
      </c>
      <c r="U4" t="s">
        <v>93</v>
      </c>
    </row>
    <row r="5" spans="1:21">
      <c r="N5" t="s">
        <v>28</v>
      </c>
      <c r="O5">
        <v>45.5</v>
      </c>
      <c r="P5">
        <v>48.65</v>
      </c>
      <c r="Q5">
        <v>42.29</v>
      </c>
      <c r="S5" t="s">
        <v>91</v>
      </c>
      <c r="T5" s="1">
        <v>-2.4694843999999998</v>
      </c>
    </row>
    <row r="6" spans="1:21">
      <c r="A6" t="s">
        <v>46</v>
      </c>
      <c r="B6" t="s">
        <v>58</v>
      </c>
      <c r="C6" t="s">
        <v>56</v>
      </c>
      <c r="D6" t="s">
        <v>55</v>
      </c>
      <c r="E6" t="s">
        <v>66</v>
      </c>
      <c r="F6" t="s">
        <v>68</v>
      </c>
      <c r="G6" s="1"/>
      <c r="N6" t="s">
        <v>29</v>
      </c>
      <c r="O6">
        <f>O5/2</f>
        <v>22.75</v>
      </c>
      <c r="P6">
        <f>P5/2</f>
        <v>24.324999999999999</v>
      </c>
      <c r="Q6">
        <f>Q5/2</f>
        <v>21.145</v>
      </c>
    </row>
    <row r="7" spans="1:21">
      <c r="A7" t="s">
        <v>59</v>
      </c>
      <c r="B7" s="1">
        <v>-66.035244000000006</v>
      </c>
      <c r="C7" s="1">
        <v>-66.035250000000005</v>
      </c>
      <c r="D7" s="1">
        <v>-59.716844999999999</v>
      </c>
      <c r="E7" s="1">
        <v>-57.161706000000002</v>
      </c>
      <c r="F7" s="1">
        <v>-61.677377</v>
      </c>
      <c r="N7" t="s">
        <v>47</v>
      </c>
      <c r="O7">
        <v>3.57</v>
      </c>
      <c r="P7">
        <v>3.65</v>
      </c>
      <c r="Q7">
        <v>3.48</v>
      </c>
    </row>
    <row r="8" spans="1:21">
      <c r="A8" t="s">
        <v>60</v>
      </c>
      <c r="B8" s="7">
        <v>-66.035737999999995</v>
      </c>
      <c r="C8" s="1">
        <v>-66.035741999999999</v>
      </c>
      <c r="D8" s="7">
        <v>-59.720858</v>
      </c>
      <c r="E8" s="1">
        <v>-57.174979999999998</v>
      </c>
      <c r="F8" s="1">
        <v>-61.679614000000001</v>
      </c>
      <c r="N8" t="s">
        <v>49</v>
      </c>
      <c r="O8">
        <v>17</v>
      </c>
      <c r="P8">
        <v>27.9</v>
      </c>
      <c r="Q8">
        <v>87.9</v>
      </c>
    </row>
    <row r="9" spans="1:21">
      <c r="A9" t="s">
        <v>11</v>
      </c>
      <c r="B9" s="1">
        <f>B8-4*$E$3-2*$J$2</f>
        <v>0.4429430000000032</v>
      </c>
      <c r="C9" s="1">
        <f>C8-4*$E$3-2*$J$2</f>
        <v>0.44293899999999908</v>
      </c>
      <c r="D9" s="1">
        <f>D8-4*$E$4-2*$J$2</f>
        <v>-1.6549000000001257E-2</v>
      </c>
      <c r="E9" s="6">
        <f>E8-4*$E$4-2*$J$2</f>
        <v>2.5293290000000006</v>
      </c>
      <c r="F9" s="6">
        <f>F8-4*$E$4-2*$J$2</f>
        <v>-1.9753050000000023</v>
      </c>
      <c r="N9" t="s">
        <v>51</v>
      </c>
      <c r="O9">
        <v>102.1</v>
      </c>
      <c r="P9">
        <v>106.9</v>
      </c>
      <c r="Q9">
        <v>121.3</v>
      </c>
    </row>
    <row r="10" spans="1:21">
      <c r="A10" t="s">
        <v>24</v>
      </c>
      <c r="B10" s="1">
        <f>B9/6</f>
        <v>7.3823833333333866E-2</v>
      </c>
      <c r="C10" s="1">
        <f>C9/6</f>
        <v>7.3823166666666509E-2</v>
      </c>
      <c r="D10" s="1">
        <f>D9/6</f>
        <v>-2.758166666666876E-3</v>
      </c>
      <c r="E10" s="6">
        <f>E9/6</f>
        <v>0.42155483333333343</v>
      </c>
      <c r="F10" s="6">
        <f>F9/6</f>
        <v>-0.32921750000000038</v>
      </c>
      <c r="N10" t="s">
        <v>53</v>
      </c>
      <c r="O10">
        <v>13.6</v>
      </c>
      <c r="P10">
        <v>10.9</v>
      </c>
      <c r="Q10">
        <v>30.4</v>
      </c>
    </row>
    <row r="11" spans="1:21">
      <c r="A11" t="s">
        <v>28</v>
      </c>
      <c r="B11">
        <v>113.99</v>
      </c>
      <c r="C11">
        <v>113.99</v>
      </c>
      <c r="D11">
        <v>120.48</v>
      </c>
      <c r="E11">
        <v>133.22999999999999</v>
      </c>
      <c r="F11">
        <v>117.35</v>
      </c>
    </row>
    <row r="12" spans="1:21">
      <c r="A12" t="s">
        <v>29</v>
      </c>
      <c r="B12" s="5">
        <f>B11/6</f>
        <v>18.998333333333331</v>
      </c>
      <c r="C12" s="5">
        <f>C11/6</f>
        <v>18.998333333333331</v>
      </c>
      <c r="D12">
        <f>D11/6</f>
        <v>20.080000000000002</v>
      </c>
      <c r="E12">
        <f>E11/6</f>
        <v>22.204999999999998</v>
      </c>
      <c r="F12">
        <f>F11/6</f>
        <v>19.558333333333334</v>
      </c>
      <c r="K12" t="s">
        <v>67</v>
      </c>
      <c r="L12" t="s">
        <v>2</v>
      </c>
      <c r="M12" t="s">
        <v>4</v>
      </c>
      <c r="N12" t="s">
        <v>61</v>
      </c>
      <c r="O12" t="s">
        <v>62</v>
      </c>
      <c r="P12" t="s">
        <v>28</v>
      </c>
      <c r="Q12" t="s">
        <v>29</v>
      </c>
      <c r="R12" t="s">
        <v>11</v>
      </c>
    </row>
    <row r="13" spans="1:21">
      <c r="A13" t="s">
        <v>47</v>
      </c>
      <c r="B13" s="1">
        <v>3.4330518319999999</v>
      </c>
      <c r="C13" s="1">
        <v>3.4331670320000001</v>
      </c>
      <c r="D13" s="1">
        <v>3.4676850369999999</v>
      </c>
      <c r="E13" s="1">
        <v>3.451073799</v>
      </c>
      <c r="F13" s="1">
        <v>3.4390000000000001</v>
      </c>
      <c r="L13" s="1">
        <v>-503.95197999999999</v>
      </c>
      <c r="M13" s="1">
        <f>L13/54</f>
        <v>-9.3324440740740737</v>
      </c>
      <c r="N13" s="1">
        <v>108.43559999999999</v>
      </c>
      <c r="O13" s="1">
        <f>N13/54</f>
        <v>2.0080666666666667</v>
      </c>
      <c r="P13">
        <v>1226.6199999999999</v>
      </c>
      <c r="Q13" s="1">
        <f>P13/54</f>
        <v>22.715185185185184</v>
      </c>
    </row>
    <row r="14" spans="1:21">
      <c r="A14" t="s">
        <v>48</v>
      </c>
      <c r="B14" s="1">
        <v>9.6714251329999996</v>
      </c>
      <c r="C14" s="1">
        <v>9.670898416</v>
      </c>
      <c r="D14" s="1">
        <v>10.01917413</v>
      </c>
      <c r="E14" s="1">
        <v>11.18610893</v>
      </c>
      <c r="F14" s="1">
        <v>9.9239999999999995</v>
      </c>
      <c r="K14" t="s">
        <v>63</v>
      </c>
      <c r="L14" s="1">
        <v>-494.23833000000002</v>
      </c>
      <c r="R14" s="1">
        <f>L14-53*M13</f>
        <v>0.38120592592588309</v>
      </c>
    </row>
    <row r="15" spans="1:21">
      <c r="A15" t="s">
        <v>49</v>
      </c>
      <c r="B15">
        <v>241.5</v>
      </c>
      <c r="C15" s="4">
        <v>241.6</v>
      </c>
      <c r="D15" s="4">
        <v>150.4</v>
      </c>
      <c r="E15">
        <v>176</v>
      </c>
      <c r="F15">
        <v>200.6</v>
      </c>
      <c r="K15" t="s">
        <v>64</v>
      </c>
      <c r="L15" s="1">
        <v>-512.73833999999999</v>
      </c>
      <c r="R15" s="1">
        <f>L15-55*M13</f>
        <v>0.54608407407408777</v>
      </c>
    </row>
    <row r="16" spans="1:21">
      <c r="A16" t="s">
        <v>50</v>
      </c>
      <c r="B16">
        <v>302</v>
      </c>
      <c r="C16" s="4">
        <v>302.10000000000002</v>
      </c>
      <c r="D16" s="4">
        <v>160</v>
      </c>
      <c r="E16">
        <v>134.1</v>
      </c>
      <c r="F16">
        <v>175.8</v>
      </c>
    </row>
    <row r="17" spans="1:23">
      <c r="A17" t="s">
        <v>51</v>
      </c>
      <c r="B17">
        <v>176.1</v>
      </c>
      <c r="C17" s="4">
        <v>176</v>
      </c>
      <c r="D17" s="4">
        <v>77.5</v>
      </c>
      <c r="E17">
        <v>64.7</v>
      </c>
      <c r="F17">
        <v>151.6</v>
      </c>
    </row>
    <row r="18" spans="1:23">
      <c r="A18" t="s">
        <v>52</v>
      </c>
      <c r="B18">
        <v>118.6</v>
      </c>
      <c r="C18" s="4">
        <v>118.5</v>
      </c>
      <c r="D18" s="4">
        <v>82.1</v>
      </c>
      <c r="E18">
        <v>52.2</v>
      </c>
      <c r="F18">
        <v>102.6</v>
      </c>
    </row>
    <row r="19" spans="1:23">
      <c r="A19" t="s">
        <v>53</v>
      </c>
      <c r="B19">
        <v>-25.7</v>
      </c>
      <c r="C19" s="4">
        <v>-25.7</v>
      </c>
      <c r="D19" s="4">
        <v>28.6</v>
      </c>
      <c r="E19">
        <v>27</v>
      </c>
      <c r="F19">
        <v>24.2</v>
      </c>
    </row>
    <row r="20" spans="1:23">
      <c r="A20" t="s">
        <v>54</v>
      </c>
      <c r="B20">
        <v>15.7</v>
      </c>
      <c r="C20" s="4">
        <v>15.8</v>
      </c>
      <c r="D20" s="4">
        <v>32.4</v>
      </c>
      <c r="E20">
        <v>29.4</v>
      </c>
      <c r="F20">
        <v>22.5</v>
      </c>
    </row>
    <row r="21" spans="1:23">
      <c r="J21" s="1"/>
      <c r="K21" s="3"/>
      <c r="L21" s="3"/>
      <c r="N21" s="3"/>
      <c r="O21" s="3"/>
    </row>
    <row r="22" spans="1:23">
      <c r="J22" s="1"/>
      <c r="K22" s="3"/>
      <c r="L22" s="3"/>
      <c r="N22" s="3"/>
      <c r="O22" s="3"/>
    </row>
    <row r="23" spans="1:23">
      <c r="A23" t="s">
        <v>69</v>
      </c>
      <c r="J23" s="1"/>
    </row>
    <row r="24" spans="1:23">
      <c r="A24" t="s">
        <v>71</v>
      </c>
      <c r="B24" t="s">
        <v>2</v>
      </c>
      <c r="C24" t="s">
        <v>4</v>
      </c>
      <c r="D24" t="s">
        <v>28</v>
      </c>
      <c r="E24" t="s">
        <v>29</v>
      </c>
      <c r="F24" t="s">
        <v>47</v>
      </c>
      <c r="G24" t="s">
        <v>73</v>
      </c>
      <c r="H24" t="s">
        <v>48</v>
      </c>
      <c r="I24" t="s">
        <v>72</v>
      </c>
      <c r="J24" s="1" t="s">
        <v>49</v>
      </c>
      <c r="K24" t="s">
        <v>75</v>
      </c>
      <c r="L24" t="s">
        <v>50</v>
      </c>
      <c r="M24" t="s">
        <v>51</v>
      </c>
      <c r="N24" t="s">
        <v>52</v>
      </c>
      <c r="O24" t="s">
        <v>76</v>
      </c>
      <c r="P24" t="s">
        <v>53</v>
      </c>
      <c r="Q24" t="s">
        <v>77</v>
      </c>
      <c r="R24" t="s">
        <v>54</v>
      </c>
    </row>
    <row r="25" spans="1:23">
      <c r="A25">
        <v>0</v>
      </c>
      <c r="B25" s="1">
        <v>-44.546230000000001</v>
      </c>
      <c r="C25" s="1">
        <f>B25/4</f>
        <v>-11.1365575</v>
      </c>
      <c r="D25">
        <v>80.61</v>
      </c>
      <c r="E25">
        <f>D25/4</f>
        <v>20.1525</v>
      </c>
      <c r="F25">
        <v>2.8249989040000001</v>
      </c>
      <c r="G25">
        <v>5.8262574789999997</v>
      </c>
      <c r="H25">
        <v>4.8977128299999997</v>
      </c>
      <c r="I25">
        <v>0</v>
      </c>
      <c r="J25" s="4">
        <v>265.7</v>
      </c>
      <c r="K25" s="4">
        <v>233.7</v>
      </c>
      <c r="L25" s="4">
        <v>369.8</v>
      </c>
      <c r="M25" s="4">
        <v>54.5</v>
      </c>
      <c r="N25" s="4">
        <v>28.9</v>
      </c>
      <c r="O25" s="4">
        <v>140.1</v>
      </c>
      <c r="P25" s="4">
        <v>87.2</v>
      </c>
      <c r="Q25" s="4">
        <v>149.6</v>
      </c>
      <c r="R25" s="4">
        <v>111.2</v>
      </c>
    </row>
    <row r="26" spans="1:23">
      <c r="A26">
        <v>0.5</v>
      </c>
      <c r="B26" s="1">
        <v>-42.240972999999997</v>
      </c>
      <c r="C26" s="1">
        <f>B26/4</f>
        <v>-10.560243249999999</v>
      </c>
      <c r="D26">
        <v>81.91</v>
      </c>
      <c r="E26">
        <f>D26/4</f>
        <v>20.477499999999999</v>
      </c>
      <c r="F26">
        <v>2.851778565</v>
      </c>
      <c r="G26">
        <v>5.83433885</v>
      </c>
      <c r="H26">
        <v>4.9223335410000004</v>
      </c>
      <c r="I26">
        <v>0</v>
      </c>
      <c r="J26" s="4">
        <v>263.39999999999998</v>
      </c>
      <c r="K26" s="4">
        <v>230</v>
      </c>
      <c r="L26" s="4">
        <v>360.8</v>
      </c>
      <c r="M26" s="4">
        <v>55.2</v>
      </c>
      <c r="N26" s="4">
        <v>25.5</v>
      </c>
      <c r="O26" s="4">
        <v>139.1</v>
      </c>
      <c r="P26" s="4">
        <v>79.8</v>
      </c>
      <c r="Q26" s="4">
        <v>147.19999999999999</v>
      </c>
      <c r="R26" s="4">
        <v>93.6</v>
      </c>
    </row>
    <row r="27" spans="1:23">
      <c r="A27">
        <v>1</v>
      </c>
      <c r="B27" s="1">
        <v>-39.997312000000001</v>
      </c>
      <c r="C27" s="1">
        <f>B27/4</f>
        <v>-9.9993280000000002</v>
      </c>
      <c r="D27">
        <v>83.16</v>
      </c>
      <c r="E27">
        <f>D27/4</f>
        <v>20.79</v>
      </c>
      <c r="F27">
        <v>2.8765676870000001</v>
      </c>
      <c r="G27">
        <v>5.8448714700000002</v>
      </c>
      <c r="H27">
        <v>4.9458797890000001</v>
      </c>
      <c r="I27">
        <v>0</v>
      </c>
      <c r="J27" s="4">
        <v>274.5</v>
      </c>
      <c r="K27" s="4">
        <v>222.6</v>
      </c>
      <c r="L27" s="4">
        <v>349.2</v>
      </c>
      <c r="M27" s="4">
        <v>57.6</v>
      </c>
      <c r="N27" s="4">
        <v>21.1</v>
      </c>
      <c r="O27" s="4">
        <v>137.69999999999999</v>
      </c>
      <c r="P27" s="4">
        <v>78.3</v>
      </c>
      <c r="Q27" s="4">
        <v>143.6</v>
      </c>
      <c r="R27" s="4">
        <v>71.7</v>
      </c>
    </row>
    <row r="28" spans="1:23">
      <c r="A28">
        <v>1.5</v>
      </c>
      <c r="B28" s="1">
        <v>-37.807029999999997</v>
      </c>
      <c r="C28" s="1">
        <f>B28/4</f>
        <v>-9.4517574999999994</v>
      </c>
      <c r="D28">
        <v>84.4</v>
      </c>
      <c r="E28">
        <f>D28/4</f>
        <v>21.1</v>
      </c>
      <c r="F28">
        <v>2.8998749460000002</v>
      </c>
      <c r="G28">
        <v>5.8544681550000002</v>
      </c>
      <c r="H28">
        <v>4.9714419059999999</v>
      </c>
      <c r="I28">
        <v>-8.9999999999999998E-4</v>
      </c>
      <c r="J28" s="4"/>
      <c r="K28" s="4"/>
      <c r="L28" s="4"/>
      <c r="M28" s="4"/>
      <c r="N28" s="4"/>
      <c r="O28" s="4"/>
      <c r="P28" s="4"/>
      <c r="Q28" s="4"/>
      <c r="R28" s="4"/>
    </row>
    <row r="29" spans="1:23">
      <c r="A29">
        <v>2</v>
      </c>
      <c r="B29" s="1">
        <v>-36.292214999999999</v>
      </c>
      <c r="C29" s="1">
        <f>B29/4</f>
        <v>-9.0730537499999997</v>
      </c>
      <c r="D29">
        <v>105.83</v>
      </c>
      <c r="E29">
        <f>D29/4</f>
        <v>26.4575</v>
      </c>
      <c r="F29">
        <v>3.3053871789999998</v>
      </c>
      <c r="G29">
        <v>5.7996177810000002</v>
      </c>
      <c r="H29">
        <v>5.5205762360000001</v>
      </c>
      <c r="I29">
        <v>-9.6903000000000006</v>
      </c>
      <c r="J29" s="4"/>
      <c r="K29" s="4"/>
      <c r="L29" s="4"/>
      <c r="M29" s="4"/>
      <c r="N29" s="4"/>
      <c r="O29" s="4"/>
      <c r="P29" s="4"/>
      <c r="Q29" s="4"/>
      <c r="R29" s="4"/>
    </row>
    <row r="30" spans="1:23">
      <c r="B30" s="1"/>
      <c r="C30" s="1"/>
      <c r="K30" s="1"/>
      <c r="L30" s="1"/>
      <c r="M30" s="1"/>
    </row>
    <row r="31" spans="1:23">
      <c r="A31" t="s">
        <v>74</v>
      </c>
      <c r="B31" s="1"/>
      <c r="C31" s="1"/>
      <c r="M31" t="s">
        <v>101</v>
      </c>
    </row>
    <row r="32" spans="1:23">
      <c r="A32" t="s">
        <v>71</v>
      </c>
      <c r="B32" t="s">
        <v>2</v>
      </c>
      <c r="C32" t="s">
        <v>4</v>
      </c>
      <c r="D32" t="s">
        <v>28</v>
      </c>
      <c r="E32" t="s">
        <v>29</v>
      </c>
      <c r="F32" t="s">
        <v>47</v>
      </c>
      <c r="G32" t="s">
        <v>72</v>
      </c>
      <c r="H32" t="s">
        <v>49</v>
      </c>
      <c r="I32" t="s">
        <v>51</v>
      </c>
      <c r="J32" t="s">
        <v>53</v>
      </c>
      <c r="K32" s="1" t="s">
        <v>78</v>
      </c>
      <c r="M32" t="s">
        <v>71</v>
      </c>
      <c r="N32" t="s">
        <v>2</v>
      </c>
      <c r="O32" t="s">
        <v>4</v>
      </c>
      <c r="P32" t="s">
        <v>28</v>
      </c>
      <c r="Q32" t="s">
        <v>29</v>
      </c>
      <c r="R32" t="s">
        <v>47</v>
      </c>
      <c r="S32" t="s">
        <v>72</v>
      </c>
      <c r="T32" t="s">
        <v>49</v>
      </c>
      <c r="U32" t="s">
        <v>51</v>
      </c>
      <c r="V32" t="s">
        <v>53</v>
      </c>
      <c r="W32" s="1" t="s">
        <v>78</v>
      </c>
    </row>
    <row r="33" spans="1:23">
      <c r="A33">
        <v>0</v>
      </c>
      <c r="B33" s="3">
        <v>-21.761444999999998</v>
      </c>
      <c r="C33" s="3">
        <f>B33/2</f>
        <v>-10.880722499999999</v>
      </c>
      <c r="D33">
        <v>40.43</v>
      </c>
      <c r="E33">
        <f>D33/2</f>
        <v>20.215</v>
      </c>
      <c r="F33">
        <v>3.4320268129999998</v>
      </c>
      <c r="G33">
        <v>0</v>
      </c>
      <c r="H33">
        <v>97.5</v>
      </c>
      <c r="I33">
        <v>148.1</v>
      </c>
      <c r="J33">
        <v>43.9</v>
      </c>
      <c r="K33">
        <f>(H33-I33)/2</f>
        <v>-25.299999999999997</v>
      </c>
      <c r="M33">
        <v>0</v>
      </c>
      <c r="N33" s="8">
        <v>-21.761444999999998</v>
      </c>
      <c r="O33" s="8">
        <f t="shared" ref="O33:O38" si="0">N33/2</f>
        <v>-10.880722499999999</v>
      </c>
      <c r="P33">
        <v>40.43</v>
      </c>
      <c r="Q33">
        <f t="shared" ref="Q33:Q38" si="1">P33/2</f>
        <v>20.215</v>
      </c>
      <c r="R33">
        <v>3.4320268129999998</v>
      </c>
      <c r="S33">
        <v>0</v>
      </c>
      <c r="T33">
        <v>97.5</v>
      </c>
      <c r="U33">
        <v>148.1</v>
      </c>
      <c r="V33">
        <v>43.9</v>
      </c>
      <c r="W33">
        <f t="shared" ref="W33:W38" si="2">(T33-U33)/2</f>
        <v>-25.299999999999997</v>
      </c>
    </row>
    <row r="34" spans="1:23">
      <c r="A34">
        <v>0.5</v>
      </c>
      <c r="B34" s="3">
        <v>-20.670831</v>
      </c>
      <c r="C34" s="3">
        <f>B34/2</f>
        <v>-10.3354155</v>
      </c>
      <c r="D34">
        <v>41.06</v>
      </c>
      <c r="E34">
        <f>D34/2</f>
        <v>20.53</v>
      </c>
      <c r="F34">
        <v>3.449960286</v>
      </c>
      <c r="G34">
        <v>0</v>
      </c>
      <c r="H34">
        <v>103.6</v>
      </c>
      <c r="I34">
        <v>144.9</v>
      </c>
      <c r="J34">
        <v>47.3</v>
      </c>
      <c r="K34">
        <f>(H34-I34)/2</f>
        <v>-20.650000000000006</v>
      </c>
      <c r="M34">
        <v>1</v>
      </c>
      <c r="N34" s="8">
        <v>-19.633289000000001</v>
      </c>
      <c r="O34" s="8">
        <f t="shared" si="0"/>
        <v>-9.8166445000000007</v>
      </c>
      <c r="P34">
        <v>42.29</v>
      </c>
      <c r="Q34">
        <f t="shared" si="1"/>
        <v>21.145</v>
      </c>
      <c r="R34">
        <f>1.00984915996969 *3.45</f>
        <v>3.4839796018954305</v>
      </c>
      <c r="S34">
        <v>1.7741</v>
      </c>
      <c r="T34">
        <v>87.9</v>
      </c>
      <c r="U34">
        <v>121.3</v>
      </c>
      <c r="V34">
        <v>30.4</v>
      </c>
      <c r="W34">
        <f t="shared" si="2"/>
        <v>-16.699999999999996</v>
      </c>
    </row>
    <row r="35" spans="1:23">
      <c r="A35">
        <v>1</v>
      </c>
      <c r="B35" s="3">
        <v>-19.607286999999999</v>
      </c>
      <c r="C35" s="3">
        <f>B35/2</f>
        <v>-9.8036434999999997</v>
      </c>
      <c r="D35">
        <v>41.69</v>
      </c>
      <c r="E35">
        <f>D35/2</f>
        <v>20.844999999999999</v>
      </c>
      <c r="F35">
        <v>3.4675181980000001</v>
      </c>
      <c r="G35">
        <v>0</v>
      </c>
      <c r="H35">
        <v>102.8</v>
      </c>
      <c r="I35">
        <v>141.19999999999999</v>
      </c>
      <c r="J35">
        <v>48</v>
      </c>
      <c r="K35">
        <f>(H35-I35)/2</f>
        <v>-19.199999999999996</v>
      </c>
      <c r="M35">
        <v>1.5</v>
      </c>
      <c r="N35" s="8">
        <v>-18.665965</v>
      </c>
      <c r="O35" s="8">
        <f t="shared" si="0"/>
        <v>-9.3329825</v>
      </c>
      <c r="P35">
        <v>45.5</v>
      </c>
      <c r="Q35">
        <f t="shared" si="1"/>
        <v>22.75</v>
      </c>
      <c r="R35">
        <f>1.03479643583325*3.45</f>
        <v>3.5700477036247125</v>
      </c>
      <c r="S35">
        <v>4.0853999999999999</v>
      </c>
      <c r="T35">
        <v>17</v>
      </c>
      <c r="U35">
        <v>102.1</v>
      </c>
      <c r="V35">
        <v>13.6</v>
      </c>
      <c r="W35">
        <f t="shared" si="2"/>
        <v>-42.55</v>
      </c>
    </row>
    <row r="36" spans="1:23">
      <c r="A36">
        <v>1.5</v>
      </c>
      <c r="B36" s="3">
        <v>-18.570429000000001</v>
      </c>
      <c r="C36" s="3">
        <f>B36/2</f>
        <v>-9.2852145000000004</v>
      </c>
      <c r="D36">
        <v>42.36</v>
      </c>
      <c r="E36">
        <f>D36/2</f>
        <v>21.18</v>
      </c>
      <c r="F36">
        <v>3.4859712630000002</v>
      </c>
      <c r="G36">
        <v>0</v>
      </c>
      <c r="H36">
        <v>94.4</v>
      </c>
      <c r="I36">
        <v>135.19999999999999</v>
      </c>
      <c r="J36">
        <v>47.6</v>
      </c>
      <c r="K36">
        <f>(H36-I36)/2</f>
        <v>-20.399999999999991</v>
      </c>
      <c r="M36">
        <v>2.5</v>
      </c>
      <c r="N36" s="8">
        <v>-17.182741</v>
      </c>
      <c r="O36" s="8">
        <f t="shared" si="0"/>
        <v>-8.5913705</v>
      </c>
      <c r="P36">
        <v>48.65</v>
      </c>
      <c r="Q36">
        <f t="shared" si="1"/>
        <v>24.324999999999999</v>
      </c>
      <c r="R36">
        <v>3.6504627200000002</v>
      </c>
      <c r="S36">
        <v>4.4230999999999998</v>
      </c>
      <c r="T36">
        <v>27.9</v>
      </c>
      <c r="U36">
        <v>106.9</v>
      </c>
      <c r="V36">
        <v>10.9</v>
      </c>
      <c r="W36">
        <f t="shared" si="2"/>
        <v>-39.5</v>
      </c>
    </row>
    <row r="37" spans="1:23">
      <c r="A37">
        <v>2</v>
      </c>
      <c r="B37" s="3">
        <v>-17.562313</v>
      </c>
      <c r="C37" s="3">
        <f>B37/2</f>
        <v>-8.7811564999999998</v>
      </c>
      <c r="D37">
        <v>43.05</v>
      </c>
      <c r="E37">
        <f>D37/2</f>
        <v>21.524999999999999</v>
      </c>
      <c r="F37">
        <v>3.504809217</v>
      </c>
      <c r="G37">
        <v>1E-4</v>
      </c>
      <c r="H37">
        <v>55</v>
      </c>
      <c r="I37">
        <v>193.2</v>
      </c>
      <c r="J37">
        <v>11.6</v>
      </c>
      <c r="K37">
        <f>(H37-I37)/2</f>
        <v>-69.099999999999994</v>
      </c>
      <c r="M37">
        <v>3</v>
      </c>
      <c r="N37" s="8">
        <v>-16.543267</v>
      </c>
      <c r="O37" s="8">
        <f t="shared" si="0"/>
        <v>-8.2716335000000001</v>
      </c>
      <c r="P37">
        <v>49.71</v>
      </c>
      <c r="Q37">
        <f t="shared" si="1"/>
        <v>24.855</v>
      </c>
      <c r="R37">
        <v>3.676916426</v>
      </c>
      <c r="S37">
        <v>4.4370000000000003</v>
      </c>
      <c r="T37">
        <v>19.8</v>
      </c>
      <c r="U37">
        <v>100.1</v>
      </c>
      <c r="V37">
        <v>35.799999999999997</v>
      </c>
      <c r="W37">
        <f t="shared" si="2"/>
        <v>-40.15</v>
      </c>
    </row>
    <row r="38" spans="1:23">
      <c r="A38">
        <v>2.5</v>
      </c>
      <c r="M38">
        <v>4</v>
      </c>
      <c r="N38" s="8">
        <v>-16.538274000000001</v>
      </c>
      <c r="O38" s="8">
        <f t="shared" si="0"/>
        <v>-8.2691370000000006</v>
      </c>
      <c r="P38">
        <v>67.989999999999995</v>
      </c>
      <c r="Q38">
        <f t="shared" si="1"/>
        <v>33.994999999999997</v>
      </c>
      <c r="R38">
        <v>3.676916426</v>
      </c>
      <c r="S38">
        <v>-7.0831999999999997</v>
      </c>
      <c r="T38">
        <v>51.2</v>
      </c>
      <c r="U38">
        <v>28.2</v>
      </c>
      <c r="V38">
        <v>17.899999999999999</v>
      </c>
      <c r="W38">
        <f t="shared" si="2"/>
        <v>11.500000000000002</v>
      </c>
    </row>
    <row r="39" spans="1:23">
      <c r="A39" t="s">
        <v>87</v>
      </c>
    </row>
    <row r="40" spans="1:23">
      <c r="A40">
        <v>0</v>
      </c>
    </row>
    <row r="41" spans="1:23">
      <c r="A41" t="s">
        <v>70</v>
      </c>
    </row>
    <row r="43" spans="1:23">
      <c r="A43" t="s">
        <v>79</v>
      </c>
    </row>
    <row r="44" spans="1:23">
      <c r="A44" t="s">
        <v>71</v>
      </c>
      <c r="B44" t="s">
        <v>2</v>
      </c>
      <c r="C44" t="s">
        <v>4</v>
      </c>
      <c r="D44" t="s">
        <v>28</v>
      </c>
      <c r="E44" t="s">
        <v>29</v>
      </c>
      <c r="F44" t="s">
        <v>47</v>
      </c>
      <c r="G44" t="s">
        <v>48</v>
      </c>
      <c r="H44" t="s">
        <v>72</v>
      </c>
      <c r="I44" t="s">
        <v>85</v>
      </c>
      <c r="J44" s="1" t="s">
        <v>49</v>
      </c>
      <c r="K44" t="s">
        <v>50</v>
      </c>
      <c r="L44" t="s">
        <v>51</v>
      </c>
      <c r="M44" t="s">
        <v>52</v>
      </c>
      <c r="N44" t="s">
        <v>53</v>
      </c>
      <c r="O44" t="s">
        <v>54</v>
      </c>
    </row>
    <row r="45" spans="1:23">
      <c r="A45">
        <v>0</v>
      </c>
      <c r="B45" s="1">
        <v>-66.055661000000001</v>
      </c>
      <c r="C45" s="1">
        <f t="shared" ref="C45:C54" si="3">B45/6</f>
        <v>-11.009276833333333</v>
      </c>
      <c r="D45">
        <v>113.98</v>
      </c>
      <c r="E45" s="1">
        <f t="shared" ref="E45:E54" si="4">D45/6</f>
        <v>18.996666666666666</v>
      </c>
      <c r="F45" s="1">
        <v>3.4325604420000002</v>
      </c>
      <c r="G45" s="1">
        <v>9.6739033820000007</v>
      </c>
      <c r="H45">
        <v>0</v>
      </c>
      <c r="I45" s="1">
        <f t="shared" ref="I45:I54" si="5">H45/6</f>
        <v>0</v>
      </c>
      <c r="J45" s="4">
        <v>242.1</v>
      </c>
      <c r="K45" s="4">
        <v>301.7</v>
      </c>
      <c r="L45" s="4">
        <v>175.7</v>
      </c>
      <c r="M45" s="4">
        <v>118.7</v>
      </c>
      <c r="N45" s="4">
        <v>-28.3</v>
      </c>
      <c r="O45" s="4">
        <v>13.8</v>
      </c>
      <c r="P45" t="s">
        <v>80</v>
      </c>
      <c r="R45" t="s">
        <v>94</v>
      </c>
    </row>
    <row r="46" spans="1:23">
      <c r="A46">
        <v>0.5</v>
      </c>
      <c r="B46" s="1">
        <v>-63.817537000000002</v>
      </c>
      <c r="C46" s="1">
        <f t="shared" si="3"/>
        <v>-10.636256166666668</v>
      </c>
      <c r="D46">
        <v>114.92</v>
      </c>
      <c r="E46" s="1">
        <f t="shared" si="4"/>
        <v>19.153333333333332</v>
      </c>
      <c r="F46" s="1">
        <v>3.4417565940000001</v>
      </c>
      <c r="G46" s="1">
        <v>9.7014061720000004</v>
      </c>
      <c r="H46">
        <v>-1.5800000000000002E-2</v>
      </c>
      <c r="I46" s="1">
        <f t="shared" si="5"/>
        <v>-2.6333333333333334E-3</v>
      </c>
      <c r="J46" s="4">
        <v>223.3</v>
      </c>
      <c r="K46" s="4">
        <v>297.5</v>
      </c>
      <c r="L46" s="4">
        <v>180.7</v>
      </c>
      <c r="M46" s="4">
        <v>119.4</v>
      </c>
      <c r="N46" s="4">
        <v>-38</v>
      </c>
      <c r="O46" s="4">
        <v>46.9</v>
      </c>
      <c r="R46" t="s">
        <v>95</v>
      </c>
    </row>
    <row r="47" spans="1:23">
      <c r="A47">
        <v>1</v>
      </c>
      <c r="B47" s="1">
        <v>-61.628852000000002</v>
      </c>
      <c r="C47" s="1">
        <f t="shared" si="3"/>
        <v>-10.271475333333333</v>
      </c>
      <c r="D47">
        <v>115.87</v>
      </c>
      <c r="E47" s="1">
        <f t="shared" si="4"/>
        <v>19.311666666666667</v>
      </c>
      <c r="F47" s="1">
        <v>3.4508744889999998</v>
      </c>
      <c r="G47" s="1">
        <v>9.7339455370000003</v>
      </c>
      <c r="H47">
        <v>-2.8999999999999998E-3</v>
      </c>
      <c r="I47" s="1">
        <f t="shared" si="5"/>
        <v>-4.8333333333333328E-4</v>
      </c>
      <c r="J47" s="4">
        <v>215.1</v>
      </c>
      <c r="K47" s="4">
        <v>289</v>
      </c>
      <c r="L47" s="4">
        <v>182.2</v>
      </c>
      <c r="M47" s="4">
        <v>121.9</v>
      </c>
      <c r="N47" s="4">
        <v>-44</v>
      </c>
      <c r="O47" s="4">
        <v>-84</v>
      </c>
      <c r="R47" t="s">
        <v>96</v>
      </c>
    </row>
    <row r="48" spans="1:23">
      <c r="A48">
        <v>1.5</v>
      </c>
      <c r="B48" s="1">
        <v>-59.489975999999999</v>
      </c>
      <c r="C48" s="1">
        <f t="shared" si="3"/>
        <v>-9.9149960000000004</v>
      </c>
      <c r="D48">
        <v>116.8</v>
      </c>
      <c r="E48" s="1">
        <f t="shared" si="4"/>
        <v>19.466666666666665</v>
      </c>
      <c r="F48" s="1">
        <v>3.4560646770000001</v>
      </c>
      <c r="G48" s="1">
        <v>9.7854091000000007</v>
      </c>
      <c r="H48">
        <v>2.9999999999999997E-4</v>
      </c>
      <c r="I48" s="1">
        <f t="shared" si="5"/>
        <v>4.9999999999999996E-5</v>
      </c>
      <c r="J48" s="4">
        <v>215.2</v>
      </c>
      <c r="K48" s="4">
        <v>282.5</v>
      </c>
      <c r="L48" s="4">
        <v>171.2</v>
      </c>
      <c r="M48" s="4">
        <v>124.4</v>
      </c>
      <c r="N48" s="4">
        <v>-37.1</v>
      </c>
      <c r="O48" s="4">
        <v>-27.8</v>
      </c>
      <c r="R48" t="s">
        <v>97</v>
      </c>
    </row>
    <row r="49" spans="1:16">
      <c r="A49" t="s">
        <v>70</v>
      </c>
      <c r="B49" s="1">
        <v>-66.008960999999999</v>
      </c>
      <c r="C49" s="1">
        <f t="shared" si="3"/>
        <v>-11.0014935</v>
      </c>
      <c r="D49">
        <v>114.16</v>
      </c>
      <c r="E49" s="1">
        <f t="shared" si="4"/>
        <v>19.026666666666667</v>
      </c>
      <c r="F49" s="1">
        <v>3.4297412970000001</v>
      </c>
      <c r="G49" s="1">
        <v>9.7050539560000004</v>
      </c>
      <c r="H49">
        <v>1.7659</v>
      </c>
      <c r="I49" s="1">
        <f t="shared" si="5"/>
        <v>0.29431666666666667</v>
      </c>
      <c r="J49" s="4">
        <v>227.7</v>
      </c>
      <c r="K49" s="4">
        <v>227.1</v>
      </c>
      <c r="L49" s="4">
        <v>151.80000000000001</v>
      </c>
      <c r="M49" s="4">
        <v>144.30000000000001</v>
      </c>
      <c r="N49" s="4">
        <v>-58.5</v>
      </c>
      <c r="O49" s="4">
        <v>-51.5</v>
      </c>
      <c r="P49" t="s">
        <v>81</v>
      </c>
    </row>
    <row r="50" spans="1:16">
      <c r="A50" t="s">
        <v>88</v>
      </c>
      <c r="B50" s="1">
        <v>-63.848004000000003</v>
      </c>
      <c r="C50" s="1">
        <f t="shared" si="3"/>
        <v>-10.641334000000001</v>
      </c>
      <c r="D50">
        <v>116</v>
      </c>
      <c r="E50" s="1">
        <f t="shared" si="4"/>
        <v>19.333333333333332</v>
      </c>
      <c r="F50" s="1">
        <v>3.4145852300000001</v>
      </c>
      <c r="G50" s="1">
        <v>9.9489980340000006</v>
      </c>
      <c r="H50">
        <v>4.5183999999999997</v>
      </c>
      <c r="I50" s="1">
        <f t="shared" si="5"/>
        <v>0.75306666666666666</v>
      </c>
      <c r="J50" s="4">
        <v>249.6</v>
      </c>
      <c r="K50" s="4">
        <v>231.4</v>
      </c>
      <c r="L50" s="4">
        <v>123.8</v>
      </c>
      <c r="M50" s="4">
        <v>107</v>
      </c>
      <c r="N50" s="4">
        <v>38.299999999999997</v>
      </c>
      <c r="O50" s="4">
        <v>12.6</v>
      </c>
    </row>
    <row r="51" spans="1:16">
      <c r="A51" t="s">
        <v>89</v>
      </c>
      <c r="B51" s="1">
        <v>-61.785471999999999</v>
      </c>
      <c r="C51" s="1">
        <f t="shared" si="3"/>
        <v>-10.297578666666666</v>
      </c>
      <c r="D51">
        <v>117.6</v>
      </c>
      <c r="E51" s="1">
        <f t="shared" si="4"/>
        <v>19.599999999999998</v>
      </c>
      <c r="F51" s="1">
        <v>3.4237970870000001</v>
      </c>
      <c r="G51" s="1">
        <v>10.03179825</v>
      </c>
      <c r="H51">
        <v>5.3677000000000001</v>
      </c>
      <c r="I51" s="1">
        <f t="shared" si="5"/>
        <v>0.89461666666666673</v>
      </c>
      <c r="J51" s="4">
        <v>232.1</v>
      </c>
      <c r="K51" s="4">
        <v>244</v>
      </c>
      <c r="L51" s="4">
        <v>110.3</v>
      </c>
      <c r="M51" s="4">
        <v>108.7</v>
      </c>
      <c r="N51" s="4">
        <v>33.4</v>
      </c>
      <c r="O51" s="4">
        <v>81.7</v>
      </c>
    </row>
    <row r="52" spans="1:16">
      <c r="A52" t="s">
        <v>82</v>
      </c>
      <c r="B52" s="1">
        <v>-66.013566999999995</v>
      </c>
      <c r="C52" s="1">
        <f t="shared" si="3"/>
        <v>-11.002261166666665</v>
      </c>
      <c r="D52">
        <v>114.41</v>
      </c>
      <c r="E52" s="1">
        <f t="shared" si="4"/>
        <v>19.068333333333332</v>
      </c>
      <c r="F52" s="1">
        <v>3.43404475</v>
      </c>
      <c r="G52" s="1">
        <v>9.701712509</v>
      </c>
      <c r="H52">
        <v>1.3345</v>
      </c>
      <c r="I52" s="1">
        <f t="shared" si="5"/>
        <v>0.22241666666666668</v>
      </c>
      <c r="J52" s="4">
        <v>225</v>
      </c>
      <c r="K52" s="4">
        <v>292</v>
      </c>
      <c r="L52" s="4">
        <v>180</v>
      </c>
      <c r="M52" s="4">
        <v>118</v>
      </c>
      <c r="N52" s="4">
        <v>-27</v>
      </c>
      <c r="O52" s="4">
        <v>10</v>
      </c>
      <c r="P52" t="s">
        <v>83</v>
      </c>
    </row>
    <row r="53" spans="1:16">
      <c r="A53" t="s">
        <v>84</v>
      </c>
      <c r="B53" s="1">
        <v>-66.014059000000003</v>
      </c>
      <c r="C53" s="1">
        <f t="shared" si="3"/>
        <v>-11.002343166666668</v>
      </c>
      <c r="D53">
        <v>114.4</v>
      </c>
      <c r="E53" s="1">
        <f t="shared" si="4"/>
        <v>19.066666666666666</v>
      </c>
      <c r="F53" s="1">
        <v>3.4251755519999998</v>
      </c>
      <c r="G53" s="1">
        <v>9.7513706209999995</v>
      </c>
      <c r="H53">
        <v>1.7075</v>
      </c>
      <c r="I53" s="1">
        <f t="shared" si="5"/>
        <v>0.28458333333333335</v>
      </c>
      <c r="J53" s="4">
        <v>240</v>
      </c>
      <c r="K53" s="4">
        <v>218</v>
      </c>
      <c r="L53" s="4">
        <v>147</v>
      </c>
      <c r="M53" s="4">
        <v>128</v>
      </c>
      <c r="N53" s="4">
        <v>-20</v>
      </c>
      <c r="O53" s="4">
        <v>11</v>
      </c>
      <c r="P53" t="s">
        <v>86</v>
      </c>
    </row>
    <row r="54" spans="1:16">
      <c r="A54" t="s">
        <v>98</v>
      </c>
      <c r="B54" s="3">
        <v>-66.055660000000003</v>
      </c>
      <c r="C54" s="1">
        <f t="shared" si="3"/>
        <v>-11.009276666666667</v>
      </c>
      <c r="D54">
        <v>113.98</v>
      </c>
      <c r="E54" s="1">
        <f t="shared" si="4"/>
        <v>18.996666666666666</v>
      </c>
      <c r="F54" s="1">
        <v>3.432488363</v>
      </c>
      <c r="G54" s="1">
        <v>9.6739119089999992</v>
      </c>
      <c r="H54" s="1">
        <v>0</v>
      </c>
      <c r="I54" s="1">
        <f t="shared" si="5"/>
        <v>0</v>
      </c>
      <c r="J54" s="4">
        <v>242</v>
      </c>
      <c r="K54" s="4">
        <v>302</v>
      </c>
      <c r="L54" s="4">
        <v>176</v>
      </c>
      <c r="M54" s="4">
        <v>119</v>
      </c>
      <c r="N54" s="4">
        <v>-28</v>
      </c>
      <c r="O54" s="4">
        <v>14</v>
      </c>
      <c r="P54" t="s">
        <v>99</v>
      </c>
    </row>
    <row r="56" spans="1:16">
      <c r="A56" t="s">
        <v>100</v>
      </c>
      <c r="B56" t="s">
        <v>2</v>
      </c>
      <c r="C56" t="s">
        <v>4</v>
      </c>
      <c r="D56" t="s">
        <v>28</v>
      </c>
      <c r="E56" t="s">
        <v>29</v>
      </c>
      <c r="F56" t="s">
        <v>47</v>
      </c>
      <c r="G56" t="s">
        <v>48</v>
      </c>
      <c r="H56" t="s">
        <v>72</v>
      </c>
      <c r="I56" t="s">
        <v>85</v>
      </c>
      <c r="J56" s="1" t="s">
        <v>49</v>
      </c>
      <c r="K56" t="s">
        <v>50</v>
      </c>
      <c r="L56" t="s">
        <v>51</v>
      </c>
      <c r="M56" t="s">
        <v>52</v>
      </c>
      <c r="N56" t="s">
        <v>53</v>
      </c>
      <c r="O56" t="s">
        <v>54</v>
      </c>
    </row>
    <row r="57" spans="1:16">
      <c r="A57" t="s">
        <v>46</v>
      </c>
      <c r="B57" s="1">
        <v>-33.119174999999998</v>
      </c>
      <c r="C57" s="1">
        <f>B57/3</f>
        <v>-11.039724999999999</v>
      </c>
      <c r="D57">
        <v>55.18</v>
      </c>
      <c r="E57" s="1">
        <f>D57/3</f>
        <v>18.393333333333334</v>
      </c>
      <c r="F57" s="1">
        <v>4.8116834199999996</v>
      </c>
      <c r="G57" s="1">
        <v>2.7522204929999998</v>
      </c>
      <c r="H57">
        <v>0</v>
      </c>
      <c r="I57">
        <v>0</v>
      </c>
    </row>
    <row r="58" spans="1:16">
      <c r="A58">
        <v>0</v>
      </c>
      <c r="B58" s="1">
        <v>-33.115011000000003</v>
      </c>
      <c r="C58" s="1">
        <f>B58/3</f>
        <v>-11.038337</v>
      </c>
      <c r="D58">
        <v>55.13</v>
      </c>
      <c r="E58" s="1">
        <f>D58/3</f>
        <v>18.376666666666669</v>
      </c>
      <c r="F58" s="1">
        <v>4.8155714529999996</v>
      </c>
      <c r="G58" s="1">
        <v>2.7451400860000001</v>
      </c>
      <c r="H58">
        <v>0</v>
      </c>
      <c r="I58">
        <v>0</v>
      </c>
      <c r="J58" s="1">
        <v>301.89999999999998</v>
      </c>
      <c r="K58" s="1">
        <v>250.6</v>
      </c>
      <c r="L58" s="1">
        <v>133.80000000000001</v>
      </c>
      <c r="M58" s="1">
        <v>120</v>
      </c>
      <c r="N58" s="1">
        <v>64.5</v>
      </c>
      <c r="O58" s="1">
        <v>82.9</v>
      </c>
    </row>
    <row r="59" spans="1:16">
      <c r="A59">
        <v>0.5</v>
      </c>
      <c r="B59" s="1">
        <v>-31.959613999999998</v>
      </c>
      <c r="C59" s="1">
        <f>B59/3</f>
        <v>-10.653204666666666</v>
      </c>
      <c r="D59">
        <v>55.77</v>
      </c>
      <c r="E59" s="1">
        <f>D59/3</f>
        <v>18.59</v>
      </c>
      <c r="F59" s="1">
        <v>4.8194276250000003</v>
      </c>
      <c r="G59" s="1">
        <v>2.7725176569999999</v>
      </c>
      <c r="H59">
        <v>0</v>
      </c>
      <c r="I59">
        <v>0</v>
      </c>
    </row>
    <row r="60" spans="1:16">
      <c r="A60">
        <v>1</v>
      </c>
      <c r="B60" s="1">
        <v>-30.817295000000001</v>
      </c>
      <c r="C60" s="1">
        <f>B60/3</f>
        <v>-10.272431666666668</v>
      </c>
      <c r="D60">
        <v>56.33</v>
      </c>
      <c r="E60" s="1">
        <f>D60/3</f>
        <v>18.776666666666667</v>
      </c>
      <c r="F60" s="1">
        <v>4.8284954979999997</v>
      </c>
      <c r="G60" s="1">
        <v>2.7898205030000001</v>
      </c>
      <c r="H60">
        <v>0</v>
      </c>
      <c r="I60">
        <v>0</v>
      </c>
    </row>
    <row r="61" spans="1:16">
      <c r="A61">
        <v>1.5</v>
      </c>
      <c r="B61" s="1">
        <v>-29.699041999999999</v>
      </c>
      <c r="C61" s="1">
        <f>B61/3</f>
        <v>-9.8996806666666668</v>
      </c>
      <c r="D61">
        <v>56.89</v>
      </c>
      <c r="E61" s="1">
        <f>D61/3</f>
        <v>18.963333333333335</v>
      </c>
      <c r="F61" s="1">
        <v>4.83739572</v>
      </c>
      <c r="G61" s="1">
        <v>2.8073620770000001</v>
      </c>
      <c r="H61" s="1">
        <v>0</v>
      </c>
      <c r="I6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u2mo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2015-10-12T14:10:33Z</dcterms:created>
  <dcterms:modified xsi:type="dcterms:W3CDTF">2017-05-23T20:12:19Z</dcterms:modified>
</cp:coreProperties>
</file>