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beelbw/Documents/UZr/"/>
    </mc:Choice>
  </mc:AlternateContent>
  <xr:revisionPtr revIDLastSave="0" documentId="13_ncr:1_{D6212ECB-99C5-334B-B251-C60BEE3D550C}" xr6:coauthVersionLast="36" xr6:coauthVersionMax="38" xr10:uidLastSave="{00000000-0000-0000-0000-000000000000}"/>
  <bookViews>
    <workbookView xWindow="3060" yWindow="2760" windowWidth="24780" windowHeight="20900" tabRatio="500" activeTab="3" xr2:uid="{00000000-000D-0000-FFFF-FFFF00000000}"/>
  </bookViews>
  <sheets>
    <sheet name="alpha U" sheetId="1" r:id="rId1"/>
    <sheet name="alphaU252" sheetId="4" r:id="rId2"/>
    <sheet name="alpha 252 convergence" sheetId="5" r:id="rId3"/>
    <sheet name="Nd" sheetId="2" r:id="rId4"/>
    <sheet name="U-Nd" sheetId="3" r:id="rId5"/>
    <sheet name="updated work!" sheetId="6" r:id="rId6"/>
    <sheet name="updated further!" sheetId="7" r:id="rId7"/>
  </sheets>
  <calcPr calcId="181029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27" i="2" l="1"/>
  <c r="D22" i="2"/>
  <c r="O67" i="5" l="1"/>
  <c r="P27" i="6"/>
  <c r="M27" i="6"/>
  <c r="G23" i="2"/>
  <c r="D23" i="2"/>
  <c r="G20" i="2"/>
  <c r="D20" i="2"/>
  <c r="G21" i="2"/>
  <c r="D21" i="2"/>
  <c r="G19" i="2"/>
  <c r="D19" i="2"/>
  <c r="G16" i="2"/>
  <c r="D16" i="2"/>
  <c r="G15" i="2"/>
  <c r="D15" i="2"/>
  <c r="E3" i="6"/>
  <c r="D25" i="6" s="1"/>
  <c r="M26" i="6"/>
  <c r="D43" i="6"/>
  <c r="D40" i="6"/>
  <c r="M4" i="6"/>
  <c r="M10" i="6"/>
  <c r="Q24" i="6"/>
  <c r="M24" i="6"/>
  <c r="Q26" i="6"/>
  <c r="Q25" i="6"/>
  <c r="Q23" i="6"/>
  <c r="M23" i="6"/>
  <c r="M25" i="6"/>
  <c r="Q13" i="6"/>
  <c r="M13" i="6"/>
  <c r="M5" i="6"/>
  <c r="D38" i="6"/>
  <c r="D37" i="6"/>
  <c r="M11" i="6"/>
  <c r="Q9" i="6"/>
  <c r="M9" i="6"/>
  <c r="Q10" i="6"/>
  <c r="S5" i="6"/>
  <c r="Q5" i="6"/>
  <c r="M3" i="6"/>
  <c r="Q7" i="6"/>
  <c r="M7" i="6"/>
  <c r="Q6" i="6"/>
  <c r="M6" i="6"/>
  <c r="E3" i="7"/>
  <c r="D50" i="7" s="1"/>
  <c r="M3" i="7"/>
  <c r="D17" i="7" s="1"/>
  <c r="D14" i="7"/>
  <c r="C7" i="2"/>
  <c r="D83" i="6"/>
  <c r="D81" i="6"/>
  <c r="D80" i="6"/>
  <c r="D79" i="6"/>
  <c r="P65" i="6"/>
  <c r="P66" i="6"/>
  <c r="P64" i="6"/>
  <c r="D78" i="6"/>
  <c r="D76" i="6"/>
  <c r="D77" i="6"/>
  <c r="H32" i="7"/>
  <c r="G32" i="7"/>
  <c r="F32" i="7"/>
  <c r="M4" i="7"/>
  <c r="D49" i="7" s="1"/>
  <c r="D52" i="7"/>
  <c r="D18" i="7"/>
  <c r="E52" i="7"/>
  <c r="D51" i="7"/>
  <c r="E51" i="7"/>
  <c r="D46" i="7"/>
  <c r="D45" i="7"/>
  <c r="D44" i="7"/>
  <c r="M33" i="7"/>
  <c r="D43" i="7"/>
  <c r="D42" i="7"/>
  <c r="D41" i="7"/>
  <c r="D40" i="7"/>
  <c r="D39" i="7"/>
  <c r="D38" i="7"/>
  <c r="D37" i="7"/>
  <c r="E32" i="7"/>
  <c r="D36" i="7"/>
  <c r="D35" i="7"/>
  <c r="Q33" i="7"/>
  <c r="Q32" i="7"/>
  <c r="M32" i="7"/>
  <c r="D75" i="6"/>
  <c r="D74" i="6"/>
  <c r="H3" i="7"/>
  <c r="G3" i="7"/>
  <c r="F3" i="7"/>
  <c r="D22" i="7"/>
  <c r="E22" i="7" s="1"/>
  <c r="D21" i="7"/>
  <c r="D20" i="7"/>
  <c r="D19" i="7"/>
  <c r="D16" i="7"/>
  <c r="D15" i="7"/>
  <c r="D13" i="7"/>
  <c r="D12" i="7"/>
  <c r="D11" i="7"/>
  <c r="D10" i="7"/>
  <c r="D9" i="7"/>
  <c r="D8" i="7"/>
  <c r="D6" i="7"/>
  <c r="Q4" i="7"/>
  <c r="Q3" i="7"/>
  <c r="D70" i="6"/>
  <c r="D71" i="6"/>
  <c r="D72" i="6"/>
  <c r="D73" i="6"/>
  <c r="D69" i="6"/>
  <c r="D61" i="6"/>
  <c r="D68" i="6"/>
  <c r="D60" i="6"/>
  <c r="D67" i="6"/>
  <c r="D66" i="6"/>
  <c r="D65" i="6"/>
  <c r="D64" i="6"/>
  <c r="D59" i="6"/>
  <c r="D58" i="6"/>
  <c r="D63" i="6"/>
  <c r="D57" i="6"/>
  <c r="D56" i="6"/>
  <c r="D55" i="6"/>
  <c r="D54" i="6"/>
  <c r="D52" i="6"/>
  <c r="D53" i="6"/>
  <c r="D62" i="6"/>
  <c r="D50" i="6"/>
  <c r="D51" i="6"/>
  <c r="D49" i="6"/>
  <c r="D28" i="5"/>
  <c r="C67" i="5" s="1"/>
  <c r="D42" i="5"/>
  <c r="F42" i="5" s="1"/>
  <c r="Q3" i="6"/>
  <c r="Q4" i="6"/>
  <c r="H3" i="6"/>
  <c r="G3" i="6"/>
  <c r="F3" i="6"/>
  <c r="J82" i="5"/>
  <c r="J81" i="5"/>
  <c r="J80" i="5"/>
  <c r="J72" i="5"/>
  <c r="J74" i="5"/>
  <c r="J73" i="5"/>
  <c r="J71" i="5"/>
  <c r="J70" i="5"/>
  <c r="J69" i="5"/>
  <c r="D30" i="5"/>
  <c r="T30" i="5" s="1"/>
  <c r="D49" i="5"/>
  <c r="L49" i="5" s="1"/>
  <c r="D34" i="5"/>
  <c r="T34" i="5"/>
  <c r="F34" i="5"/>
  <c r="I34" i="5"/>
  <c r="H34" i="5"/>
  <c r="G34" i="5"/>
  <c r="D31" i="5"/>
  <c r="F31" i="5" s="1"/>
  <c r="J47" i="5"/>
  <c r="D47" i="5"/>
  <c r="F47" i="5"/>
  <c r="J49" i="5"/>
  <c r="D44" i="5"/>
  <c r="D50" i="5" s="1"/>
  <c r="F44" i="5"/>
  <c r="G44" i="5"/>
  <c r="G45" i="5" s="1"/>
  <c r="G28" i="5"/>
  <c r="H44" i="5"/>
  <c r="H28" i="5"/>
  <c r="H45" i="5"/>
  <c r="I44" i="5"/>
  <c r="I45" i="5" s="1"/>
  <c r="I28" i="5"/>
  <c r="K42" i="5"/>
  <c r="J32" i="5"/>
  <c r="I49" i="5"/>
  <c r="H49" i="5"/>
  <c r="G49" i="5"/>
  <c r="I47" i="5"/>
  <c r="H47" i="5"/>
  <c r="G47" i="5"/>
  <c r="D37" i="5"/>
  <c r="F37" i="5"/>
  <c r="I37" i="5"/>
  <c r="H37" i="5"/>
  <c r="G37" i="5"/>
  <c r="D32" i="5"/>
  <c r="F32" i="5" s="1"/>
  <c r="I32" i="5"/>
  <c r="H32" i="5"/>
  <c r="G32" i="5"/>
  <c r="D43" i="5"/>
  <c r="F43" i="5" s="1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68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66" i="5"/>
  <c r="P67" i="5"/>
  <c r="I30" i="5"/>
  <c r="H30" i="5"/>
  <c r="G30" i="5"/>
  <c r="D29" i="5"/>
  <c r="C84" i="5"/>
  <c r="C85" i="5"/>
  <c r="C87" i="5"/>
  <c r="C88" i="5"/>
  <c r="C86" i="5"/>
  <c r="C81" i="5"/>
  <c r="C79" i="5"/>
  <c r="C80" i="5"/>
  <c r="P28" i="5"/>
  <c r="C78" i="5"/>
  <c r="O28" i="5"/>
  <c r="K28" i="5"/>
  <c r="C8" i="5"/>
  <c r="I29" i="5"/>
  <c r="H29" i="5"/>
  <c r="G29" i="5"/>
  <c r="L28" i="5"/>
  <c r="D26" i="5"/>
  <c r="M26" i="5"/>
  <c r="D27" i="5"/>
  <c r="F26" i="5"/>
  <c r="I26" i="5"/>
  <c r="H26" i="5"/>
  <c r="G26" i="5"/>
  <c r="I31" i="5"/>
  <c r="H31" i="5"/>
  <c r="G31" i="5"/>
  <c r="D25" i="5"/>
  <c r="N25" i="5"/>
  <c r="G8" i="5"/>
  <c r="C54" i="5"/>
  <c r="F25" i="5"/>
  <c r="D54" i="5"/>
  <c r="C53" i="5"/>
  <c r="D53" i="5"/>
  <c r="M25" i="5"/>
  <c r="L25" i="5"/>
  <c r="L20" i="5"/>
  <c r="I43" i="5"/>
  <c r="H43" i="5"/>
  <c r="G43" i="5"/>
  <c r="D21" i="5"/>
  <c r="F21" i="5"/>
  <c r="I21" i="5"/>
  <c r="H21" i="5"/>
  <c r="G21" i="5"/>
  <c r="L12" i="5"/>
  <c r="L15" i="5"/>
  <c r="K12" i="5"/>
  <c r="I20" i="5"/>
  <c r="H20" i="5"/>
  <c r="G20" i="5"/>
  <c r="I25" i="5"/>
  <c r="H25" i="5"/>
  <c r="G25" i="5"/>
  <c r="I12" i="5"/>
  <c r="H12" i="5"/>
  <c r="G12" i="5"/>
  <c r="K15" i="5"/>
  <c r="D20" i="5"/>
  <c r="F20" i="5"/>
  <c r="D12" i="5"/>
  <c r="F12" i="5" s="1"/>
  <c r="D17" i="5"/>
  <c r="F17" i="5"/>
  <c r="C6" i="4"/>
  <c r="C62" i="4" s="1"/>
  <c r="H51" i="4"/>
  <c r="I17" i="5"/>
  <c r="H17" i="5"/>
  <c r="G17" i="5"/>
  <c r="C5" i="4"/>
  <c r="C44" i="4" s="1"/>
  <c r="D44" i="4" s="1"/>
  <c r="N5" i="4"/>
  <c r="I16" i="5"/>
  <c r="H16" i="5"/>
  <c r="G16" i="5"/>
  <c r="C4" i="4"/>
  <c r="N4" i="4"/>
  <c r="C43" i="4"/>
  <c r="I11" i="4"/>
  <c r="H52" i="4"/>
  <c r="I52" i="4" s="1"/>
  <c r="I51" i="4"/>
  <c r="I18" i="4"/>
  <c r="J18" i="4" s="1"/>
  <c r="I17" i="4"/>
  <c r="J17" i="4" s="1"/>
  <c r="K14" i="5"/>
  <c r="D16" i="5"/>
  <c r="F16" i="5" s="1"/>
  <c r="I15" i="5"/>
  <c r="H15" i="5"/>
  <c r="G15" i="5"/>
  <c r="D15" i="5"/>
  <c r="F15" i="5" s="1"/>
  <c r="I13" i="5"/>
  <c r="H13" i="5"/>
  <c r="G13" i="5"/>
  <c r="I42" i="5"/>
  <c r="H42" i="5"/>
  <c r="I14" i="5"/>
  <c r="H14" i="5"/>
  <c r="G42" i="5"/>
  <c r="G14" i="5"/>
  <c r="D13" i="5"/>
  <c r="F13" i="5"/>
  <c r="D14" i="5"/>
  <c r="F14" i="5"/>
  <c r="I4" i="5"/>
  <c r="O3" i="5"/>
  <c r="O4" i="5"/>
  <c r="I3" i="5"/>
  <c r="C3" i="5"/>
  <c r="C4" i="5"/>
  <c r="D17" i="4"/>
  <c r="K31" i="4" s="1"/>
  <c r="J44" i="4"/>
  <c r="K44" i="4"/>
  <c r="C7" i="4"/>
  <c r="C39" i="4"/>
  <c r="C9" i="4"/>
  <c r="I12" i="4"/>
  <c r="D39" i="4"/>
  <c r="C38" i="4"/>
  <c r="C37" i="4"/>
  <c r="D37" i="4"/>
  <c r="D38" i="4"/>
  <c r="C35" i="4"/>
  <c r="D35" i="4" s="1"/>
  <c r="C36" i="4"/>
  <c r="D36" i="4"/>
  <c r="C34" i="4"/>
  <c r="D34" i="4" s="1"/>
  <c r="R5" i="4"/>
  <c r="R4" i="4"/>
  <c r="O15" i="4"/>
  <c r="P15" i="4" s="1"/>
  <c r="O11" i="4"/>
  <c r="O16" i="4"/>
  <c r="O17" i="4"/>
  <c r="O18" i="4"/>
  <c r="O19" i="4"/>
  <c r="O14" i="4"/>
  <c r="O13" i="4"/>
  <c r="O12" i="4"/>
  <c r="I15" i="4"/>
  <c r="J15" i="4"/>
  <c r="J23" i="4"/>
  <c r="J41" i="4"/>
  <c r="J42" i="4"/>
  <c r="J40" i="4"/>
  <c r="J37" i="4"/>
  <c r="J38" i="4"/>
  <c r="K38" i="4" s="1"/>
  <c r="C10" i="4"/>
  <c r="J36" i="4"/>
  <c r="K36" i="4"/>
  <c r="J24" i="4"/>
  <c r="J25" i="4"/>
  <c r="J26" i="4"/>
  <c r="J27" i="4"/>
  <c r="J28" i="4"/>
  <c r="J29" i="4"/>
  <c r="J30" i="4"/>
  <c r="J31" i="4"/>
  <c r="J32" i="4"/>
  <c r="J33" i="4"/>
  <c r="J34" i="4"/>
  <c r="J22" i="4"/>
  <c r="K25" i="4"/>
  <c r="K33" i="4"/>
  <c r="K34" i="4"/>
  <c r="K30" i="4"/>
  <c r="I14" i="4"/>
  <c r="J14" i="4"/>
  <c r="I13" i="4"/>
  <c r="J13" i="4"/>
  <c r="C56" i="4"/>
  <c r="C57" i="4"/>
  <c r="C55" i="4"/>
  <c r="C53" i="4"/>
  <c r="C29" i="4"/>
  <c r="C30" i="4"/>
  <c r="D30" i="4"/>
  <c r="C31" i="4"/>
  <c r="D31" i="4"/>
  <c r="D29" i="4"/>
  <c r="E104" i="1"/>
  <c r="E105" i="1"/>
  <c r="E106" i="1"/>
  <c r="E107" i="1"/>
  <c r="E103" i="1"/>
  <c r="C24" i="4"/>
  <c r="C25" i="4"/>
  <c r="D25" i="4"/>
  <c r="C26" i="4"/>
  <c r="D26" i="4" s="1"/>
  <c r="D24" i="4"/>
  <c r="E110" i="1"/>
  <c r="E111" i="1"/>
  <c r="E112" i="1"/>
  <c r="E70" i="1"/>
  <c r="C111" i="1"/>
  <c r="C112" i="1"/>
  <c r="C110" i="1"/>
  <c r="C103" i="1"/>
  <c r="C104" i="1"/>
  <c r="C106" i="1"/>
  <c r="C107" i="1"/>
  <c r="C105" i="1"/>
  <c r="C3" i="4"/>
  <c r="D14" i="4"/>
  <c r="D15" i="4"/>
  <c r="D16" i="4"/>
  <c r="D18" i="4"/>
  <c r="D19" i="4"/>
  <c r="D20" i="4"/>
  <c r="D21" i="4"/>
  <c r="D13" i="4"/>
  <c r="F4" i="4"/>
  <c r="E4" i="4"/>
  <c r="D4" i="4"/>
  <c r="E74" i="1"/>
  <c r="E75" i="1"/>
  <c r="E76" i="1"/>
  <c r="E77" i="1"/>
  <c r="E78" i="1"/>
  <c r="E79" i="1"/>
  <c r="E80" i="1"/>
  <c r="E81" i="1"/>
  <c r="E73" i="1"/>
  <c r="F55" i="1"/>
  <c r="E55" i="1"/>
  <c r="D55" i="1"/>
  <c r="E71" i="1"/>
  <c r="E69" i="1"/>
  <c r="C54" i="1"/>
  <c r="C55" i="1"/>
  <c r="E61" i="1"/>
  <c r="E62" i="1"/>
  <c r="E63" i="1"/>
  <c r="E64" i="1"/>
  <c r="E65" i="1"/>
  <c r="E66" i="1"/>
  <c r="E67" i="1"/>
  <c r="E68" i="1"/>
  <c r="E60" i="1"/>
  <c r="L74" i="1"/>
  <c r="L75" i="1"/>
  <c r="L76" i="1"/>
  <c r="L77" i="1"/>
  <c r="L78" i="1"/>
  <c r="L79" i="1"/>
  <c r="L80" i="1"/>
  <c r="L81" i="1"/>
  <c r="C52" i="1"/>
  <c r="N65" i="1" s="1"/>
  <c r="N69" i="1"/>
  <c r="P69" i="1" s="1"/>
  <c r="L66" i="1"/>
  <c r="L67" i="1"/>
  <c r="L68" i="1"/>
  <c r="L69" i="1"/>
  <c r="L70" i="1"/>
  <c r="L71" i="1"/>
  <c r="L72" i="1"/>
  <c r="L73" i="1"/>
  <c r="L65" i="1"/>
  <c r="Q89" i="1"/>
  <c r="Q90" i="1"/>
  <c r="Q91" i="1"/>
  <c r="Q92" i="1"/>
  <c r="Q93" i="1"/>
  <c r="Q94" i="1"/>
  <c r="Q95" i="1"/>
  <c r="Q96" i="1"/>
  <c r="Q97" i="1"/>
  <c r="Q98" i="1"/>
  <c r="Q88" i="1"/>
  <c r="E85" i="1"/>
  <c r="E86" i="1"/>
  <c r="E87" i="1"/>
  <c r="E88" i="1"/>
  <c r="E89" i="1"/>
  <c r="E90" i="1"/>
  <c r="E91" i="1"/>
  <c r="E92" i="1"/>
  <c r="E84" i="1"/>
  <c r="C33" i="1"/>
  <c r="S47" i="1" s="1"/>
  <c r="M108" i="1"/>
  <c r="M106" i="1"/>
  <c r="M107" i="1"/>
  <c r="M100" i="1"/>
  <c r="M101" i="1"/>
  <c r="M102" i="1"/>
  <c r="M103" i="1"/>
  <c r="M104" i="1"/>
  <c r="M105" i="1"/>
  <c r="M99" i="1"/>
  <c r="S43" i="1"/>
  <c r="S42" i="1"/>
  <c r="S41" i="1"/>
  <c r="P97" i="1"/>
  <c r="P95" i="1"/>
  <c r="P91" i="1"/>
  <c r="P89" i="1"/>
  <c r="L88" i="1"/>
  <c r="N88" i="1"/>
  <c r="L90" i="1"/>
  <c r="N90" i="1"/>
  <c r="L92" i="1"/>
  <c r="N92" i="1"/>
  <c r="L94" i="1"/>
  <c r="N94" i="1"/>
  <c r="L96" i="1"/>
  <c r="N96" i="1" s="1"/>
  <c r="L98" i="1"/>
  <c r="N98" i="1" s="1"/>
  <c r="L93" i="1"/>
  <c r="N93" i="1" s="1"/>
  <c r="P94" i="1"/>
  <c r="P96" i="1"/>
  <c r="P98" i="1"/>
  <c r="P88" i="1"/>
  <c r="P90" i="1"/>
  <c r="P92" i="1"/>
  <c r="P93" i="1"/>
  <c r="P43" i="1"/>
  <c r="P44" i="1"/>
  <c r="P40" i="1"/>
  <c r="P41" i="1"/>
  <c r="P42" i="1"/>
  <c r="M41" i="1"/>
  <c r="N41" i="1" s="1"/>
  <c r="M40" i="1"/>
  <c r="M42" i="1"/>
  <c r="N42" i="1" s="1"/>
  <c r="M43" i="1"/>
  <c r="N43" i="1"/>
  <c r="N40" i="1"/>
  <c r="M44" i="1"/>
  <c r="N44" i="1"/>
  <c r="C47" i="1"/>
  <c r="C49" i="1" s="1"/>
  <c r="M55" i="1"/>
  <c r="N55" i="1"/>
  <c r="M57" i="1"/>
  <c r="N57" i="1" s="1"/>
  <c r="N73" i="1"/>
  <c r="N67" i="1"/>
  <c r="N71" i="1"/>
  <c r="C3" i="3"/>
  <c r="D47" i="3" s="1"/>
  <c r="E47" i="3" s="1"/>
  <c r="N39" i="3"/>
  <c r="N43" i="3"/>
  <c r="O43" i="3" s="1"/>
  <c r="O39" i="3"/>
  <c r="D42" i="3"/>
  <c r="D41" i="3"/>
  <c r="E41" i="3" s="1"/>
  <c r="E42" i="3"/>
  <c r="D46" i="3"/>
  <c r="E46" i="3"/>
  <c r="G46" i="3"/>
  <c r="D49" i="3"/>
  <c r="D48" i="3"/>
  <c r="D45" i="3"/>
  <c r="E45" i="3"/>
  <c r="D44" i="3"/>
  <c r="E44" i="3"/>
  <c r="D43" i="3"/>
  <c r="E43" i="3"/>
  <c r="F52" i="1"/>
  <c r="E52" i="1"/>
  <c r="D52" i="1"/>
  <c r="F53" i="1"/>
  <c r="E53" i="1"/>
  <c r="D53" i="1"/>
  <c r="G6" i="2"/>
  <c r="C6" i="2"/>
  <c r="C53" i="1"/>
  <c r="R11" i="1"/>
  <c r="P11" i="1"/>
  <c r="R10" i="1"/>
  <c r="P10" i="1"/>
  <c r="R9" i="1"/>
  <c r="P9" i="1"/>
  <c r="R8" i="1"/>
  <c r="P8" i="1"/>
  <c r="R7" i="1"/>
  <c r="P7" i="1"/>
  <c r="R5" i="1"/>
  <c r="R6" i="1"/>
  <c r="P5" i="1"/>
  <c r="P6" i="1"/>
  <c r="R3" i="1"/>
  <c r="R4" i="1"/>
  <c r="P4" i="1"/>
  <c r="P3" i="1"/>
  <c r="C10" i="1"/>
  <c r="C9" i="1"/>
  <c r="C8" i="1"/>
  <c r="C6" i="3"/>
  <c r="I27" i="3"/>
  <c r="I28" i="3"/>
  <c r="J28" i="3"/>
  <c r="I32" i="3"/>
  <c r="I33" i="3"/>
  <c r="J33" i="3"/>
  <c r="F33" i="3"/>
  <c r="F32" i="3"/>
  <c r="G33" i="3"/>
  <c r="F28" i="3"/>
  <c r="G28" i="3" s="1"/>
  <c r="F27" i="3"/>
  <c r="F34" i="3"/>
  <c r="I34" i="3"/>
  <c r="I29" i="3"/>
  <c r="F29" i="3"/>
  <c r="P57" i="1"/>
  <c r="M62" i="1"/>
  <c r="N46" i="3"/>
  <c r="N45" i="3"/>
  <c r="O45" i="3" s="1"/>
  <c r="N29" i="3"/>
  <c r="N28" i="3"/>
  <c r="O28" i="3" s="1"/>
  <c r="O29" i="3"/>
  <c r="M34" i="1"/>
  <c r="M31" i="1"/>
  <c r="N33" i="1" s="1"/>
  <c r="N34" i="1"/>
  <c r="N31" i="1"/>
  <c r="M32" i="1"/>
  <c r="N32" i="1"/>
  <c r="M33" i="1"/>
  <c r="M35" i="1"/>
  <c r="N35" i="1" s="1"/>
  <c r="M38" i="1"/>
  <c r="N42" i="3"/>
  <c r="N40" i="3"/>
  <c r="O40" i="3"/>
  <c r="N38" i="3"/>
  <c r="O38" i="3"/>
  <c r="N36" i="3"/>
  <c r="O36" i="3"/>
  <c r="N30" i="3"/>
  <c r="N25" i="3"/>
  <c r="N26" i="3"/>
  <c r="M51" i="1"/>
  <c r="M36" i="1"/>
  <c r="M37" i="1"/>
  <c r="N36" i="1"/>
  <c r="M26" i="1"/>
  <c r="M23" i="1"/>
  <c r="N26" i="1"/>
  <c r="F48" i="1"/>
  <c r="E48" i="1"/>
  <c r="D48" i="1"/>
  <c r="C50" i="1"/>
  <c r="C20" i="3"/>
  <c r="C19" i="3"/>
  <c r="C8" i="3"/>
  <c r="C7" i="3"/>
  <c r="C39" i="1"/>
  <c r="C41" i="1" s="1"/>
  <c r="C43" i="1"/>
  <c r="C44" i="1"/>
  <c r="F37" i="1"/>
  <c r="E37" i="1"/>
  <c r="D37" i="1"/>
  <c r="M24" i="1"/>
  <c r="M25" i="1"/>
  <c r="M27" i="1"/>
  <c r="M28" i="1"/>
  <c r="M29" i="1"/>
  <c r="D6" i="3"/>
  <c r="G6" i="3" s="1"/>
  <c r="E6" i="3"/>
  <c r="F6" i="3"/>
  <c r="D5" i="3"/>
  <c r="G5" i="3" s="1"/>
  <c r="E5" i="3"/>
  <c r="F5" i="3"/>
  <c r="D3" i="3"/>
  <c r="E3" i="3"/>
  <c r="F3" i="3"/>
  <c r="G3" i="3"/>
  <c r="D16" i="3"/>
  <c r="E16" i="3"/>
  <c r="F16" i="3"/>
  <c r="G16" i="3"/>
  <c r="E14" i="3"/>
  <c r="D14" i="3"/>
  <c r="G14" i="3" s="1"/>
  <c r="F14" i="3"/>
  <c r="C37" i="1"/>
  <c r="C36" i="1"/>
  <c r="C34" i="1"/>
  <c r="C35" i="1"/>
  <c r="C4" i="3"/>
  <c r="E46" i="1"/>
  <c r="F46" i="1"/>
  <c r="D46" i="1"/>
  <c r="C5" i="1"/>
  <c r="C6" i="1"/>
  <c r="C7" i="1"/>
  <c r="C46" i="1"/>
  <c r="C42" i="1"/>
  <c r="G11" i="2"/>
  <c r="C11" i="2"/>
  <c r="C4" i="2"/>
  <c r="C5" i="2"/>
  <c r="G4" i="2"/>
  <c r="G5" i="2"/>
  <c r="G3" i="2"/>
  <c r="C3" i="2"/>
  <c r="F32" i="1"/>
  <c r="E32" i="1"/>
  <c r="D32" i="1"/>
  <c r="F30" i="1"/>
  <c r="E30" i="1"/>
  <c r="D30" i="1"/>
  <c r="C32" i="1"/>
  <c r="C31" i="1"/>
  <c r="C30" i="1"/>
  <c r="D31" i="1"/>
  <c r="F31" i="1"/>
  <c r="E31" i="1"/>
  <c r="F24" i="1"/>
  <c r="E24" i="1"/>
  <c r="D24" i="1"/>
  <c r="C24" i="1"/>
  <c r="C25" i="1"/>
  <c r="C28" i="1"/>
  <c r="C27" i="1"/>
  <c r="F23" i="1"/>
  <c r="E23" i="1"/>
  <c r="D23" i="1"/>
  <c r="C23" i="1"/>
  <c r="F22" i="1"/>
  <c r="E22" i="1"/>
  <c r="D22" i="1"/>
  <c r="C22" i="1"/>
  <c r="F15" i="1"/>
  <c r="E15" i="1"/>
  <c r="D15" i="1"/>
  <c r="C15" i="1"/>
  <c r="C17" i="1"/>
  <c r="C20" i="1"/>
  <c r="C19" i="1"/>
  <c r="F17" i="1"/>
  <c r="E17" i="1"/>
  <c r="D17" i="1"/>
  <c r="F14" i="1"/>
  <c r="E14" i="1"/>
  <c r="D14" i="1"/>
  <c r="F13" i="1"/>
  <c r="E13" i="1"/>
  <c r="D13" i="1"/>
  <c r="C13" i="1"/>
  <c r="C14" i="1"/>
  <c r="F12" i="1"/>
  <c r="E12" i="1"/>
  <c r="D12" i="1"/>
  <c r="C12" i="1"/>
  <c r="G4" i="1"/>
  <c r="C4" i="1"/>
  <c r="F11" i="1"/>
  <c r="E11" i="1"/>
  <c r="C11" i="1"/>
  <c r="C3" i="1"/>
  <c r="G3" i="1"/>
  <c r="E21" i="7" l="1"/>
  <c r="E9" i="7"/>
  <c r="E42" i="7"/>
  <c r="D67" i="5"/>
  <c r="E11" i="7"/>
  <c r="F35" i="5"/>
  <c r="E12" i="7"/>
  <c r="C69" i="5"/>
  <c r="D28" i="6"/>
  <c r="C74" i="5"/>
  <c r="D21" i="6"/>
  <c r="D31" i="6"/>
  <c r="D12" i="6"/>
  <c r="D13" i="6"/>
  <c r="D32" i="6"/>
  <c r="C58" i="5"/>
  <c r="D58" i="5" s="1"/>
  <c r="C60" i="5"/>
  <c r="D60" i="5" s="1"/>
  <c r="C75" i="5"/>
  <c r="F28" i="5"/>
  <c r="F45" i="5" s="1"/>
  <c r="D33" i="6"/>
  <c r="C73" i="5"/>
  <c r="D34" i="6"/>
  <c r="E48" i="3"/>
  <c r="C76" i="5"/>
  <c r="C64" i="5"/>
  <c r="D35" i="6"/>
  <c r="P62" i="1"/>
  <c r="K23" i="4"/>
  <c r="E49" i="3"/>
  <c r="K32" i="4"/>
  <c r="K40" i="4"/>
  <c r="C57" i="5"/>
  <c r="D57" i="5" s="1"/>
  <c r="O49" i="5"/>
  <c r="D9" i="6"/>
  <c r="E9" i="6" s="1"/>
  <c r="D23" i="7"/>
  <c r="E23" i="7" s="1"/>
  <c r="D47" i="7"/>
  <c r="N19" i="6"/>
  <c r="O19" i="6" s="1"/>
  <c r="D14" i="6"/>
  <c r="K37" i="4"/>
  <c r="H53" i="4"/>
  <c r="I53" i="4" s="1"/>
  <c r="O42" i="3"/>
  <c r="N28" i="5"/>
  <c r="M28" i="5"/>
  <c r="D16" i="6"/>
  <c r="D41" i="6"/>
  <c r="N24" i="3"/>
  <c r="O24" i="3" s="1"/>
  <c r="N41" i="3"/>
  <c r="O41" i="3" s="1"/>
  <c r="M61" i="1"/>
  <c r="N61" i="1" s="1"/>
  <c r="M52" i="1"/>
  <c r="C48" i="4"/>
  <c r="K24" i="4"/>
  <c r="K42" i="4"/>
  <c r="C59" i="5"/>
  <c r="D59" i="5" s="1"/>
  <c r="C65" i="5"/>
  <c r="D65" i="5" s="1"/>
  <c r="F49" i="5"/>
  <c r="T28" i="5"/>
  <c r="D19" i="6"/>
  <c r="D48" i="7"/>
  <c r="N17" i="6"/>
  <c r="D17" i="6"/>
  <c r="D42" i="6"/>
  <c r="C77" i="5"/>
  <c r="M60" i="1"/>
  <c r="K22" i="4"/>
  <c r="C5" i="3"/>
  <c r="N23" i="3"/>
  <c r="O23" i="3" s="1"/>
  <c r="N20" i="3"/>
  <c r="O20" i="3" s="1"/>
  <c r="D50" i="3"/>
  <c r="E50" i="3" s="1"/>
  <c r="M50" i="1"/>
  <c r="N50" i="1" s="1"/>
  <c r="K26" i="4"/>
  <c r="C66" i="5"/>
  <c r="D66" i="5" s="1"/>
  <c r="F30" i="5"/>
  <c r="D6" i="6"/>
  <c r="N20" i="6"/>
  <c r="D18" i="6"/>
  <c r="E25" i="6" s="1"/>
  <c r="P56" i="1"/>
  <c r="D11" i="6"/>
  <c r="P55" i="1"/>
  <c r="C14" i="3"/>
  <c r="N21" i="3"/>
  <c r="O21" i="3" s="1"/>
  <c r="S46" i="1"/>
  <c r="K27" i="4"/>
  <c r="K41" i="4"/>
  <c r="D20" i="6"/>
  <c r="E20" i="6" s="1"/>
  <c r="D30" i="6"/>
  <c r="D22" i="6"/>
  <c r="E22" i="6" s="1"/>
  <c r="C70" i="5"/>
  <c r="D70" i="5" s="1"/>
  <c r="D27" i="6"/>
  <c r="C63" i="5"/>
  <c r="C15" i="3"/>
  <c r="N19" i="3"/>
  <c r="N18" i="3"/>
  <c r="O26" i="3" s="1"/>
  <c r="P61" i="1"/>
  <c r="D51" i="3"/>
  <c r="E51" i="3" s="1"/>
  <c r="K28" i="4"/>
  <c r="C60" i="4"/>
  <c r="C62" i="5"/>
  <c r="D23" i="6"/>
  <c r="C48" i="1"/>
  <c r="C16" i="3"/>
  <c r="N37" i="3"/>
  <c r="O37" i="3" s="1"/>
  <c r="N22" i="3"/>
  <c r="O22" i="3" s="1"/>
  <c r="P22" i="3" s="1"/>
  <c r="P60" i="1"/>
  <c r="N35" i="3"/>
  <c r="O35" i="3" s="1"/>
  <c r="M56" i="1"/>
  <c r="N56" i="1" s="1"/>
  <c r="C51" i="4"/>
  <c r="D51" i="4" s="1"/>
  <c r="K29" i="4"/>
  <c r="C61" i="4"/>
  <c r="C68" i="5"/>
  <c r="D68" i="5" s="1"/>
  <c r="C71" i="5"/>
  <c r="D7" i="7"/>
  <c r="E49" i="7" s="1"/>
  <c r="D7" i="6"/>
  <c r="D24" i="6"/>
  <c r="D15" i="6"/>
  <c r="D26" i="6"/>
  <c r="D8" i="6"/>
  <c r="E8" i="6" s="1"/>
  <c r="N18" i="6"/>
  <c r="O18" i="6" s="1"/>
  <c r="N31" i="3"/>
  <c r="C52" i="4"/>
  <c r="D52" i="4" s="1"/>
  <c r="C72" i="5"/>
  <c r="C61" i="5"/>
  <c r="U28" i="5"/>
  <c r="D10" i="6"/>
  <c r="D62" i="5" l="1"/>
  <c r="E38" i="7"/>
  <c r="E44" i="7"/>
  <c r="E8" i="7"/>
  <c r="E41" i="7"/>
  <c r="E46" i="7"/>
  <c r="E40" i="7"/>
  <c r="E20" i="7"/>
  <c r="E15" i="7"/>
  <c r="E10" i="7"/>
  <c r="E13" i="7"/>
  <c r="E45" i="7"/>
  <c r="E37" i="7"/>
  <c r="E32" i="6"/>
  <c r="E13" i="6"/>
  <c r="E39" i="7"/>
  <c r="E23" i="6"/>
  <c r="Q61" i="1"/>
  <c r="E11" i="6"/>
  <c r="E42" i="6"/>
  <c r="E41" i="6"/>
  <c r="E12" i="6"/>
  <c r="E19" i="7"/>
  <c r="E26" i="6"/>
  <c r="O18" i="3"/>
  <c r="O25" i="3"/>
  <c r="E17" i="7"/>
  <c r="O19" i="3"/>
  <c r="E21" i="6"/>
  <c r="D53" i="4"/>
  <c r="Q56" i="1"/>
  <c r="E16" i="6"/>
  <c r="O20" i="6"/>
  <c r="E48" i="7"/>
  <c r="E16" i="7"/>
  <c r="D61" i="5"/>
  <c r="D63" i="5"/>
  <c r="E19" i="6"/>
  <c r="D64" i="5"/>
  <c r="E28" i="6"/>
  <c r="E15" i="6"/>
  <c r="E24" i="6"/>
  <c r="E17" i="6"/>
  <c r="E31" i="6"/>
  <c r="E10" i="6"/>
  <c r="E27" i="6"/>
  <c r="D69" i="5"/>
  <c r="E50" i="7"/>
</calcChain>
</file>

<file path=xl/sharedStrings.xml><?xml version="1.0" encoding="utf-8"?>
<sst xmlns="http://schemas.openxmlformats.org/spreadsheetml/2006/main" count="959" uniqueCount="534">
  <si>
    <t>4at</t>
  </si>
  <si>
    <t>E</t>
  </si>
  <si>
    <t>E/at</t>
  </si>
  <si>
    <t>a</t>
  </si>
  <si>
    <t>b</t>
  </si>
  <si>
    <t>c</t>
  </si>
  <si>
    <t>y</t>
  </si>
  <si>
    <t>4atA</t>
  </si>
  <si>
    <t>Comments</t>
  </si>
  <si>
    <t>yay looks good</t>
  </si>
  <si>
    <t>32at</t>
  </si>
  <si>
    <t>needs to be more accurate… finer kmesh</t>
  </si>
  <si>
    <t>lower encut… still seems to be fine, just slightly lower energy</t>
  </si>
  <si>
    <t>32atA</t>
  </si>
  <si>
    <t>lower encut and LREAL=T</t>
  </si>
  <si>
    <t>well better… but not sure</t>
  </si>
  <si>
    <t>32at isif2</t>
  </si>
  <si>
    <t>32vac</t>
  </si>
  <si>
    <t>w/o relax</t>
  </si>
  <si>
    <t>relax</t>
  </si>
  <si>
    <t>kpoints 5x9x9</t>
  </si>
  <si>
    <t>think im good with this.. Kpoints 4x7x7</t>
  </si>
  <si>
    <t>64at</t>
  </si>
  <si>
    <t>64atN</t>
  </si>
  <si>
    <t>kpoints4x7x7</t>
  </si>
  <si>
    <t>64at isif2</t>
  </si>
  <si>
    <t>64at vac</t>
  </si>
  <si>
    <t>64atN1</t>
  </si>
  <si>
    <t>kpoints 4x6x6</t>
  </si>
  <si>
    <t>kpoints 4x7x7</t>
  </si>
  <si>
    <t>80atN</t>
  </si>
  <si>
    <t>80atNR</t>
  </si>
  <si>
    <t>dhcp</t>
  </si>
  <si>
    <t>kpoints 3x5x5</t>
  </si>
  <si>
    <t>80atN1</t>
  </si>
  <si>
    <t>80at isif2</t>
  </si>
  <si>
    <t xml:space="preserve">80at vac </t>
  </si>
  <si>
    <t>vol</t>
  </si>
  <si>
    <t>vol/at</t>
  </si>
  <si>
    <t>kpoints</t>
  </si>
  <si>
    <t>6x6x12</t>
  </si>
  <si>
    <t>4x4x12</t>
  </si>
  <si>
    <t>6x6x18</t>
  </si>
  <si>
    <t>fcc</t>
  </si>
  <si>
    <t>8x8x8</t>
  </si>
  <si>
    <t>216at</t>
  </si>
  <si>
    <t>216atsym</t>
  </si>
  <si>
    <t>216atisf2</t>
  </si>
  <si>
    <t>216atvac</t>
  </si>
  <si>
    <t>216vacsym</t>
  </si>
  <si>
    <t>216symisif2</t>
  </si>
  <si>
    <t>252at</t>
  </si>
  <si>
    <t>252atisif2</t>
  </si>
  <si>
    <t>252vac</t>
  </si>
  <si>
    <t>252vacisif2</t>
  </si>
  <si>
    <t>4atB</t>
  </si>
  <si>
    <t>4atC</t>
  </si>
  <si>
    <t>4atD</t>
  </si>
  <si>
    <t>15x15x15</t>
  </si>
  <si>
    <t>8x14x14</t>
  </si>
  <si>
    <t>20x20x20</t>
  </si>
  <si>
    <t>80atvacisif3</t>
  </si>
  <si>
    <t>80atN vac</t>
  </si>
  <si>
    <t>80atSIA isif3</t>
  </si>
  <si>
    <t>3x5x5</t>
  </si>
  <si>
    <t>E/at or Ef</t>
  </si>
  <si>
    <t>dhcp Nd</t>
  </si>
  <si>
    <t>Nd Sub</t>
  </si>
  <si>
    <t>80at</t>
  </si>
  <si>
    <t>NdSub isif2</t>
  </si>
  <si>
    <t>Nd SIA</t>
  </si>
  <si>
    <t>80atvac isif2</t>
  </si>
  <si>
    <t>252at isif2</t>
  </si>
  <si>
    <t>2x2x2</t>
  </si>
  <si>
    <t>252vac isif2</t>
  </si>
  <si>
    <t>252SIA isif2</t>
  </si>
  <si>
    <t>NEB</t>
  </si>
  <si>
    <t>mid</t>
  </si>
  <si>
    <t>0a</t>
  </si>
  <si>
    <t>0b</t>
  </si>
  <si>
    <t>wrong &lt;001&gt;</t>
  </si>
  <si>
    <t>&lt;100&gt;</t>
  </si>
  <si>
    <t>&lt;001&gt;</t>
  </si>
  <si>
    <t>80 at</t>
  </si>
  <si>
    <t>0bNd</t>
  </si>
  <si>
    <t>1bNd</t>
  </si>
  <si>
    <t>2bNd</t>
  </si>
  <si>
    <t>80atom</t>
  </si>
  <si>
    <t>3bNd</t>
  </si>
  <si>
    <t>4bNd</t>
  </si>
  <si>
    <t>0a isif2</t>
  </si>
  <si>
    <t>0aNd</t>
  </si>
  <si>
    <t>1aNd</t>
  </si>
  <si>
    <t>0isif2</t>
  </si>
  <si>
    <t>2aNd</t>
  </si>
  <si>
    <t>0bNd isif2</t>
  </si>
  <si>
    <t>1bNdisif2</t>
  </si>
  <si>
    <t>5bNd</t>
  </si>
  <si>
    <t>6bNd</t>
  </si>
  <si>
    <t>0bisif2</t>
  </si>
  <si>
    <t>moved off lattice site</t>
  </si>
  <si>
    <t>5bNdisif2</t>
  </si>
  <si>
    <t>6bNdisif2</t>
  </si>
  <si>
    <t>0aNdisif2</t>
  </si>
  <si>
    <t>1aNdisif2</t>
  </si>
  <si>
    <t>3aNd</t>
  </si>
  <si>
    <t>4aNd</t>
  </si>
  <si>
    <t>1a</t>
  </si>
  <si>
    <t>1aisif2</t>
  </si>
  <si>
    <t>mida</t>
  </si>
  <si>
    <t>midb</t>
  </si>
  <si>
    <t>1b</t>
  </si>
  <si>
    <t>isif2</t>
  </si>
  <si>
    <t>unrelaxed</t>
  </si>
  <si>
    <t>relaxed</t>
  </si>
  <si>
    <t>4atE</t>
  </si>
  <si>
    <t>6x10x10 ispin2</t>
  </si>
  <si>
    <t>4atF</t>
  </si>
  <si>
    <t>4atG</t>
  </si>
  <si>
    <t>POTCARUs 6x10x10 ispin2</t>
  </si>
  <si>
    <t>20x20x20 ispin2</t>
  </si>
  <si>
    <t>4at TEST</t>
  </si>
  <si>
    <t>5.2POT</t>
  </si>
  <si>
    <t>5.3POT</t>
  </si>
  <si>
    <t>Vol</t>
  </si>
  <si>
    <t>Vol/at</t>
  </si>
  <si>
    <t>I THINK I SHOULD GO FORWARD WITH THE 5.2 POTCAR…????</t>
  </si>
  <si>
    <t>SOO CONFUSING!</t>
  </si>
  <si>
    <t>5.2 U=1.5</t>
  </si>
  <si>
    <t>5.3 U=1.5</t>
  </si>
  <si>
    <t>sp2</t>
  </si>
  <si>
    <t>sp2, lasph</t>
  </si>
  <si>
    <t>80at isif3 A</t>
  </si>
  <si>
    <t>sym2,sp1,lasph,k644</t>
  </si>
  <si>
    <t>sym2,sp2,lasph,k644</t>
  </si>
  <si>
    <t>sp1,lasph</t>
  </si>
  <si>
    <t>divac</t>
  </si>
  <si>
    <t>Nd0</t>
  </si>
  <si>
    <t>Nd1</t>
  </si>
  <si>
    <t>Nd2</t>
  </si>
  <si>
    <t>Nd3</t>
  </si>
  <si>
    <t>Nd4</t>
  </si>
  <si>
    <t>Nd5</t>
  </si>
  <si>
    <t>Nd6</t>
  </si>
  <si>
    <t>isif7</t>
  </si>
  <si>
    <t>d</t>
  </si>
  <si>
    <t>e</t>
  </si>
  <si>
    <t>f</t>
  </si>
  <si>
    <t>g</t>
  </si>
  <si>
    <t>divacZ</t>
  </si>
  <si>
    <t>ibrion-1</t>
  </si>
  <si>
    <t>h</t>
  </si>
  <si>
    <t>i</t>
  </si>
  <si>
    <t>j</t>
  </si>
  <si>
    <t>k</t>
  </si>
  <si>
    <t>5b+x</t>
  </si>
  <si>
    <t>3b+x</t>
  </si>
  <si>
    <t>6b+x</t>
  </si>
  <si>
    <t>5b</t>
  </si>
  <si>
    <t>3b</t>
  </si>
  <si>
    <t>6b</t>
  </si>
  <si>
    <t>isif2 6b</t>
  </si>
  <si>
    <t>isif2 0</t>
  </si>
  <si>
    <t>monovacz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</si>
  <si>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</si>
  <si>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</si>
  <si>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</si>
  <si>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</si>
  <si>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</si>
  <si>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</si>
  <si>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</si>
  <si>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</si>
  <si>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</si>
  <si>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</si>
  <si>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bb</t>
  </si>
  <si>
    <t>cc</t>
  </si>
  <si>
    <t>dd</t>
  </si>
  <si>
    <t>sym2,sp1,lasph,k1288</t>
  </si>
  <si>
    <t>monovacx</t>
  </si>
  <si>
    <t>sym2,sp1,lasph,k866</t>
  </si>
  <si>
    <t>realNEB 001</t>
  </si>
  <si>
    <t>a5+y</t>
  </si>
  <si>
    <t>a5+z</t>
  </si>
  <si>
    <t>252at isif3 A</t>
  </si>
  <si>
    <t>sym2,sp1,lasph,k222</t>
  </si>
  <si>
    <t>sym2,sp1,lasph,k222, ENCUT400</t>
  </si>
  <si>
    <t>sym2,sp1,lasph,k222 - 480procs</t>
  </si>
  <si>
    <t>k644</t>
  </si>
  <si>
    <t>k866</t>
  </si>
  <si>
    <t>252at isif3 B</t>
  </si>
  <si>
    <t>252at vac B</t>
  </si>
  <si>
    <t>x</t>
  </si>
  <si>
    <t>k355</t>
  </si>
  <si>
    <t>readNEB 100</t>
  </si>
  <si>
    <t>CINEB</t>
  </si>
  <si>
    <t>a5-y</t>
  </si>
  <si>
    <t>cinebX</t>
  </si>
  <si>
    <t>Ef</t>
  </si>
  <si>
    <t>delE</t>
  </si>
  <si>
    <t>cinebZ</t>
  </si>
  <si>
    <t>252at isif3 C</t>
  </si>
  <si>
    <t>sym2,sp1,lasph,k444, ENCUT252</t>
  </si>
  <si>
    <t>time</t>
  </si>
  <si>
    <t>NdSub</t>
  </si>
  <si>
    <t>Ndvac1</t>
  </si>
  <si>
    <t>Ndvac2</t>
  </si>
  <si>
    <t>252at vac C</t>
  </si>
  <si>
    <t>k444</t>
  </si>
  <si>
    <t>k222</t>
  </si>
  <si>
    <t>Ebind</t>
  </si>
  <si>
    <t>Ndsubisif2</t>
  </si>
  <si>
    <t>y1</t>
  </si>
  <si>
    <t>y2</t>
  </si>
  <si>
    <t>y3</t>
  </si>
  <si>
    <t>y4</t>
  </si>
  <si>
    <t>del E</t>
  </si>
  <si>
    <t>Ndsubvac</t>
  </si>
  <si>
    <t>mid isif2</t>
  </si>
  <si>
    <t>y5</t>
  </si>
  <si>
    <t>y6</t>
  </si>
  <si>
    <t>y7</t>
  </si>
  <si>
    <t>y8</t>
  </si>
  <si>
    <t>y9</t>
  </si>
  <si>
    <t>y10</t>
  </si>
  <si>
    <t>y11</t>
  </si>
  <si>
    <t>isif3</t>
  </si>
  <si>
    <t>x1</t>
  </si>
  <si>
    <t>x2</t>
  </si>
  <si>
    <t>y12</t>
  </si>
  <si>
    <t>z1</t>
  </si>
  <si>
    <t>z2</t>
  </si>
  <si>
    <t>NdcinebX</t>
  </si>
  <si>
    <t>Ndvac</t>
  </si>
  <si>
    <t>x3</t>
  </si>
  <si>
    <t>x4</t>
  </si>
  <si>
    <t>x5</t>
  </si>
  <si>
    <t>x6</t>
  </si>
  <si>
    <t>x7</t>
  </si>
  <si>
    <t>x8</t>
  </si>
  <si>
    <t>x9</t>
  </si>
  <si>
    <t>fcc Pd</t>
  </si>
  <si>
    <t>fcc Pd spin</t>
  </si>
  <si>
    <t>Ndsub2vac</t>
  </si>
  <si>
    <t>Pdsub</t>
  </si>
  <si>
    <t>PdNdsub</t>
  </si>
  <si>
    <t>cinebX1</t>
  </si>
  <si>
    <t>y11 isif2</t>
  </si>
  <si>
    <t>252at isif3 D</t>
  </si>
  <si>
    <t>sym2,sp1,lasph,k444</t>
  </si>
  <si>
    <t>encut</t>
  </si>
  <si>
    <t>A</t>
  </si>
  <si>
    <t>D</t>
  </si>
  <si>
    <t>C</t>
  </si>
  <si>
    <t>ALL HAVE PREC=ACC</t>
  </si>
  <si>
    <t>prec=A</t>
  </si>
  <si>
    <t>B</t>
  </si>
  <si>
    <t>Evac</t>
  </si>
  <si>
    <t>Efvac</t>
  </si>
  <si>
    <t>isym0</t>
  </si>
  <si>
    <t>isym0 precN</t>
  </si>
  <si>
    <t>emigX</t>
  </si>
  <si>
    <t>vac time</t>
  </si>
  <si>
    <t>using relaxed CONTCARs for endpoints</t>
  </si>
  <si>
    <t>D400</t>
  </si>
  <si>
    <t>cinebX2</t>
  </si>
  <si>
    <t>k222 isym0</t>
  </si>
  <si>
    <t>isym0precNREAL</t>
  </si>
  <si>
    <t>prec=N</t>
  </si>
  <si>
    <t>k422</t>
  </si>
  <si>
    <t>k424</t>
  </si>
  <si>
    <t>emigX3</t>
  </si>
  <si>
    <t>Nd sub</t>
  </si>
  <si>
    <t>divacx</t>
  </si>
  <si>
    <t>divacz</t>
  </si>
  <si>
    <t>isym0 precN 252</t>
  </si>
  <si>
    <t>Pd sub</t>
  </si>
  <si>
    <t>isym0 precNsp2</t>
  </si>
  <si>
    <t>isym0 precNREAL</t>
  </si>
  <si>
    <t>emigZ3</t>
  </si>
  <si>
    <t>isym0 precN 400</t>
  </si>
  <si>
    <t>ndpdz</t>
  </si>
  <si>
    <t>ndpdx</t>
  </si>
  <si>
    <t>didn’t finish… would have if force was 0.02 eV/ang, but was using 0.01 ev/ang</t>
  </si>
  <si>
    <t>Vacancy</t>
  </si>
  <si>
    <t>Defect</t>
  </si>
  <si>
    <t>Formation Energy</t>
  </si>
  <si>
    <t>Migration Energy</t>
  </si>
  <si>
    <t>Vacancy - X</t>
  </si>
  <si>
    <t>Vacancy - Z</t>
  </si>
  <si>
    <t>Pd Sub</t>
  </si>
  <si>
    <t>Divac - X</t>
  </si>
  <si>
    <t>Divac - Z</t>
  </si>
  <si>
    <t>ndvacx</t>
  </si>
  <si>
    <t>ndvacz</t>
  </si>
  <si>
    <t>didn’t finish</t>
  </si>
  <si>
    <t>divacz 2nn</t>
  </si>
  <si>
    <t>divacx 2nn</t>
  </si>
  <si>
    <t>pdvacx</t>
  </si>
  <si>
    <t>pdvacz</t>
  </si>
  <si>
    <t>nd divacx</t>
  </si>
  <si>
    <t>nd divacxz</t>
  </si>
  <si>
    <t>with EDIFFG = -0.02</t>
  </si>
  <si>
    <t>nd divacz</t>
  </si>
  <si>
    <t>trivac x</t>
  </si>
  <si>
    <t>trivac z</t>
  </si>
  <si>
    <t>trivac xz</t>
  </si>
  <si>
    <t>Nd Vac X</t>
  </si>
  <si>
    <t>Nd Vac Z</t>
  </si>
  <si>
    <t>Pd Vac X</t>
  </si>
  <si>
    <t>Pd Vac Z</t>
  </si>
  <si>
    <t>Divac 2nn X</t>
  </si>
  <si>
    <t>Divac 2nn Z</t>
  </si>
  <si>
    <t>Nd Divac Z</t>
  </si>
  <si>
    <t>Nd Divac X</t>
  </si>
  <si>
    <t>nd mig z</t>
  </si>
  <si>
    <t>nd mig x</t>
  </si>
  <si>
    <t>enmigZ</t>
  </si>
  <si>
    <t>nd mig z3</t>
  </si>
  <si>
    <t>nd divacz A</t>
  </si>
  <si>
    <t>stalled with ediffg -0.01</t>
  </si>
  <si>
    <t>nddivac mig Z</t>
  </si>
  <si>
    <t>nd divacz 0+</t>
  </si>
  <si>
    <t>nd divacz 0-</t>
  </si>
  <si>
    <t>Nd-Vac - Z</t>
  </si>
  <si>
    <t>Nd-Vac - X</t>
  </si>
  <si>
    <t>Nd-Divac -Z</t>
  </si>
  <si>
    <t>nddivac mig Z C</t>
  </si>
  <si>
    <t>isym0 precNAuto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</si>
  <si>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</si>
  <si>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</si>
  <si>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</si>
  <si>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</si>
  <si>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</si>
  <si>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</si>
  <si>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</si>
  <si>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</si>
  <si>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</si>
  <si>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</si>
  <si>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</si>
  <si>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</si>
  <si>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</si>
  <si>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</si>
  <si>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</si>
  <si>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</si>
  <si>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</si>
  <si>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</si>
  <si>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</si>
  <si>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</si>
  <si>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</si>
  <si>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E Bind</t>
  </si>
  <si>
    <t>E Marg Bind</t>
  </si>
  <si>
    <t>k433</t>
  </si>
  <si>
    <t>irred=20</t>
  </si>
  <si>
    <t>irred=12</t>
  </si>
  <si>
    <t>irred=27</t>
  </si>
  <si>
    <t>irred=19</t>
  </si>
  <si>
    <t>isymk444_400Auto</t>
  </si>
  <si>
    <t>Monkhorst</t>
  </si>
  <si>
    <t>irred=36</t>
  </si>
  <si>
    <t>irred=32</t>
  </si>
  <si>
    <t>isym1</t>
  </si>
  <si>
    <t>I AM NOT SHOWING VACANCY BINDING!!! WTF????</t>
  </si>
  <si>
    <t>Evac isif3</t>
  </si>
  <si>
    <t>Efvac isif3</t>
  </si>
  <si>
    <t>vac isif3 time</t>
  </si>
  <si>
    <t>Divac</t>
  </si>
  <si>
    <t>k424 Monkhorst</t>
  </si>
  <si>
    <t>irred=16</t>
  </si>
  <si>
    <t>Wirth 2012</t>
  </si>
  <si>
    <t>Ef divac</t>
  </si>
  <si>
    <t>with fewer processors…</t>
  </si>
  <si>
    <t>divac z isif3</t>
  </si>
  <si>
    <t>less procs</t>
  </si>
  <si>
    <t>Binding Energy</t>
  </si>
  <si>
    <t>Monkhorst Pack 4x2x4</t>
  </si>
  <si>
    <t>vac</t>
  </si>
  <si>
    <t>divac Wirth</t>
  </si>
  <si>
    <t>sp2,sym1,lasph</t>
  </si>
  <si>
    <t>isif3D</t>
  </si>
  <si>
    <t>ndsub</t>
  </si>
  <si>
    <t>NOTES</t>
  </si>
  <si>
    <t>ndsubvacx</t>
  </si>
  <si>
    <t>ndsubvacz</t>
  </si>
  <si>
    <t>pdsub</t>
  </si>
  <si>
    <t>pdsubvacx</t>
  </si>
  <si>
    <t>pdsubvacz</t>
  </si>
  <si>
    <t>Migrations</t>
  </si>
  <si>
    <t>vacx</t>
  </si>
  <si>
    <t>vacz</t>
  </si>
  <si>
    <t>nd x</t>
  </si>
  <si>
    <t>nd z</t>
  </si>
  <si>
    <t>Divac X2 is two vacancies that are one unit cell apart in x direction</t>
  </si>
  <si>
    <t>Divac Z2 is two vacancies that are one unit cell apart in z direction</t>
  </si>
  <si>
    <t>divac Y2</t>
  </si>
  <si>
    <t>divac X2</t>
  </si>
  <si>
    <t>divac Z2</t>
  </si>
  <si>
    <t>Divac Y2 is two vacancies that are one unit cell apart in y direction</t>
  </si>
  <si>
    <t>Em</t>
  </si>
  <si>
    <t>vacxa</t>
  </si>
  <si>
    <t>NFREE=2</t>
  </si>
  <si>
    <t>vacxb</t>
  </si>
  <si>
    <t>spring=0</t>
  </si>
  <si>
    <t>didn’t finish :(</t>
  </si>
  <si>
    <t>vacxc</t>
  </si>
  <si>
    <t>spring=-5, LCLIMB=F</t>
  </si>
  <si>
    <t>ndsubvacW</t>
  </si>
  <si>
    <t>pdsubvacW</t>
  </si>
  <si>
    <t>vacxd</t>
  </si>
  <si>
    <t>POTIM=0.3, VF</t>
  </si>
  <si>
    <t>ran out of steps</t>
  </si>
  <si>
    <t>died, nbands unfilled</t>
  </si>
  <si>
    <t>POTIM=0.3, VF, NBANDS=2500</t>
  </si>
  <si>
    <t>vacxe</t>
  </si>
  <si>
    <t>vacxf</t>
  </si>
  <si>
    <t>ALGO=N</t>
  </si>
  <si>
    <t>ALGO=VF, NBANDS=3000</t>
  </si>
  <si>
    <t>vacxg</t>
  </si>
  <si>
    <t>killed, seemed shit</t>
  </si>
  <si>
    <t>ALGO=N, IBRION=2, EDIFF=1E-8</t>
  </si>
  <si>
    <t>died</t>
  </si>
  <si>
    <t>vacza</t>
  </si>
  <si>
    <t>IBRION=2</t>
  </si>
  <si>
    <t>uint</t>
  </si>
  <si>
    <t>didn’t finish, asked for re-run</t>
  </si>
  <si>
    <t>walltime ran out</t>
  </si>
  <si>
    <t>vacxh</t>
  </si>
  <si>
    <t>vaczb</t>
  </si>
  <si>
    <t>ALGO=F, POTIM=def, IBRI=2, EDIFF=-8</t>
  </si>
  <si>
    <t>vacxi</t>
  </si>
  <si>
    <t>ALGO=N, POTIM=def, IBRI=2, EDIFF=-8</t>
  </si>
  <si>
    <t>ALGO=N, POTIM=0.3, IBRI=2, EDIFF=-8</t>
  </si>
  <si>
    <t>vaczc</t>
  </si>
  <si>
    <t>vaczd</t>
  </si>
  <si>
    <t>vacze</t>
  </si>
  <si>
    <t>included LPLANE=F</t>
  </si>
  <si>
    <t>vacxj</t>
  </si>
  <si>
    <t>died Error EDDDAV</t>
  </si>
  <si>
    <t>vaczf</t>
  </si>
  <si>
    <t>vacxk</t>
  </si>
  <si>
    <t>vaczg</t>
  </si>
  <si>
    <t>didn’t finish "rerun will smaller EDIFF"</t>
  </si>
  <si>
    <t>vacxl</t>
  </si>
  <si>
    <t>vaczl</t>
  </si>
  <si>
    <t>vacxm</t>
  </si>
  <si>
    <t>vaczm</t>
  </si>
  <si>
    <t>same as l, added PREC=A, need to adjust vac reference</t>
  </si>
  <si>
    <t>WORKED! :D</t>
  </si>
  <si>
    <t>same as xj, EDIFF=-8</t>
  </si>
  <si>
    <t>same as zf, EDIFF=-8</t>
  </si>
  <si>
    <t>died :(  Error EDDDAV</t>
  </si>
  <si>
    <t>changed prec to A</t>
  </si>
  <si>
    <t>died…., error EDDDAV, ZHEGV</t>
  </si>
  <si>
    <t>?</t>
  </si>
  <si>
    <t>isym0 precA Auto</t>
  </si>
  <si>
    <t>same as xM, with NBANDS=3000, ediff 10-8</t>
  </si>
  <si>
    <t>vacxn</t>
  </si>
  <si>
    <t>vacxo</t>
  </si>
  <si>
    <t>Monkhorst Pack 4x4x4</t>
  </si>
  <si>
    <t>irred=?</t>
  </si>
  <si>
    <t>vacxp</t>
  </si>
  <si>
    <t>same as Xo, but with algo=F, potim=0.05</t>
  </si>
  <si>
    <t>vacxq</t>
  </si>
  <si>
    <t>same an Xn, with algo=N, ediff=-6</t>
  </si>
  <si>
    <t>same as Xp, but with vtst optimizers</t>
  </si>
  <si>
    <t>walltime exceeded</t>
  </si>
  <si>
    <t>vacxr</t>
  </si>
  <si>
    <t>died after 34 steps… didn’t really move…</t>
  </si>
  <si>
    <t>prec=N, ibrion1, potim=0.01, no NBANDS</t>
  </si>
  <si>
    <t>vacxr2</t>
  </si>
  <si>
    <t>same, but with preconverged 01 image</t>
  </si>
  <si>
    <t>vacxr3</t>
  </si>
  <si>
    <t>three images</t>
  </si>
  <si>
    <t>ran out of steps… says potim should be increased</t>
  </si>
  <si>
    <t>ran out of time</t>
  </si>
  <si>
    <t>vacxs</t>
  </si>
  <si>
    <t>prec=N, ibrion1, potim=0.02, spring=-10, no NBANDS, preconverged</t>
  </si>
  <si>
    <t>same as Xs, but with POTIM=0.5</t>
  </si>
  <si>
    <t>vacxt</t>
  </si>
  <si>
    <t>vacxu</t>
  </si>
  <si>
    <t>ibrion3, smass=2, nsw 10</t>
  </si>
  <si>
    <t>trying to preconverge to get over these damn huge steps at the beginning…</t>
  </si>
  <si>
    <t>so it made steps… continuing</t>
  </si>
  <si>
    <t>ndpdx2</t>
  </si>
  <si>
    <t>ndpdz2</t>
  </si>
  <si>
    <t>ndpdxyz</t>
  </si>
  <si>
    <t>ndpdxyz2</t>
  </si>
  <si>
    <t>no CI, or NEB, only elastic band</t>
  </si>
  <si>
    <t>isif3E</t>
  </si>
  <si>
    <t>precN, encut400</t>
  </si>
  <si>
    <t>dhcpNd</t>
  </si>
  <si>
    <t>dhcp Nd3</t>
  </si>
  <si>
    <t>fcc Nd14</t>
  </si>
  <si>
    <t>fcc Nd3</t>
  </si>
  <si>
    <t>ndpdw</t>
  </si>
  <si>
    <t>ce sub</t>
  </si>
  <si>
    <t>sn sub</t>
  </si>
  <si>
    <t>fccSn</t>
  </si>
  <si>
    <t>dcSn</t>
  </si>
  <si>
    <t>tet Sn</t>
  </si>
  <si>
    <t xml:space="preserve">experimental data </t>
  </si>
  <si>
    <t>diamond Sn</t>
  </si>
  <si>
    <t>ndsnX</t>
  </si>
  <si>
    <t>ndsnZ</t>
  </si>
  <si>
    <t>Divac Wirth is two vacancies in parallel corrugated planes 1/2 unit cell apart</t>
  </si>
  <si>
    <t>cineb ndpdz</t>
  </si>
  <si>
    <t>ndpdZvac</t>
  </si>
  <si>
    <t>ndpdZvac2</t>
  </si>
  <si>
    <t xml:space="preserve"> </t>
  </si>
  <si>
    <t>ndint</t>
  </si>
  <si>
    <t>pdint</t>
  </si>
  <si>
    <t>snint</t>
  </si>
  <si>
    <t>cinebNdX</t>
  </si>
  <si>
    <t>fcc Ce</t>
  </si>
  <si>
    <t>isi3E</t>
  </si>
  <si>
    <t>isi3F</t>
  </si>
  <si>
    <t>POSCAR B</t>
  </si>
  <si>
    <t>POSCAR A</t>
  </si>
  <si>
    <t>V</t>
  </si>
  <si>
    <t>V/at</t>
  </si>
  <si>
    <t>fcc Nd</t>
  </si>
  <si>
    <t>with mag</t>
  </si>
  <si>
    <t>with POSCAR B</t>
  </si>
  <si>
    <t>k6</t>
  </si>
  <si>
    <t>k8</t>
  </si>
  <si>
    <t>isif3F</t>
  </si>
  <si>
    <t>with POSCAR A</t>
  </si>
  <si>
    <t>k6mag</t>
  </si>
  <si>
    <t>mag</t>
  </si>
  <si>
    <t>-</t>
  </si>
  <si>
    <t>k8mag</t>
  </si>
  <si>
    <t>k10</t>
  </si>
  <si>
    <t>dhcp k10</t>
  </si>
  <si>
    <t>zrsub</t>
  </si>
  <si>
    <t>zr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</si>
</sst>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9"/>
      <name val="Calibri"/>
      <family val="2"/>
      <scheme val="minor"/>
    </font>
    <font>
      <sz val="13"/>
      <color rgb="FF75757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59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ill="1"/>
    <xf numFmtId="0" fontId="2" fillId="0" borderId="0" xfId="17" applyFill="1"/>
    <xf numFmtId="0" fontId="0" fillId="0" borderId="0" xfId="0" applyFill="1"/>
    <xf numFmtId="11" fontId="0" fillId="0" borderId="0" xfId="0" applyNumberFormat="1"/>
    <xf numFmtId="164" fontId="5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0" fontId="6" fillId="0" borderId="0" xfId="0" applyFont="1"/>
    <xf numFmtId="164" fontId="9" fillId="0" borderId="0" xfId="0" applyNumberFormat="1" applyFont="1"/>
    <xf numFmtId="164" fontId="8" fillId="0" borderId="0" xfId="0" applyNumberFormat="1" applyFont="1"/>
    <xf numFmtId="164" fontId="10" fillId="0" borderId="0" xfId="0" applyNumberFormat="1" applyFont="1"/>
    <xf numFmtId="0" fontId="8" fillId="0" borderId="0" xfId="0" applyFont="1"/>
    <xf numFmtId="165" fontId="8" fillId="0" borderId="0" xfId="0" applyNumberFormat="1" applyFont="1"/>
    <xf numFmtId="165" fontId="10" fillId="0" borderId="0" xfId="0" applyNumberFormat="1" applyFont="1"/>
    <xf numFmtId="0" fontId="10" fillId="0" borderId="0" xfId="0" applyFont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164" fontId="1" fillId="0" borderId="0" xfId="17" applyNumberFormat="1" applyFont="1" applyFill="1"/>
    <xf numFmtId="164" fontId="2" fillId="0" borderId="0" xfId="17" applyNumberFormat="1" applyFill="1"/>
    <xf numFmtId="0" fontId="9" fillId="0" borderId="0" xfId="0" applyFont="1"/>
    <xf numFmtId="0" fontId="0" fillId="0" borderId="1" xfId="0" applyBorder="1"/>
    <xf numFmtId="0" fontId="0" fillId="0" borderId="1" xfId="0" applyFont="1" applyBorder="1"/>
    <xf numFmtId="0" fontId="0" fillId="0" borderId="1" xfId="0" applyFill="1" applyBorder="1"/>
    <xf numFmtId="165" fontId="0" fillId="0" borderId="1" xfId="0" applyNumberFormat="1" applyBorder="1"/>
    <xf numFmtId="165" fontId="0" fillId="0" borderId="1" xfId="0" applyNumberFormat="1" applyFill="1" applyBorder="1"/>
    <xf numFmtId="164" fontId="0" fillId="0" borderId="1" xfId="0" applyNumberFormat="1" applyBorder="1"/>
    <xf numFmtId="0" fontId="5" fillId="0" borderId="0" xfId="0" applyFont="1"/>
    <xf numFmtId="164" fontId="11" fillId="0" borderId="0" xfId="0" applyNumberFormat="1" applyFont="1"/>
    <xf numFmtId="11" fontId="0" fillId="0" borderId="0" xfId="0" applyNumberFormat="1" applyFont="1"/>
    <xf numFmtId="166" fontId="0" fillId="0" borderId="0" xfId="0" applyNumberFormat="1" applyFont="1"/>
    <xf numFmtId="166" fontId="0" fillId="0" borderId="0" xfId="0" applyNumberFormat="1"/>
    <xf numFmtId="166" fontId="5" fillId="0" borderId="0" xfId="0" applyNumberFormat="1" applyFont="1"/>
    <xf numFmtId="1" fontId="0" fillId="0" borderId="0" xfId="0" applyNumberFormat="1"/>
    <xf numFmtId="2" fontId="5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0" fontId="0" fillId="0" borderId="0" xfId="0" applyFill="1" applyBorder="1"/>
    <xf numFmtId="0" fontId="12" fillId="0" borderId="0" xfId="0" applyFont="1"/>
    <xf numFmtId="0" fontId="0" fillId="0" borderId="2" xfId="0" applyBorder="1"/>
    <xf numFmtId="165" fontId="5" fillId="0" borderId="0" xfId="0" applyNumberFormat="1" applyFont="1"/>
    <xf numFmtId="15" fontId="0" fillId="0" borderId="0" xfId="0" applyNumberFormat="1"/>
    <xf numFmtId="165" fontId="6" fillId="0" borderId="0" xfId="0" applyNumberFormat="1" applyFont="1"/>
    <xf numFmtId="165" fontId="9" fillId="0" borderId="0" xfId="0" applyNumberFormat="1" applyFont="1"/>
    <xf numFmtId="11" fontId="5" fillId="0" borderId="0" xfId="0" applyNumberFormat="1" applyFont="1"/>
    <xf numFmtId="0" fontId="0" fillId="2" borderId="0" xfId="0" applyFill="1"/>
    <xf numFmtId="164" fontId="0" fillId="2" borderId="0" xfId="0" applyNumberFormat="1" applyFill="1"/>
    <xf numFmtId="164" fontId="5" fillId="2" borderId="0" xfId="0" applyNumberFormat="1" applyFont="1" applyFill="1"/>
    <xf numFmtId="11" fontId="0" fillId="2" borderId="0" xfId="0" applyNumberFormat="1" applyFill="1"/>
    <xf numFmtId="11" fontId="9" fillId="0" borderId="0" xfId="0" applyNumberFormat="1" applyFont="1"/>
  </cellXfs>
  <cellStyles count="59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Normal" xfId="0" builtinId="0"/>
    <cellStyle name="Normal 4" xfId="17" xr:uid="{00000000-0005-0000-0000-00004D02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'alpha U'!$J$31:$J$35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'alpha U'!$N$31:$N$35</c:f>
              <c:numCache>
                <c:formatCode>0.0000</c:formatCode>
                <c:ptCount val="5"/>
                <c:pt idx="0">
                  <c:v>0</c:v>
                </c:pt>
                <c:pt idx="1">
                  <c:v>0.20717999999999392</c:v>
                </c:pt>
                <c:pt idx="2">
                  <c:v>0.53700000000003456</c:v>
                </c:pt>
                <c:pt idx="3">
                  <c:v>0.20717999999999392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9D-9B48-8BDD-A7AC9DE17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142512"/>
        <c:axId val="1401144832"/>
      </c:scatterChart>
      <c:valAx>
        <c:axId val="140114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1144832"/>
        <c:crosses val="autoZero"/>
        <c:crossBetween val="midCat"/>
      </c:valAx>
      <c:valAx>
        <c:axId val="1401144832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crossAx val="140114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</c:spPr>
          </c:marker>
          <c:xVal>
            <c:numRef>
              <c:f>alphaU252!$M$11:$M$19</c:f>
              <c:numCache>
                <c:formatCode>General</c:formatCode>
                <c:ptCount val="9"/>
                <c:pt idx="0">
                  <c:v>0.5</c:v>
                </c:pt>
                <c:pt idx="1">
                  <c:v>0.51790000000000003</c:v>
                </c:pt>
                <c:pt idx="2">
                  <c:v>0.53580000000000005</c:v>
                </c:pt>
                <c:pt idx="3">
                  <c:v>0.55369999999999997</c:v>
                </c:pt>
                <c:pt idx="4">
                  <c:v>0.5716</c:v>
                </c:pt>
                <c:pt idx="5">
                  <c:v>0.58950000000000002</c:v>
                </c:pt>
                <c:pt idx="6">
                  <c:v>0.60740000000000005</c:v>
                </c:pt>
                <c:pt idx="7">
                  <c:v>0.62529999999999997</c:v>
                </c:pt>
                <c:pt idx="8">
                  <c:v>0.64290000000000003</c:v>
                </c:pt>
              </c:numCache>
            </c:numRef>
          </c:xVal>
          <c:yVal>
            <c:numRef>
              <c:f>alphaU252!$O$11:$O$19</c:f>
              <c:numCache>
                <c:formatCode>0.0000</c:formatCode>
                <c:ptCount val="9"/>
                <c:pt idx="0">
                  <c:v>4.2824007936511403</c:v>
                </c:pt>
                <c:pt idx="1">
                  <c:v>3.9342007936512342</c:v>
                </c:pt>
                <c:pt idx="2">
                  <c:v>3.8129007936514423</c:v>
                </c:pt>
                <c:pt idx="3">
                  <c:v>3.7470007936513863</c:v>
                </c:pt>
                <c:pt idx="4">
                  <c:v>3.7043007936514183</c:v>
                </c:pt>
                <c:pt idx="5">
                  <c:v>3.7466007936510319</c:v>
                </c:pt>
                <c:pt idx="6">
                  <c:v>3.8120007936514408</c:v>
                </c:pt>
                <c:pt idx="7">
                  <c:v>3.9337007936511323</c:v>
                </c:pt>
                <c:pt idx="8">
                  <c:v>4.2830007936514445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A-0841-B848-77A12A4C8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821264"/>
        <c:axId val="1193823744"/>
      </c:scatterChart>
      <c:valAx>
        <c:axId val="1193821264"/>
        <c:scaling>
          <c:orientation val="minMax"/>
          <c:max val="0.7"/>
          <c:min val="0.45"/>
        </c:scaling>
        <c:delete val="0"/>
        <c:axPos val="b"/>
        <c:numFmt formatCode="0.000" sourceLinked="0"/>
        <c:majorTickMark val="out"/>
        <c:minorTickMark val="none"/>
        <c:tickLblPos val="nextTo"/>
        <c:crossAx val="1193823744"/>
        <c:crosses val="autoZero"/>
        <c:crossBetween val="midCat"/>
      </c:valAx>
      <c:valAx>
        <c:axId val="1193823744"/>
        <c:scaling>
          <c:orientation val="minMax"/>
          <c:max val="5"/>
          <c:min val="3"/>
        </c:scaling>
        <c:delete val="0"/>
        <c:axPos val="l"/>
        <c:numFmt formatCode="0.0000" sourceLinked="1"/>
        <c:majorTickMark val="out"/>
        <c:minorTickMark val="none"/>
        <c:tickLblPos val="nextTo"/>
        <c:crossAx val="1193821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'U-Nd'!$K$18:$K$26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'U-Nd'!$O$18:$O$26</c:f>
              <c:numCache>
                <c:formatCode>0.0000</c:formatCode>
                <c:ptCount val="9"/>
                <c:pt idx="0">
                  <c:v>0</c:v>
                </c:pt>
                <c:pt idx="1">
                  <c:v>-0.63598999999999251</c:v>
                </c:pt>
                <c:pt idx="2">
                  <c:v>-0.71926999999993768</c:v>
                </c:pt>
                <c:pt idx="3">
                  <c:v>-0.49150999999994838</c:v>
                </c:pt>
                <c:pt idx="4">
                  <c:v>-0.51473999999996067</c:v>
                </c:pt>
                <c:pt idx="5">
                  <c:v>-0.49150999999994838</c:v>
                </c:pt>
                <c:pt idx="6">
                  <c:v>-0.71927999999991243</c:v>
                </c:pt>
                <c:pt idx="7">
                  <c:v>-0.63598999999999251</c:v>
                </c:pt>
                <c:pt idx="8">
                  <c:v>4.9999999987448973E-5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9C-5949-9562-3B3BB0CD0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852320"/>
        <c:axId val="1193855072"/>
      </c:scatterChart>
      <c:valAx>
        <c:axId val="1193852320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193855072"/>
        <c:crosses val="autoZero"/>
        <c:crossBetween val="midCat"/>
        <c:majorUnit val="0.2"/>
      </c:valAx>
      <c:valAx>
        <c:axId val="1193855072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crossAx val="1193852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'U-Nd'!$K$35:$K$43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'U-Nd'!$O$35:$O$43</c:f>
              <c:numCache>
                <c:formatCode>0.0000</c:formatCode>
                <c:ptCount val="9"/>
                <c:pt idx="0">
                  <c:v>0</c:v>
                </c:pt>
                <c:pt idx="1">
                  <c:v>-0.34519999999997708</c:v>
                </c:pt>
                <c:pt idx="2">
                  <c:v>-0.45479999999997744</c:v>
                </c:pt>
                <c:pt idx="3">
                  <c:v>-0.52484000000004016</c:v>
                </c:pt>
                <c:pt idx="4">
                  <c:v>-0.56725000000005821</c:v>
                </c:pt>
                <c:pt idx="5">
                  <c:v>-0.52484000000004016</c:v>
                </c:pt>
                <c:pt idx="6">
                  <c:v>-0.45479999999997744</c:v>
                </c:pt>
                <c:pt idx="7">
                  <c:v>-0.34519999999997708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9-9246-9184-F89C3359A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873744"/>
        <c:axId val="1193876496"/>
      </c:scatterChart>
      <c:valAx>
        <c:axId val="1193873744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193876496"/>
        <c:crosses val="autoZero"/>
        <c:crossBetween val="midCat"/>
        <c:majorUnit val="0.2"/>
      </c:valAx>
      <c:valAx>
        <c:axId val="1193876496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crossAx val="1193873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'U-Nd'!$F$41:$F$51</c:f>
              <c:numCache>
                <c:formatCode>General</c:formatCode>
                <c:ptCount val="11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</c:numCache>
            </c:numRef>
          </c:xVal>
          <c:yVal>
            <c:numRef>
              <c:f>'U-Nd'!$E$41:$E$51</c:f>
              <c:numCache>
                <c:formatCode>0.0000</c:formatCode>
                <c:ptCount val="11"/>
                <c:pt idx="0">
                  <c:v>0</c:v>
                </c:pt>
                <c:pt idx="1">
                  <c:v>4.3100000000322325E-3</c:v>
                </c:pt>
                <c:pt idx="2">
                  <c:v>-9.6600000000535147E-3</c:v>
                </c:pt>
                <c:pt idx="3">
                  <c:v>-6.2459999999987303E-2</c:v>
                </c:pt>
                <c:pt idx="4">
                  <c:v>-0.13932999999997264</c:v>
                </c:pt>
                <c:pt idx="5">
                  <c:v>-0.181479999999965</c:v>
                </c:pt>
                <c:pt idx="6">
                  <c:v>-0.13927999999998519</c:v>
                </c:pt>
                <c:pt idx="7">
                  <c:v>-6.2459999999987303E-2</c:v>
                </c:pt>
                <c:pt idx="8">
                  <c:v>-9.6600000000535147E-3</c:v>
                </c:pt>
                <c:pt idx="9">
                  <c:v>4.3100000000322325E-3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94-EB4F-908E-67A5B004D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895248"/>
        <c:axId val="1193898000"/>
      </c:scatterChart>
      <c:valAx>
        <c:axId val="1193895248"/>
        <c:scaling>
          <c:orientation val="minMax"/>
          <c:max val="0.3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193898000"/>
        <c:crosses val="autoZero"/>
        <c:crossBetween val="midCat"/>
        <c:majorUnit val="0.2"/>
      </c:valAx>
      <c:valAx>
        <c:axId val="1193898000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crossAx val="1193895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'alpha U'!$O$65:$O$73</c:f>
              <c:numCache>
                <c:formatCode>General</c:formatCode>
                <c:ptCount val="9"/>
                <c:pt idx="0">
                  <c:v>0.4</c:v>
                </c:pt>
                <c:pt idx="1">
                  <c:v>0.375</c:v>
                </c:pt>
                <c:pt idx="2">
                  <c:v>0.35</c:v>
                </c:pt>
                <c:pt idx="3">
                  <c:v>0.32500000000000001</c:v>
                </c:pt>
                <c:pt idx="4">
                  <c:v>0.3</c:v>
                </c:pt>
                <c:pt idx="5">
                  <c:v>0.27500000000000002</c:v>
                </c:pt>
                <c:pt idx="6">
                  <c:v>0.25</c:v>
                </c:pt>
                <c:pt idx="7">
                  <c:v>0.22500000000000001</c:v>
                </c:pt>
                <c:pt idx="8">
                  <c:v>0.2</c:v>
                </c:pt>
              </c:numCache>
            </c:numRef>
          </c:xVal>
          <c:yVal>
            <c:numRef>
              <c:f>'alpha U'!$L$65:$L$73</c:f>
              <c:numCache>
                <c:formatCode>0.0000</c:formatCode>
                <c:ptCount val="9"/>
                <c:pt idx="0">
                  <c:v>0</c:v>
                </c:pt>
                <c:pt idx="1">
                  <c:v>4.2030000000067957E-2</c:v>
                </c:pt>
                <c:pt idx="2">
                  <c:v>0.19687999999996464</c:v>
                </c:pt>
                <c:pt idx="3">
                  <c:v>0.40425000000004729</c:v>
                </c:pt>
                <c:pt idx="4">
                  <c:v>0.54786000000001422</c:v>
                </c:pt>
                <c:pt idx="5">
                  <c:v>0.41376000000002477</c:v>
                </c:pt>
                <c:pt idx="6">
                  <c:v>0.21335999999996602</c:v>
                </c:pt>
                <c:pt idx="7">
                  <c:v>3.2440000000065083E-2</c:v>
                </c:pt>
                <c:pt idx="8">
                  <c:v>-3.4559999999942193E-2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F7-7C4B-B963-1EB03525B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163552"/>
        <c:axId val="1401166304"/>
      </c:scatterChart>
      <c:valAx>
        <c:axId val="1401163552"/>
        <c:scaling>
          <c:orientation val="minMax"/>
          <c:max val="0.4"/>
          <c:min val="0.2"/>
        </c:scaling>
        <c:delete val="0"/>
        <c:axPos val="b"/>
        <c:numFmt formatCode="General" sourceLinked="1"/>
        <c:majorTickMark val="out"/>
        <c:minorTickMark val="none"/>
        <c:tickLblPos val="nextTo"/>
        <c:crossAx val="1401166304"/>
        <c:crosses val="autoZero"/>
        <c:crossBetween val="midCat"/>
      </c:valAx>
      <c:valAx>
        <c:axId val="1401166304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crossAx val="1401163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'alpha U'!$M$88:$M$98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'alpha U'!$P$88:$P$98</c:f>
              <c:numCache>
                <c:formatCode>0.0000</c:formatCode>
                <c:ptCount val="11"/>
                <c:pt idx="0">
                  <c:v>0</c:v>
                </c:pt>
                <c:pt idx="1">
                  <c:v>4.8529999999914253E-2</c:v>
                </c:pt>
                <c:pt idx="2">
                  <c:v>0.23852999999996882</c:v>
                </c:pt>
                <c:pt idx="3">
                  <c:v>0.39313999999990301</c:v>
                </c:pt>
                <c:pt idx="4">
                  <c:v>0.42093999999997322</c:v>
                </c:pt>
                <c:pt idx="5">
                  <c:v>0.38702999999998156</c:v>
                </c:pt>
                <c:pt idx="6">
                  <c:v>0.33618000000001302</c:v>
                </c:pt>
                <c:pt idx="7">
                  <c:v>0.25477000000000771</c:v>
                </c:pt>
                <c:pt idx="8">
                  <c:v>0.15184999999996762</c:v>
                </c:pt>
                <c:pt idx="9">
                  <c:v>7.0179999999936626E-2</c:v>
                </c:pt>
                <c:pt idx="10">
                  <c:v>9.6900000000005093E-2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3F-3446-A56B-167338239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185056"/>
        <c:axId val="1401187808"/>
      </c:scatterChart>
      <c:valAx>
        <c:axId val="1401185056"/>
        <c:scaling>
          <c:orientation val="minMax"/>
          <c:max val="0.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01187808"/>
        <c:crosses val="autoZero"/>
        <c:crossBetween val="midCat"/>
      </c:valAx>
      <c:valAx>
        <c:axId val="1401187808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crossAx val="1401185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xVal>
            <c:numRef>
              <c:f>'alpha U'!$J$40:$J$48</c:f>
              <c:numCache>
                <c:formatCode>General</c:formatCode>
                <c:ptCount val="9"/>
                <c:pt idx="0">
                  <c:v>0</c:v>
                </c:pt>
                <c:pt idx="1">
                  <c:v>0.375</c:v>
                </c:pt>
                <c:pt idx="2">
                  <c:v>0.25</c:v>
                </c:pt>
                <c:pt idx="3">
                  <c:v>0.125</c:v>
                </c:pt>
                <c:pt idx="4">
                  <c:v>0.5</c:v>
                </c:pt>
                <c:pt idx="5">
                  <c:v>0.874</c:v>
                </c:pt>
                <c:pt idx="6">
                  <c:v>0.75</c:v>
                </c:pt>
                <c:pt idx="7">
                  <c:v>0.625</c:v>
                </c:pt>
                <c:pt idx="8">
                  <c:v>1</c:v>
                </c:pt>
              </c:numCache>
            </c:numRef>
          </c:xVal>
          <c:yVal>
            <c:numRef>
              <c:f>'alpha U'!$P$40:$P$48</c:f>
              <c:numCache>
                <c:formatCode>0.000</c:formatCode>
                <c:ptCount val="9"/>
                <c:pt idx="0">
                  <c:v>0</c:v>
                </c:pt>
                <c:pt idx="1">
                  <c:v>0.34302000000002408</c:v>
                </c:pt>
                <c:pt idx="2">
                  <c:v>0.26386000000002241</c:v>
                </c:pt>
                <c:pt idx="3">
                  <c:v>5.5070000000000618E-2</c:v>
                </c:pt>
                <c:pt idx="4">
                  <c:v>0.32880999999997584</c:v>
                </c:pt>
                <c:pt idx="5">
                  <c:v>5.5070000000000618E-2</c:v>
                </c:pt>
                <c:pt idx="6">
                  <c:v>0.26400000000000001</c:v>
                </c:pt>
                <c:pt idx="7">
                  <c:v>0.34300000000000003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C-E940-8DDD-6191E9F0E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205152"/>
        <c:axId val="1401207904"/>
      </c:scatterChart>
      <c:valAx>
        <c:axId val="140120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1207904"/>
        <c:crosses val="autoZero"/>
        <c:crossBetween val="midCat"/>
      </c:valAx>
      <c:valAx>
        <c:axId val="1401207904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crossAx val="1401205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'alpha U'!$M$88:$M$108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'alpha U'!$P$88:$P$108</c:f>
              <c:numCache>
                <c:formatCode>0.0000</c:formatCode>
                <c:ptCount val="21"/>
                <c:pt idx="0">
                  <c:v>0</c:v>
                </c:pt>
                <c:pt idx="1">
                  <c:v>4.8529999999914253E-2</c:v>
                </c:pt>
                <c:pt idx="2">
                  <c:v>0.23852999999996882</c:v>
                </c:pt>
                <c:pt idx="3">
                  <c:v>0.39313999999990301</c:v>
                </c:pt>
                <c:pt idx="4">
                  <c:v>0.42093999999997322</c:v>
                </c:pt>
                <c:pt idx="5">
                  <c:v>0.38702999999998156</c:v>
                </c:pt>
                <c:pt idx="6">
                  <c:v>0.33618000000001302</c:v>
                </c:pt>
                <c:pt idx="7">
                  <c:v>0.25477000000000771</c:v>
                </c:pt>
                <c:pt idx="8">
                  <c:v>0.15184999999996762</c:v>
                </c:pt>
                <c:pt idx="9">
                  <c:v>7.0179999999936626E-2</c:v>
                </c:pt>
                <c:pt idx="10">
                  <c:v>9.6900000000005093E-2</c:v>
                </c:pt>
                <c:pt idx="11" formatCode="General">
                  <c:v>7.0179999999936626E-2</c:v>
                </c:pt>
                <c:pt idx="12" formatCode="General">
                  <c:v>0.15184999999996762</c:v>
                </c:pt>
                <c:pt idx="13" formatCode="General">
                  <c:v>0.25477000000000771</c:v>
                </c:pt>
                <c:pt idx="14" formatCode="General">
                  <c:v>0.33618000000001302</c:v>
                </c:pt>
                <c:pt idx="15" formatCode="General">
                  <c:v>0.38702999999998156</c:v>
                </c:pt>
                <c:pt idx="16" formatCode="General">
                  <c:v>0.42093999999997322</c:v>
                </c:pt>
                <c:pt idx="17" formatCode="General">
                  <c:v>0.39313999999990301</c:v>
                </c:pt>
                <c:pt idx="18" formatCode="General">
                  <c:v>0.23852999999996882</c:v>
                </c:pt>
                <c:pt idx="19" formatCode="General">
                  <c:v>4.8529999999914253E-2</c:v>
                </c:pt>
                <c:pt idx="20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2-D14B-90D7-466563FFA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227280"/>
        <c:axId val="1401230032"/>
      </c:scatterChart>
      <c:valAx>
        <c:axId val="1401227280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01230032"/>
        <c:crosses val="autoZero"/>
        <c:crossBetween val="midCat"/>
      </c:valAx>
      <c:valAx>
        <c:axId val="1401230032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crossAx val="1401227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'alpha U'!$C$84:$C$92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'alpha U'!$E$84:$E$92</c:f>
              <c:numCache>
                <c:formatCode>0.0000</c:formatCode>
                <c:ptCount val="9"/>
                <c:pt idx="0">
                  <c:v>0</c:v>
                </c:pt>
                <c:pt idx="1">
                  <c:v>5.4269999999974061E-2</c:v>
                </c:pt>
                <c:pt idx="2">
                  <c:v>0.26803999999992811</c:v>
                </c:pt>
                <c:pt idx="3">
                  <c:v>0.3499899999999343</c:v>
                </c:pt>
                <c:pt idx="4">
                  <c:v>0.35644999999999527</c:v>
                </c:pt>
                <c:pt idx="5">
                  <c:v>0.3499899999999343</c:v>
                </c:pt>
                <c:pt idx="6">
                  <c:v>0.2681999999999789</c:v>
                </c:pt>
                <c:pt idx="7">
                  <c:v>5.4269999999974061E-2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2E-3F4C-9B25-A4D40CFB9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703072"/>
        <c:axId val="1348705392"/>
      </c:scatterChart>
      <c:valAx>
        <c:axId val="1348703072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348705392"/>
        <c:crosses val="autoZero"/>
        <c:crossBetween val="midCat"/>
      </c:valAx>
      <c:valAx>
        <c:axId val="1348705392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crossAx val="1348703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'alpha U'!$O$65:$O$81</c:f>
              <c:numCache>
                <c:formatCode>General</c:formatCode>
                <c:ptCount val="17"/>
                <c:pt idx="0">
                  <c:v>0.4</c:v>
                </c:pt>
                <c:pt idx="1">
                  <c:v>0.375</c:v>
                </c:pt>
                <c:pt idx="2">
                  <c:v>0.35</c:v>
                </c:pt>
                <c:pt idx="3">
                  <c:v>0.32500000000000001</c:v>
                </c:pt>
                <c:pt idx="4">
                  <c:v>0.3</c:v>
                </c:pt>
                <c:pt idx="5">
                  <c:v>0.27500000000000002</c:v>
                </c:pt>
                <c:pt idx="6">
                  <c:v>0.25</c:v>
                </c:pt>
                <c:pt idx="7">
                  <c:v>0.22500000000000001</c:v>
                </c:pt>
                <c:pt idx="8">
                  <c:v>0.2</c:v>
                </c:pt>
                <c:pt idx="9">
                  <c:v>0.17499999999999999</c:v>
                </c:pt>
                <c:pt idx="10">
                  <c:v>0.15</c:v>
                </c:pt>
                <c:pt idx="11">
                  <c:v>0.125</c:v>
                </c:pt>
                <c:pt idx="12">
                  <c:v>0.1</c:v>
                </c:pt>
                <c:pt idx="13">
                  <c:v>7.4999999999999997E-2</c:v>
                </c:pt>
                <c:pt idx="14">
                  <c:v>0.05</c:v>
                </c:pt>
                <c:pt idx="15">
                  <c:v>2.5000000000000001E-2</c:v>
                </c:pt>
                <c:pt idx="16">
                  <c:v>0</c:v>
                </c:pt>
              </c:numCache>
            </c:numRef>
          </c:xVal>
          <c:yVal>
            <c:numRef>
              <c:f>'alpha U'!$L$65:$L$81</c:f>
              <c:numCache>
                <c:formatCode>0.0000</c:formatCode>
                <c:ptCount val="17"/>
                <c:pt idx="0">
                  <c:v>0</c:v>
                </c:pt>
                <c:pt idx="1">
                  <c:v>4.2030000000067957E-2</c:v>
                </c:pt>
                <c:pt idx="2">
                  <c:v>0.19687999999996464</c:v>
                </c:pt>
                <c:pt idx="3">
                  <c:v>0.40425000000004729</c:v>
                </c:pt>
                <c:pt idx="4">
                  <c:v>0.54786000000001422</c:v>
                </c:pt>
                <c:pt idx="5">
                  <c:v>0.41376000000002477</c:v>
                </c:pt>
                <c:pt idx="6">
                  <c:v>0.21335999999996602</c:v>
                </c:pt>
                <c:pt idx="7">
                  <c:v>3.2440000000065083E-2</c:v>
                </c:pt>
                <c:pt idx="8">
                  <c:v>-3.4559999999942193E-2</c:v>
                </c:pt>
                <c:pt idx="9">
                  <c:v>3.2440000000065083E-2</c:v>
                </c:pt>
                <c:pt idx="10">
                  <c:v>0.21335999999996602</c:v>
                </c:pt>
                <c:pt idx="11">
                  <c:v>0.41376000000002477</c:v>
                </c:pt>
                <c:pt idx="12">
                  <c:v>0.54786000000001422</c:v>
                </c:pt>
                <c:pt idx="13">
                  <c:v>0.40425000000004729</c:v>
                </c:pt>
                <c:pt idx="14">
                  <c:v>0.19687999999996464</c:v>
                </c:pt>
                <c:pt idx="15">
                  <c:v>4.2030000000067957E-2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2-8C44-ABEC-05D9B0868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714576"/>
        <c:axId val="1348717056"/>
      </c:scatterChart>
      <c:valAx>
        <c:axId val="1348714576"/>
        <c:scaling>
          <c:orientation val="minMax"/>
          <c:max val="0.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48717056"/>
        <c:crosses val="autoZero"/>
        <c:crossBetween val="midCat"/>
      </c:valAx>
      <c:valAx>
        <c:axId val="1348717056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crossAx val="1348714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'alpha U'!$C$60:$C$68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'alpha U'!$E$60:$E$68</c:f>
              <c:numCache>
                <c:formatCode>0.0000</c:formatCode>
                <c:ptCount val="9"/>
                <c:pt idx="0">
                  <c:v>0</c:v>
                </c:pt>
                <c:pt idx="1">
                  <c:v>5.6500000000028194E-2</c:v>
                </c:pt>
                <c:pt idx="2">
                  <c:v>0.21226999999998952</c:v>
                </c:pt>
                <c:pt idx="3">
                  <c:v>0.41070000000001983</c:v>
                </c:pt>
                <c:pt idx="4">
                  <c:v>0.55510000000003856</c:v>
                </c:pt>
                <c:pt idx="5">
                  <c:v>0.41070000000001983</c:v>
                </c:pt>
                <c:pt idx="6">
                  <c:v>0.21226999999998952</c:v>
                </c:pt>
                <c:pt idx="7">
                  <c:v>5.6500000000028194E-2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04-E54C-9BB9-3A695E48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734352"/>
        <c:axId val="1348737104"/>
      </c:scatterChart>
      <c:valAx>
        <c:axId val="1348734352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348737104"/>
        <c:crosses val="autoZero"/>
        <c:crossBetween val="midCat"/>
      </c:valAx>
      <c:valAx>
        <c:axId val="1348737104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crossAx val="1348734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alphaU252!$H$22:$H$34</c:f>
              <c:numCache>
                <c:formatCode>0.0000</c:formatCode>
                <c:ptCount val="13"/>
                <c:pt idx="0">
                  <c:v>0.48499999999999999</c:v>
                </c:pt>
                <c:pt idx="1">
                  <c:v>0.48749999999999999</c:v>
                </c:pt>
                <c:pt idx="2">
                  <c:v>0.49</c:v>
                </c:pt>
                <c:pt idx="3">
                  <c:v>0.49199999999999999</c:v>
                </c:pt>
                <c:pt idx="4">
                  <c:v>0.49399999999999999</c:v>
                </c:pt>
                <c:pt idx="5">
                  <c:v>0.495</c:v>
                </c:pt>
                <c:pt idx="6">
                  <c:v>0.496</c:v>
                </c:pt>
                <c:pt idx="7">
                  <c:v>0.497</c:v>
                </c:pt>
                <c:pt idx="8">
                  <c:v>0.498</c:v>
                </c:pt>
                <c:pt idx="9">
                  <c:v>0.499</c:v>
                </c:pt>
                <c:pt idx="10">
                  <c:v>0.49940000000000001</c:v>
                </c:pt>
                <c:pt idx="11">
                  <c:v>0.501</c:v>
                </c:pt>
                <c:pt idx="12">
                  <c:v>0.502</c:v>
                </c:pt>
              </c:numCache>
            </c:numRef>
          </c:xVal>
          <c:yVal>
            <c:numRef>
              <c:f>alphaU252!$J$22:$J$34</c:f>
              <c:numCache>
                <c:formatCode>0.0000</c:formatCode>
                <c:ptCount val="13"/>
                <c:pt idx="0">
                  <c:v>1.1199999999917054E-2</c:v>
                </c:pt>
                <c:pt idx="1">
                  <c:v>-1.4999999998508429E-3</c:v>
                </c:pt>
                <c:pt idx="2">
                  <c:v>-7.500000000163709E-3</c:v>
                </c:pt>
                <c:pt idx="3">
                  <c:v>-8.9000000002670276E-3</c:v>
                </c:pt>
                <c:pt idx="4">
                  <c:v>-8.2999999999628926E-3</c:v>
                </c:pt>
                <c:pt idx="5">
                  <c:v>-7.3999999999614374E-3</c:v>
                </c:pt>
                <c:pt idx="6">
                  <c:v>-6.2000000002626621E-3</c:v>
                </c:pt>
                <c:pt idx="7">
                  <c:v>-4.6999999999570719E-3</c:v>
                </c:pt>
                <c:pt idx="8">
                  <c:v>-2.8999999999541615E-3</c:v>
                </c:pt>
                <c:pt idx="9">
                  <c:v>-9.0000000000145519E-4</c:v>
                </c:pt>
                <c:pt idx="10">
                  <c:v>0</c:v>
                </c:pt>
                <c:pt idx="11">
                  <c:v>3.9999999999054126E-3</c:v>
                </c:pt>
                <c:pt idx="12">
                  <c:v>6.899999999859574E-3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7-1F43-A7A5-DD5DE1FDE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800352"/>
        <c:axId val="1193803104"/>
      </c:scatterChart>
      <c:valAx>
        <c:axId val="1193800352"/>
        <c:scaling>
          <c:orientation val="minMax"/>
        </c:scaling>
        <c:delete val="0"/>
        <c:axPos val="b"/>
        <c:numFmt formatCode="0.000" sourceLinked="0"/>
        <c:majorTickMark val="out"/>
        <c:minorTickMark val="none"/>
        <c:tickLblPos val="nextTo"/>
        <c:crossAx val="1193803104"/>
        <c:crosses val="autoZero"/>
        <c:crossBetween val="midCat"/>
      </c:valAx>
      <c:valAx>
        <c:axId val="1193803104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crossAx val="1193800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15</xdr:row>
      <xdr:rowOff>50800</xdr:rowOff>
    </xdr:from>
    <xdr:to>
      <xdr:col>19</xdr:col>
      <xdr:colOff>171450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342900</xdr:colOff>
      <xdr:row>57</xdr:row>
      <xdr:rowOff>63500</xdr:rowOff>
    </xdr:from>
    <xdr:to>
      <xdr:col>21</xdr:col>
      <xdr:colOff>476250</xdr:colOff>
      <xdr:row>70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266700</xdr:colOff>
      <xdr:row>84</xdr:row>
      <xdr:rowOff>50800</xdr:rowOff>
    </xdr:from>
    <xdr:to>
      <xdr:col>22</xdr:col>
      <xdr:colOff>450850</xdr:colOff>
      <xdr:row>97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190500</xdr:colOff>
      <xdr:row>31</xdr:row>
      <xdr:rowOff>101600</xdr:rowOff>
    </xdr:from>
    <xdr:to>
      <xdr:col>23</xdr:col>
      <xdr:colOff>323850</xdr:colOff>
      <xdr:row>44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304800</xdr:colOff>
      <xdr:row>97</xdr:row>
      <xdr:rowOff>165100</xdr:rowOff>
    </xdr:from>
    <xdr:to>
      <xdr:col>22</xdr:col>
      <xdr:colOff>488950</xdr:colOff>
      <xdr:row>110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222250</xdr:colOff>
      <xdr:row>88</xdr:row>
      <xdr:rowOff>127000</xdr:rowOff>
    </xdr:from>
    <xdr:to>
      <xdr:col>8</xdr:col>
      <xdr:colOff>419100</xdr:colOff>
      <xdr:row>101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508000</xdr:colOff>
      <xdr:row>70</xdr:row>
      <xdr:rowOff>152400</xdr:rowOff>
    </xdr:from>
    <xdr:to>
      <xdr:col>21</xdr:col>
      <xdr:colOff>641350</xdr:colOff>
      <xdr:row>83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127000</xdr:colOff>
      <xdr:row>58</xdr:row>
      <xdr:rowOff>50800</xdr:rowOff>
    </xdr:from>
    <xdr:to>
      <xdr:col>8</xdr:col>
      <xdr:colOff>762000</xdr:colOff>
      <xdr:row>70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26</xdr:row>
      <xdr:rowOff>50800</xdr:rowOff>
    </xdr:from>
    <xdr:to>
      <xdr:col>16</xdr:col>
      <xdr:colOff>806450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177800</xdr:colOff>
      <xdr:row>8</xdr:row>
      <xdr:rowOff>0</xdr:rowOff>
    </xdr:from>
    <xdr:to>
      <xdr:col>21</xdr:col>
      <xdr:colOff>622300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0</xdr:row>
      <xdr:rowOff>50800</xdr:rowOff>
    </xdr:from>
    <xdr:to>
      <xdr:col>15</xdr:col>
      <xdr:colOff>609600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15</xdr:col>
      <xdr:colOff>444500</xdr:colOff>
      <xdr:row>61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774700</xdr:colOff>
      <xdr:row>53</xdr:row>
      <xdr:rowOff>139700</xdr:rowOff>
    </xdr:from>
    <xdr:to>
      <xdr:col>6</xdr:col>
      <xdr:colOff>393700</xdr:colOff>
      <xdr:row>68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U112"/>
  <sheetViews>
    <sheetView workbookViewId="0">
      <selection activeCell="N33" sqref="N33"/>
    </sheetView>
  </sheetViews>
  <sheetFormatPr baseColWidth="10" defaultRowHeight="16" x14ac:dyDescent="0.2"/>
  <cols>
    <col min="16" max="16" width="11.5" customWidth="1"/>
  </cols>
  <sheetData>
    <row r="2" spans="1:21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8</v>
      </c>
      <c r="N2" t="s">
        <v>121</v>
      </c>
      <c r="O2" t="s">
        <v>1</v>
      </c>
      <c r="P2" t="s">
        <v>2</v>
      </c>
      <c r="Q2" t="s">
        <v>124</v>
      </c>
      <c r="R2" t="s">
        <v>125</v>
      </c>
      <c r="S2" t="s">
        <v>3</v>
      </c>
      <c r="T2" t="s">
        <v>4</v>
      </c>
      <c r="U2" t="s">
        <v>5</v>
      </c>
    </row>
    <row r="3" spans="1:21" x14ac:dyDescent="0.2">
      <c r="A3" t="s">
        <v>0</v>
      </c>
      <c r="B3" s="1">
        <v>-44.575415</v>
      </c>
      <c r="C3" s="1">
        <f>B3/4</f>
        <v>-11.14385375</v>
      </c>
      <c r="D3" s="1">
        <v>2.7895048357330099</v>
      </c>
      <c r="E3" s="1">
        <v>5.84843288730361</v>
      </c>
      <c r="F3" s="1">
        <v>4.9138301969913902</v>
      </c>
      <c r="G3" s="1">
        <f>(1-0.8012706623664)/2</f>
        <v>9.9364668816800006E-2</v>
      </c>
      <c r="H3" t="s">
        <v>9</v>
      </c>
      <c r="N3" t="s">
        <v>122</v>
      </c>
      <c r="O3" s="1">
        <v>-45.200418999999997</v>
      </c>
      <c r="P3" s="1">
        <f>O3/4</f>
        <v>-11.300104749999999</v>
      </c>
      <c r="Q3">
        <v>79.83</v>
      </c>
      <c r="R3">
        <f>Q3/4</f>
        <v>19.9575</v>
      </c>
      <c r="S3" s="2">
        <v>2.7797833170000001</v>
      </c>
      <c r="T3" s="2">
        <v>5.8684437249999997</v>
      </c>
      <c r="U3" s="2">
        <v>4.8937072519999996</v>
      </c>
    </row>
    <row r="4" spans="1:21" x14ac:dyDescent="0.2">
      <c r="A4" t="s">
        <v>7</v>
      </c>
      <c r="B4" s="1">
        <v>-44.508781999999997</v>
      </c>
      <c r="C4" s="1">
        <f>B4/4</f>
        <v>-11.127195499999999</v>
      </c>
      <c r="D4" s="1">
        <v>2.7881584895754301</v>
      </c>
      <c r="E4" s="1">
        <v>5.8445868577718798</v>
      </c>
      <c r="F4" s="1">
        <v>4.9119912967548496</v>
      </c>
      <c r="G4" s="1">
        <f>(1-0.801186399683947)/2</f>
        <v>9.9406800158026498E-2</v>
      </c>
      <c r="H4" t="s">
        <v>12</v>
      </c>
      <c r="N4" t="s">
        <v>123</v>
      </c>
      <c r="O4" s="1">
        <v>-44.575057999999999</v>
      </c>
      <c r="P4" s="1">
        <f>O4/4</f>
        <v>-11.1437645</v>
      </c>
      <c r="Q4">
        <v>80.16</v>
      </c>
      <c r="R4">
        <f>Q4/4</f>
        <v>20.04</v>
      </c>
      <c r="S4" s="2">
        <v>2.7906526770000002</v>
      </c>
      <c r="T4" s="2">
        <v>5.841782029</v>
      </c>
      <c r="U4" s="2">
        <v>4.9171427750000003</v>
      </c>
    </row>
    <row r="5" spans="1:21" x14ac:dyDescent="0.2">
      <c r="A5" t="s">
        <v>55</v>
      </c>
      <c r="B5" s="1">
        <v>-44.545592999999997</v>
      </c>
      <c r="C5" s="1">
        <f t="shared" ref="C5:C10" si="0">B5/4</f>
        <v>-11.136398249999999</v>
      </c>
      <c r="D5" s="1">
        <v>2.804639791</v>
      </c>
      <c r="E5" s="1">
        <v>5.8353471609999996</v>
      </c>
      <c r="F5" s="1">
        <v>4.9057620159999997</v>
      </c>
      <c r="G5" s="1"/>
      <c r="H5" t="s">
        <v>58</v>
      </c>
      <c r="N5" t="s">
        <v>128</v>
      </c>
      <c r="O5" s="1">
        <v>-38.403384000000003</v>
      </c>
      <c r="P5" s="1">
        <f t="shared" ref="P5:P11" si="1">O5/4</f>
        <v>-9.6008460000000007</v>
      </c>
      <c r="Q5">
        <v>83.29</v>
      </c>
      <c r="R5">
        <f t="shared" ref="R5:R11" si="2">Q5/4</f>
        <v>20.822500000000002</v>
      </c>
      <c r="S5" s="2">
        <v>2.8379758019999999</v>
      </c>
      <c r="T5" s="2">
        <v>5.8840650270000001</v>
      </c>
      <c r="U5" s="2">
        <v>4.9876874689999999</v>
      </c>
    </row>
    <row r="6" spans="1:21" x14ac:dyDescent="0.2">
      <c r="A6" t="s">
        <v>56</v>
      </c>
      <c r="B6" s="1">
        <v>-44.564382999999999</v>
      </c>
      <c r="C6" s="1">
        <f t="shared" si="0"/>
        <v>-11.14109575</v>
      </c>
      <c r="D6" s="1">
        <v>2.7955646139999999</v>
      </c>
      <c r="E6" s="1">
        <v>5.8531277409999998</v>
      </c>
      <c r="F6" s="1">
        <v>4.9008388749999998</v>
      </c>
      <c r="G6" s="1"/>
      <c r="H6" t="s">
        <v>59</v>
      </c>
      <c r="N6" t="s">
        <v>129</v>
      </c>
      <c r="O6" s="1">
        <v>-37.815710000000003</v>
      </c>
      <c r="P6" s="1">
        <f t="shared" si="1"/>
        <v>-9.4539275000000007</v>
      </c>
      <c r="Q6">
        <v>83.7</v>
      </c>
      <c r="R6">
        <f t="shared" si="2"/>
        <v>20.925000000000001</v>
      </c>
      <c r="S6" s="2">
        <v>2.8436838739999999</v>
      </c>
      <c r="T6" s="2">
        <v>5.8867173270000004</v>
      </c>
      <c r="U6" s="2">
        <v>4.9999195439999999</v>
      </c>
    </row>
    <row r="7" spans="1:21" x14ac:dyDescent="0.2">
      <c r="A7" t="s">
        <v>57</v>
      </c>
      <c r="B7" s="1">
        <v>-44.545802000000002</v>
      </c>
      <c r="C7" s="1">
        <f t="shared" si="0"/>
        <v>-11.1364505</v>
      </c>
      <c r="D7" s="1">
        <v>2.8045004420000001</v>
      </c>
      <c r="E7" s="1">
        <v>5.8395373729999998</v>
      </c>
      <c r="F7" s="1">
        <v>4.9048351419999996</v>
      </c>
      <c r="G7" s="1"/>
      <c r="H7" t="s">
        <v>60</v>
      </c>
      <c r="M7" t="s">
        <v>130</v>
      </c>
      <c r="N7" t="s">
        <v>128</v>
      </c>
      <c r="O7" s="1">
        <v>-38.403384000000003</v>
      </c>
      <c r="P7" s="1">
        <f t="shared" si="1"/>
        <v>-9.6008460000000007</v>
      </c>
      <c r="Q7">
        <v>83.29</v>
      </c>
      <c r="R7">
        <f t="shared" si="2"/>
        <v>20.822500000000002</v>
      </c>
      <c r="S7" s="2">
        <v>2.8379693619999999</v>
      </c>
      <c r="T7" s="2">
        <v>5.8840460810000002</v>
      </c>
      <c r="U7" s="2">
        <v>4.9876782420000003</v>
      </c>
    </row>
    <row r="8" spans="1:21" x14ac:dyDescent="0.2">
      <c r="A8" t="s">
        <v>115</v>
      </c>
      <c r="B8" s="1">
        <v>-44.575384</v>
      </c>
      <c r="C8" s="1">
        <f t="shared" si="0"/>
        <v>-11.143846</v>
      </c>
      <c r="D8" s="1">
        <v>2.7887553540000001</v>
      </c>
      <c r="E8" s="1">
        <v>5.8468437480000004</v>
      </c>
      <c r="F8" s="1">
        <v>4.9125136139999999</v>
      </c>
      <c r="G8" s="1"/>
      <c r="H8" t="s">
        <v>116</v>
      </c>
      <c r="M8" t="s">
        <v>130</v>
      </c>
      <c r="N8" t="s">
        <v>129</v>
      </c>
      <c r="O8" s="1">
        <v>-37.815708999999998</v>
      </c>
      <c r="P8" s="1">
        <f t="shared" si="1"/>
        <v>-9.4539272499999996</v>
      </c>
      <c r="Q8">
        <v>83.7</v>
      </c>
      <c r="R8">
        <f t="shared" si="2"/>
        <v>20.925000000000001</v>
      </c>
      <c r="S8" s="2">
        <v>2.8436825670000001</v>
      </c>
      <c r="T8" s="2">
        <v>5.8866952140000004</v>
      </c>
      <c r="U8" s="2">
        <v>4.9999140989999997</v>
      </c>
    </row>
    <row r="9" spans="1:21" x14ac:dyDescent="0.2">
      <c r="A9" t="s">
        <v>117</v>
      </c>
      <c r="B9" s="1">
        <v>-44.546508000000003</v>
      </c>
      <c r="C9" s="1">
        <f t="shared" si="0"/>
        <v>-11.136627000000001</v>
      </c>
      <c r="D9" s="1">
        <v>2.8040495270000001</v>
      </c>
      <c r="E9" s="1">
        <v>5.8370146250000001</v>
      </c>
      <c r="F9" s="1">
        <v>4.9069922740000003</v>
      </c>
      <c r="G9" s="1"/>
      <c r="H9" t="s">
        <v>120</v>
      </c>
      <c r="M9" t="s">
        <v>131</v>
      </c>
      <c r="N9" t="s">
        <v>128</v>
      </c>
      <c r="O9" s="1">
        <v>-38.417971999999999</v>
      </c>
      <c r="P9" s="1">
        <f t="shared" si="1"/>
        <v>-9.6044929999999997</v>
      </c>
      <c r="Q9">
        <v>83.3</v>
      </c>
      <c r="R9">
        <f t="shared" si="2"/>
        <v>20.824999999999999</v>
      </c>
      <c r="S9" s="2">
        <v>2.8390122519999998</v>
      </c>
      <c r="T9" s="2">
        <v>5.8865737080000002</v>
      </c>
      <c r="U9" s="2">
        <v>4.9845494920000002</v>
      </c>
    </row>
    <row r="10" spans="1:21" x14ac:dyDescent="0.2">
      <c r="A10" t="s">
        <v>118</v>
      </c>
      <c r="B10" s="1">
        <v>-44.545586999999998</v>
      </c>
      <c r="C10" s="1">
        <f t="shared" si="0"/>
        <v>-11.136396749999999</v>
      </c>
      <c r="D10" s="1">
        <v>2.7950939419999998</v>
      </c>
      <c r="E10" s="1">
        <v>5.834689161</v>
      </c>
      <c r="F10" s="1">
        <v>4.9321405299999999</v>
      </c>
      <c r="G10" s="1"/>
      <c r="H10" t="s">
        <v>119</v>
      </c>
      <c r="M10" t="s">
        <v>131</v>
      </c>
      <c r="N10" t="s">
        <v>129</v>
      </c>
      <c r="O10" s="1">
        <v>-37.829878999999998</v>
      </c>
      <c r="P10" s="1">
        <f t="shared" si="1"/>
        <v>-9.4574697499999996</v>
      </c>
      <c r="Q10">
        <v>83.72</v>
      </c>
      <c r="R10">
        <f t="shared" si="2"/>
        <v>20.93</v>
      </c>
      <c r="S10" s="2">
        <v>2.8445117</v>
      </c>
      <c r="T10" s="2">
        <v>5.8894463689999998</v>
      </c>
      <c r="U10" s="2">
        <v>4.9973496690000001</v>
      </c>
    </row>
    <row r="11" spans="1:21" x14ac:dyDescent="0.2">
      <c r="A11" t="s">
        <v>10</v>
      </c>
      <c r="B11" s="1">
        <v>-356.22579999999999</v>
      </c>
      <c r="C11" s="1">
        <f>B11/32</f>
        <v>-11.13205625</v>
      </c>
      <c r="D11" s="1"/>
      <c r="E11" s="1">
        <f>11.6410314983679/2</f>
        <v>5.8205157491839499</v>
      </c>
      <c r="F11" s="1">
        <f>9.79993103734505/2</f>
        <v>4.8999655186725253</v>
      </c>
      <c r="G11" s="1"/>
      <c r="H11" t="s">
        <v>11</v>
      </c>
      <c r="M11" t="s">
        <v>135</v>
      </c>
      <c r="N11" t="s">
        <v>128</v>
      </c>
      <c r="O11" s="1">
        <v>-38.417971999999999</v>
      </c>
      <c r="P11" s="1">
        <f t="shared" si="1"/>
        <v>-9.6044929999999997</v>
      </c>
      <c r="Q11">
        <v>83.29</v>
      </c>
      <c r="R11">
        <f t="shared" si="2"/>
        <v>20.822500000000002</v>
      </c>
      <c r="S11" s="2">
        <v>2.8389179019999999</v>
      </c>
      <c r="T11" s="2">
        <v>5.8861606420000001</v>
      </c>
      <c r="U11" s="2">
        <v>4.9844068400000001</v>
      </c>
    </row>
    <row r="12" spans="1:21" x14ac:dyDescent="0.2">
      <c r="A12" t="s">
        <v>10</v>
      </c>
      <c r="B12" s="1">
        <v>-356.26823000000002</v>
      </c>
      <c r="C12" s="1">
        <f>B12/32</f>
        <v>-11.133382187500001</v>
      </c>
      <c r="D12" s="1">
        <f>5.62988787861034/2</f>
        <v>2.8149439393051701</v>
      </c>
      <c r="E12" s="1">
        <f>11.634124827132 /2</f>
        <v>5.8170624135660001</v>
      </c>
      <c r="F12" s="1">
        <f>9.81992913818201/2</f>
        <v>4.909964569091005</v>
      </c>
      <c r="G12" s="1"/>
      <c r="H12" t="s">
        <v>15</v>
      </c>
      <c r="O12" t="s">
        <v>126</v>
      </c>
    </row>
    <row r="13" spans="1:21" x14ac:dyDescent="0.2">
      <c r="A13" t="s">
        <v>10</v>
      </c>
      <c r="B13" s="1">
        <v>-356.51907999999997</v>
      </c>
      <c r="C13" s="1">
        <f>B13/32</f>
        <v>-11.141221249999999</v>
      </c>
      <c r="D13" s="1">
        <f>5.59060700839052/2</f>
        <v>2.7953035041952599</v>
      </c>
      <c r="E13" s="1">
        <f>11.7056349314722/2</f>
        <v>5.8528174657361003</v>
      </c>
      <c r="F13" s="1">
        <f>9.80160914313169/2</f>
        <v>4.9008045715658453</v>
      </c>
      <c r="H13" t="s">
        <v>21</v>
      </c>
      <c r="O13" t="s">
        <v>127</v>
      </c>
    </row>
    <row r="14" spans="1:21" x14ac:dyDescent="0.2">
      <c r="A14" t="s">
        <v>13</v>
      </c>
      <c r="B14" s="1">
        <v>-356.31565999999998</v>
      </c>
      <c r="C14" s="1">
        <f>B14/32</f>
        <v>-11.134864374999999</v>
      </c>
      <c r="D14" s="1">
        <f>5.66813979767213/2</f>
        <v>2.8340698988360651</v>
      </c>
      <c r="E14" s="1">
        <f>11.7984870578033/2</f>
        <v>5.8992435289016498</v>
      </c>
      <c r="F14" s="1">
        <f>9.88715090231603/2</f>
        <v>4.943575451158015</v>
      </c>
      <c r="G14" s="1"/>
      <c r="H14" t="s">
        <v>14</v>
      </c>
    </row>
    <row r="15" spans="1:21" x14ac:dyDescent="0.2">
      <c r="A15" t="s">
        <v>10</v>
      </c>
      <c r="B15" s="1">
        <v>-356.27580999999998</v>
      </c>
      <c r="C15" s="1">
        <f>B15/32</f>
        <v>-11.133619062499999</v>
      </c>
      <c r="D15" s="1">
        <f>5.60274212293401/2</f>
        <v>2.8013710614670049</v>
      </c>
      <c r="E15" s="1">
        <f>11.6919474961019/2</f>
        <v>5.8459737480509499</v>
      </c>
      <c r="F15" s="1">
        <f>9.79781808254761/2</f>
        <v>4.8989090412738054</v>
      </c>
      <c r="G15" s="1"/>
      <c r="H15" t="s">
        <v>20</v>
      </c>
    </row>
    <row r="16" spans="1:21" x14ac:dyDescent="0.2">
      <c r="B16" s="1"/>
      <c r="C16" s="1"/>
      <c r="D16" s="1"/>
      <c r="E16" s="1"/>
      <c r="F16" s="1"/>
      <c r="G16" s="1"/>
    </row>
    <row r="17" spans="1:14" x14ac:dyDescent="0.2">
      <c r="A17" t="s">
        <v>16</v>
      </c>
      <c r="B17" s="1">
        <v>-356.51868999999999</v>
      </c>
      <c r="C17" s="1">
        <f>B17/32</f>
        <v>-11.1412090625</v>
      </c>
      <c r="D17" s="1">
        <f>5.59060700839052/2</f>
        <v>2.7953035041952599</v>
      </c>
      <c r="E17" s="1">
        <f>11.7056349314722/2</f>
        <v>5.8528174657361003</v>
      </c>
      <c r="F17" s="1">
        <f>9.80160914313169/2</f>
        <v>4.9008045715658453</v>
      </c>
      <c r="G17" s="1"/>
    </row>
    <row r="18" spans="1:14" x14ac:dyDescent="0.2">
      <c r="A18" t="s">
        <v>17</v>
      </c>
      <c r="B18" s="1"/>
      <c r="C18" s="1"/>
      <c r="D18" s="1"/>
      <c r="E18" s="1"/>
      <c r="F18" s="1"/>
      <c r="G18" s="1"/>
    </row>
    <row r="19" spans="1:14" x14ac:dyDescent="0.2">
      <c r="A19" t="s">
        <v>18</v>
      </c>
      <c r="B19" s="1">
        <v>-343.19508000000002</v>
      </c>
      <c r="C19" s="1">
        <f>B19-31*$C$17</f>
        <v>2.1824009374999491</v>
      </c>
      <c r="D19" s="1"/>
      <c r="E19" s="1"/>
      <c r="F19" s="1"/>
      <c r="G19" s="1"/>
    </row>
    <row r="20" spans="1:14" x14ac:dyDescent="0.2">
      <c r="A20" t="s">
        <v>19</v>
      </c>
      <c r="B20" s="1">
        <v>-343.37283000000002</v>
      </c>
      <c r="C20" s="1">
        <f>B20-31*$C$17</f>
        <v>2.0046509374999459</v>
      </c>
      <c r="D20" s="1"/>
      <c r="E20" s="1"/>
      <c r="F20" s="1"/>
      <c r="G20" s="1"/>
    </row>
    <row r="21" spans="1:14" x14ac:dyDescent="0.2">
      <c r="B21" s="1"/>
      <c r="C21" s="1"/>
      <c r="D21" s="1"/>
      <c r="E21" s="1"/>
      <c r="F21" s="1"/>
      <c r="G21" s="1"/>
      <c r="K21" t="s">
        <v>83</v>
      </c>
    </row>
    <row r="22" spans="1:14" x14ac:dyDescent="0.2">
      <c r="A22" t="s">
        <v>22</v>
      </c>
      <c r="B22" s="1">
        <v>-712.77412000000004</v>
      </c>
      <c r="C22" s="1">
        <f>B22/64</f>
        <v>-11.137095625000001</v>
      </c>
      <c r="D22" s="1">
        <f>11.2225583610225 /4</f>
        <v>2.805639590255625</v>
      </c>
      <c r="E22" s="1">
        <f>11.6723846517078/2</f>
        <v>5.8361923258538999</v>
      </c>
      <c r="F22" s="1">
        <f>9.81258559261839/2</f>
        <v>4.9062927963091951</v>
      </c>
      <c r="G22" s="1" t="s">
        <v>24</v>
      </c>
      <c r="K22" t="s">
        <v>76</v>
      </c>
    </row>
    <row r="23" spans="1:14" x14ac:dyDescent="0.2">
      <c r="A23" t="s">
        <v>23</v>
      </c>
      <c r="B23" s="1">
        <v>-712.77413999999999</v>
      </c>
      <c r="C23" s="1">
        <f>B23/64</f>
        <v>-11.1370959375</v>
      </c>
      <c r="D23" s="1">
        <f>11.2225251987372/4</f>
        <v>2.8056312996843</v>
      </c>
      <c r="E23" s="1">
        <f>11.6723071959811 /2</f>
        <v>5.8361535979905499</v>
      </c>
      <c r="F23" s="1">
        <f>9.81239603550041/2</f>
        <v>4.9061980177502047</v>
      </c>
      <c r="G23" s="1" t="s">
        <v>24</v>
      </c>
      <c r="J23" t="s">
        <v>80</v>
      </c>
      <c r="K23">
        <v>0</v>
      </c>
      <c r="L23" s="1">
        <v>-877.71370999999999</v>
      </c>
      <c r="M23" s="1">
        <f>L23-79*$C$33</f>
        <v>2.0944577500000605</v>
      </c>
    </row>
    <row r="24" spans="1:14" x14ac:dyDescent="0.2">
      <c r="A24" t="s">
        <v>27</v>
      </c>
      <c r="B24" s="1">
        <v>-712.76792</v>
      </c>
      <c r="C24" s="1">
        <f>B24/64</f>
        <v>-11.13699875</v>
      </c>
      <c r="D24" s="1">
        <f>11.2213372095336/4</f>
        <v>2.8053343023833999</v>
      </c>
      <c r="E24" s="1">
        <f>11.6704716266095/2</f>
        <v>5.8352358133047497</v>
      </c>
      <c r="F24" s="1">
        <f>9.81352613380276/2</f>
        <v>4.9067630669013802</v>
      </c>
      <c r="G24" s="1" t="s">
        <v>28</v>
      </c>
      <c r="K24">
        <v>1</v>
      </c>
      <c r="L24" s="1">
        <v>-876.91395999999997</v>
      </c>
      <c r="M24" s="1">
        <f t="shared" ref="M24:M29" si="3">L24-79*$C$33</f>
        <v>2.8942077500000778</v>
      </c>
    </row>
    <row r="25" spans="1:14" x14ac:dyDescent="0.2">
      <c r="A25" t="s">
        <v>25</v>
      </c>
      <c r="B25" s="1">
        <v>-712.77503000000002</v>
      </c>
      <c r="C25" s="1">
        <f>B25/64</f>
        <v>-11.13710984375</v>
      </c>
      <c r="D25" s="1"/>
      <c r="E25" s="1"/>
      <c r="F25" s="1"/>
      <c r="G25" s="1"/>
      <c r="K25">
        <v>2</v>
      </c>
      <c r="L25" s="1">
        <v>-875.92591000000004</v>
      </c>
      <c r="M25" s="1">
        <f t="shared" si="3"/>
        <v>3.8822577500000079</v>
      </c>
    </row>
    <row r="26" spans="1:14" x14ac:dyDescent="0.2">
      <c r="A26" t="s">
        <v>26</v>
      </c>
      <c r="B26" s="1"/>
      <c r="C26" s="1"/>
      <c r="D26" s="1"/>
      <c r="E26" s="1"/>
      <c r="F26" s="1"/>
      <c r="G26" s="1"/>
      <c r="K26" t="s">
        <v>77</v>
      </c>
      <c r="L26" s="1">
        <v>-875.74672999999996</v>
      </c>
      <c r="M26" s="1">
        <f t="shared" si="3"/>
        <v>4.0614377500000955</v>
      </c>
      <c r="N26" s="1">
        <f>M26-M23</f>
        <v>1.966980000000035</v>
      </c>
    </row>
    <row r="27" spans="1:14" x14ac:dyDescent="0.2">
      <c r="A27" t="s">
        <v>18</v>
      </c>
      <c r="B27" s="1">
        <v>-699.53902000000005</v>
      </c>
      <c r="C27" s="1">
        <f>B27-63*$C$25</f>
        <v>2.0989001562500107</v>
      </c>
      <c r="D27" s="1"/>
      <c r="E27" s="1"/>
      <c r="F27" s="1"/>
      <c r="G27" s="1"/>
      <c r="K27">
        <v>3</v>
      </c>
      <c r="L27" s="1">
        <v>-875.92591000000004</v>
      </c>
      <c r="M27" s="1">
        <f t="shared" si="3"/>
        <v>3.8822577500000079</v>
      </c>
    </row>
    <row r="28" spans="1:14" x14ac:dyDescent="0.2">
      <c r="A28" t="s">
        <v>19</v>
      </c>
      <c r="B28" s="1">
        <v>-699.72754999999995</v>
      </c>
      <c r="C28" s="1">
        <f>B28-63*$C$25</f>
        <v>1.9103701562501101</v>
      </c>
      <c r="D28" s="1"/>
      <c r="E28" s="1"/>
      <c r="F28" s="1"/>
      <c r="G28" s="1" t="s">
        <v>29</v>
      </c>
      <c r="K28">
        <v>4</v>
      </c>
      <c r="L28" s="1">
        <v>-876.91395</v>
      </c>
      <c r="M28" s="1">
        <f t="shared" si="3"/>
        <v>2.8942177500000525</v>
      </c>
    </row>
    <row r="29" spans="1:14" x14ac:dyDescent="0.2">
      <c r="B29" s="1"/>
      <c r="C29" s="1"/>
      <c r="D29" s="1"/>
      <c r="E29" s="1"/>
      <c r="F29" s="1"/>
      <c r="G29" s="1"/>
      <c r="K29">
        <v>5</v>
      </c>
      <c r="L29" s="1">
        <v>-877.71411000000001</v>
      </c>
      <c r="M29" s="1">
        <f t="shared" si="3"/>
        <v>2.0940577500000472</v>
      </c>
    </row>
    <row r="30" spans="1:14" x14ac:dyDescent="0.2">
      <c r="A30" t="s">
        <v>30</v>
      </c>
      <c r="B30" s="1">
        <v>-890.92677000000003</v>
      </c>
      <c r="C30" s="1">
        <f>B30/80</f>
        <v>-11.136584625000001</v>
      </c>
      <c r="D30" s="1">
        <f>14.0207776446592/5</f>
        <v>2.8041555289318398</v>
      </c>
      <c r="E30" s="1">
        <f>11.6781822190975/2</f>
        <v>5.8390911095487503</v>
      </c>
      <c r="F30" s="1">
        <f>9.81030192010573/2</f>
        <v>4.9051509600528647</v>
      </c>
      <c r="G30" s="1" t="s">
        <v>28</v>
      </c>
      <c r="J30" t="s">
        <v>81</v>
      </c>
      <c r="L30" s="1"/>
    </row>
    <row r="31" spans="1:14" x14ac:dyDescent="0.2">
      <c r="A31" t="s">
        <v>31</v>
      </c>
      <c r="B31" s="1"/>
      <c r="C31" s="1">
        <f>B31/80</f>
        <v>0</v>
      </c>
      <c r="D31" s="1">
        <f>11.2213372095336/5</f>
        <v>2.2442674419067199</v>
      </c>
      <c r="E31" s="1">
        <f>11.6704716266095/2</f>
        <v>5.8352358133047497</v>
      </c>
      <c r="F31" s="1">
        <f>9.81352613380276/2</f>
        <v>4.9067630669013802</v>
      </c>
      <c r="G31" s="1" t="s">
        <v>28</v>
      </c>
      <c r="J31">
        <v>0</v>
      </c>
      <c r="K31">
        <v>0</v>
      </c>
      <c r="L31" s="1">
        <v>-877.71370999999999</v>
      </c>
      <c r="M31" s="1">
        <f t="shared" ref="M31:M38" si="4">L31-79*$C$33</f>
        <v>2.0944577500000605</v>
      </c>
      <c r="N31" s="1">
        <f>M31-$M$31</f>
        <v>0</v>
      </c>
    </row>
    <row r="32" spans="1:14" x14ac:dyDescent="0.2">
      <c r="A32" t="s">
        <v>34</v>
      </c>
      <c r="B32" s="1">
        <v>-890.94415000000004</v>
      </c>
      <c r="C32" s="1">
        <f>B32/80</f>
        <v>-11.136801875</v>
      </c>
      <c r="D32" s="1">
        <f>14.0234133893796/5</f>
        <v>2.80468267787592</v>
      </c>
      <c r="E32" s="1">
        <f>11.6680512696746/2</f>
        <v>5.8340256348372996</v>
      </c>
      <c r="F32" s="1">
        <f>9.81669860287537/2</f>
        <v>4.9083493014376849</v>
      </c>
      <c r="G32" s="1" t="s">
        <v>33</v>
      </c>
      <c r="J32">
        <v>0.25</v>
      </c>
      <c r="K32" t="s">
        <v>107</v>
      </c>
      <c r="L32" s="1">
        <v>-877.50653</v>
      </c>
      <c r="M32" s="1">
        <f t="shared" si="4"/>
        <v>2.3016377500000544</v>
      </c>
      <c r="N32" s="1">
        <f>M32-$M$31</f>
        <v>0.20717999999999392</v>
      </c>
    </row>
    <row r="33" spans="1:19" x14ac:dyDescent="0.2">
      <c r="A33" t="s">
        <v>35</v>
      </c>
      <c r="B33" s="1">
        <v>-890.94497999999999</v>
      </c>
      <c r="C33" s="1">
        <f>B33/80</f>
        <v>-11.13681225</v>
      </c>
      <c r="D33" s="1"/>
      <c r="E33" s="1"/>
      <c r="F33" s="1"/>
      <c r="G33" s="1" t="s">
        <v>33</v>
      </c>
      <c r="J33">
        <v>0.5</v>
      </c>
      <c r="K33" t="s">
        <v>78</v>
      </c>
      <c r="L33" s="1">
        <v>-877.17670999999996</v>
      </c>
      <c r="M33" s="1">
        <f t="shared" si="4"/>
        <v>2.6314577500000951</v>
      </c>
      <c r="N33" s="1">
        <f>M33-$M$31</f>
        <v>0.53700000000003456</v>
      </c>
      <c r="O33">
        <v>1606.27</v>
      </c>
    </row>
    <row r="34" spans="1:19" x14ac:dyDescent="0.2">
      <c r="A34" t="s">
        <v>36</v>
      </c>
      <c r="B34" s="1">
        <v>-878.01206000000002</v>
      </c>
      <c r="C34" s="1">
        <f>B34-79*$C$33</f>
        <v>1.7961077500000329</v>
      </c>
      <c r="D34" s="1"/>
      <c r="E34" s="1"/>
      <c r="F34" s="1"/>
      <c r="G34" s="1" t="s">
        <v>33</v>
      </c>
      <c r="J34">
        <v>0.75</v>
      </c>
      <c r="K34" t="s">
        <v>107</v>
      </c>
      <c r="L34" s="1">
        <v>-877.50653</v>
      </c>
      <c r="M34" s="1">
        <f t="shared" si="4"/>
        <v>2.3016377500000544</v>
      </c>
      <c r="N34" s="1">
        <f>M34-$M$31</f>
        <v>0.20717999999999392</v>
      </c>
    </row>
    <row r="35" spans="1:19" x14ac:dyDescent="0.2">
      <c r="A35" t="s">
        <v>61</v>
      </c>
      <c r="B35" s="1">
        <v>-878.02747999999997</v>
      </c>
      <c r="C35" s="1">
        <f>B35-79*$C$33</f>
        <v>1.7806877500000837</v>
      </c>
      <c r="D35" s="1"/>
      <c r="E35" s="1"/>
      <c r="F35" s="1"/>
      <c r="G35" s="1"/>
      <c r="J35">
        <v>1</v>
      </c>
      <c r="K35">
        <v>0</v>
      </c>
      <c r="L35" s="1">
        <v>-877.71370999999999</v>
      </c>
      <c r="M35" s="1">
        <f t="shared" si="4"/>
        <v>2.0944577500000605</v>
      </c>
      <c r="N35" s="1">
        <f>M35-$M$31</f>
        <v>0</v>
      </c>
    </row>
    <row r="36" spans="1:19" x14ac:dyDescent="0.2">
      <c r="A36" t="s">
        <v>62</v>
      </c>
      <c r="B36" s="1">
        <v>-878.01504999999997</v>
      </c>
      <c r="C36" s="1">
        <f>B36-79*$C$33</f>
        <v>1.7931177500000786</v>
      </c>
      <c r="D36" s="1"/>
      <c r="E36" s="1"/>
      <c r="F36" s="1"/>
      <c r="G36" s="1"/>
      <c r="K36" t="s">
        <v>90</v>
      </c>
      <c r="L36" s="1">
        <v>-877.63207999999997</v>
      </c>
      <c r="M36" s="1">
        <f t="shared" si="4"/>
        <v>2.1760877500000788</v>
      </c>
      <c r="N36" s="1">
        <f>M36-M37</f>
        <v>0.3799900000000207</v>
      </c>
      <c r="O36">
        <v>1606.27</v>
      </c>
    </row>
    <row r="37" spans="1:19" x14ac:dyDescent="0.2">
      <c r="A37" t="s">
        <v>63</v>
      </c>
      <c r="B37" s="1">
        <v>-898.05215999999996</v>
      </c>
      <c r="C37" s="1">
        <f>B37-81*$C$33</f>
        <v>4.029632250000077</v>
      </c>
      <c r="D37" s="1">
        <f>14.146448546/5</f>
        <v>2.8292897092000002</v>
      </c>
      <c r="E37" s="1">
        <f>11.806923485/2</f>
        <v>5.9034617425000002</v>
      </c>
      <c r="F37" s="1">
        <f>9.842263247/2</f>
        <v>4.9211316235</v>
      </c>
      <c r="G37" s="1"/>
      <c r="K37" t="s">
        <v>93</v>
      </c>
      <c r="L37" s="13">
        <v>-878.01206999999999</v>
      </c>
      <c r="M37" s="13">
        <f t="shared" si="4"/>
        <v>1.7960977500000581</v>
      </c>
      <c r="N37" s="1"/>
    </row>
    <row r="38" spans="1:19" x14ac:dyDescent="0.2">
      <c r="B38" s="1"/>
      <c r="C38" s="1"/>
      <c r="D38" s="1"/>
      <c r="E38" s="1"/>
      <c r="F38" s="1"/>
      <c r="G38" s="1"/>
      <c r="K38" t="s">
        <v>108</v>
      </c>
      <c r="L38" s="13">
        <v>-877.63207999999997</v>
      </c>
      <c r="M38" s="13">
        <f t="shared" si="4"/>
        <v>2.1760877500000788</v>
      </c>
      <c r="N38" s="1"/>
    </row>
    <row r="39" spans="1:19" x14ac:dyDescent="0.2">
      <c r="A39" t="s">
        <v>45</v>
      </c>
      <c r="B39" s="1">
        <v>-2405.6125999999999</v>
      </c>
      <c r="C39" s="1">
        <f>B39/216</f>
        <v>-11.137095370370369</v>
      </c>
      <c r="D39" s="1"/>
      <c r="E39" s="1"/>
      <c r="F39" s="1"/>
      <c r="G39" s="1"/>
      <c r="J39" t="s">
        <v>82</v>
      </c>
      <c r="O39" t="s">
        <v>150</v>
      </c>
    </row>
    <row r="40" spans="1:19" x14ac:dyDescent="0.2">
      <c r="A40" t="s">
        <v>47</v>
      </c>
      <c r="D40" s="1"/>
      <c r="E40" s="1"/>
      <c r="F40" s="1"/>
      <c r="G40" s="1"/>
      <c r="J40">
        <v>0</v>
      </c>
      <c r="K40">
        <v>0</v>
      </c>
      <c r="L40" s="1">
        <v>-877.71370999999999</v>
      </c>
      <c r="M40" s="1">
        <f>L40-79*$C$33</f>
        <v>2.0944577500000605</v>
      </c>
      <c r="N40" s="1">
        <f>M40-$M$40</f>
        <v>0</v>
      </c>
      <c r="O40" s="19">
        <v>-877.71370000000002</v>
      </c>
      <c r="P40" s="2">
        <f>O40-$O$40</f>
        <v>0</v>
      </c>
    </row>
    <row r="41" spans="1:19" x14ac:dyDescent="0.2">
      <c r="A41" t="s">
        <v>48</v>
      </c>
      <c r="B41" s="1">
        <v>-2392.6500999999998</v>
      </c>
      <c r="C41" s="1">
        <f>B41-215*$C$39</f>
        <v>1.825404629629702</v>
      </c>
      <c r="D41" s="1"/>
      <c r="E41" s="1"/>
      <c r="F41" s="1"/>
      <c r="G41" s="1"/>
      <c r="J41">
        <v>0.375</v>
      </c>
      <c r="K41" t="s">
        <v>158</v>
      </c>
      <c r="L41" s="1">
        <v>-877.39340000000004</v>
      </c>
      <c r="M41" s="1">
        <f>L41-79*$C$33</f>
        <v>2.41476775000001</v>
      </c>
      <c r="N41" s="1">
        <f>M41-$M$40</f>
        <v>0.32030999999994947</v>
      </c>
      <c r="O41" s="2">
        <v>-877.37067999999999</v>
      </c>
      <c r="P41" s="2">
        <f>O41-$O$40</f>
        <v>0.34302000000002408</v>
      </c>
      <c r="Q41" t="s">
        <v>155</v>
      </c>
      <c r="R41" s="2">
        <v>-877.36189999999999</v>
      </c>
      <c r="S41" s="2">
        <f>R41-O41</f>
        <v>8.7800000000015643E-3</v>
      </c>
    </row>
    <row r="42" spans="1:19" x14ac:dyDescent="0.2">
      <c r="A42" t="s">
        <v>46</v>
      </c>
      <c r="B42" s="1">
        <v>-2405.6125999999999</v>
      </c>
      <c r="C42" s="1">
        <f>B42/216</f>
        <v>-11.137095370370369</v>
      </c>
      <c r="D42" s="1"/>
      <c r="E42" s="1"/>
      <c r="F42" s="1"/>
      <c r="G42" s="1"/>
      <c r="J42">
        <v>0.25</v>
      </c>
      <c r="K42" t="s">
        <v>159</v>
      </c>
      <c r="L42" s="1">
        <v>-877.47206000000006</v>
      </c>
      <c r="M42" s="1">
        <f>L42-79*$C$33</f>
        <v>2.3361077499999965</v>
      </c>
      <c r="N42" s="1">
        <f>M42-$M$40</f>
        <v>0.24164999999993597</v>
      </c>
      <c r="O42" s="2">
        <v>-877.44983999999999</v>
      </c>
      <c r="P42" s="2">
        <f>O42-$O$40</f>
        <v>0.26386000000002241</v>
      </c>
      <c r="Q42" t="s">
        <v>156</v>
      </c>
      <c r="R42" s="2">
        <v>-877.44695000000002</v>
      </c>
      <c r="S42" s="2">
        <f>R42-O42</f>
        <v>2.889999999979409E-3</v>
      </c>
    </row>
    <row r="43" spans="1:19" x14ac:dyDescent="0.2">
      <c r="A43" t="s">
        <v>50</v>
      </c>
      <c r="B43" s="1">
        <v>-2405.6491999999998</v>
      </c>
      <c r="C43" s="1">
        <f>B43/216</f>
        <v>-11.137264814814815</v>
      </c>
      <c r="D43" s="1"/>
      <c r="E43" s="1"/>
      <c r="F43" s="1"/>
      <c r="G43" s="1"/>
      <c r="J43">
        <v>0.125</v>
      </c>
      <c r="K43" t="s">
        <v>160</v>
      </c>
      <c r="L43" s="1">
        <v>-877.68079999999998</v>
      </c>
      <c r="M43" s="1">
        <f>L43-79*$C$33</f>
        <v>2.1273677500000758</v>
      </c>
      <c r="N43" s="1">
        <f>M43-$M$40</f>
        <v>3.2910000000015316E-2</v>
      </c>
      <c r="O43" s="2">
        <v>-877.65863000000002</v>
      </c>
      <c r="P43" s="2">
        <f>O43-$O$40</f>
        <v>5.5070000000000618E-2</v>
      </c>
      <c r="Q43" t="s">
        <v>157</v>
      </c>
      <c r="R43" s="2">
        <v>-877.65499</v>
      </c>
      <c r="S43" s="2">
        <f>R43-O43</f>
        <v>3.6400000000185173E-3</v>
      </c>
    </row>
    <row r="44" spans="1:19" x14ac:dyDescent="0.2">
      <c r="A44" t="s">
        <v>49</v>
      </c>
      <c r="B44" s="1">
        <v>-2392.6487000000002</v>
      </c>
      <c r="C44" s="1">
        <f>B44-215*$C$43</f>
        <v>1.8632351851852036</v>
      </c>
      <c r="D44" s="1"/>
      <c r="E44" s="1"/>
      <c r="F44" s="1"/>
      <c r="G44" s="1"/>
      <c r="J44">
        <v>0.5</v>
      </c>
      <c r="K44" t="s">
        <v>79</v>
      </c>
      <c r="L44" s="1">
        <v>-877.38489000000004</v>
      </c>
      <c r="M44" s="1">
        <f>L44-79*$C$33</f>
        <v>2.4232777500000111</v>
      </c>
      <c r="N44" s="1">
        <f>M44-$M$40</f>
        <v>0.3288199999999506</v>
      </c>
      <c r="O44" s="2">
        <v>-877.38489000000004</v>
      </c>
      <c r="P44" s="2">
        <f>O44-$O$40</f>
        <v>0.32880999999997584</v>
      </c>
    </row>
    <row r="45" spans="1:19" x14ac:dyDescent="0.2">
      <c r="B45" s="1"/>
      <c r="C45" s="1"/>
      <c r="D45" s="1"/>
      <c r="E45" s="1"/>
      <c r="F45" s="1"/>
      <c r="G45" s="1"/>
      <c r="J45">
        <v>0.874</v>
      </c>
      <c r="L45" s="1"/>
      <c r="M45" s="1"/>
      <c r="N45" s="1"/>
      <c r="O45" s="2"/>
      <c r="P45" s="2">
        <v>5.5070000000000618E-2</v>
      </c>
    </row>
    <row r="46" spans="1:19" x14ac:dyDescent="0.2">
      <c r="A46" t="s">
        <v>51</v>
      </c>
      <c r="B46" s="1">
        <v>-2806.0540000000001</v>
      </c>
      <c r="C46" s="1">
        <f>B46/252</f>
        <v>-11.13513492063492</v>
      </c>
      <c r="D46" s="1">
        <f>19.631620543/7</f>
        <v>2.8045172204285715</v>
      </c>
      <c r="E46" s="1">
        <f>17.507091612/3</f>
        <v>5.8356972039999997</v>
      </c>
      <c r="F46" s="1">
        <f>14.718396006/3</f>
        <v>4.9061320020000005</v>
      </c>
      <c r="G46" s="1"/>
      <c r="J46">
        <v>0.75</v>
      </c>
      <c r="L46" s="1"/>
      <c r="M46" s="1"/>
      <c r="N46" s="1"/>
      <c r="O46" s="2"/>
      <c r="P46" s="2">
        <v>0.26400000000000001</v>
      </c>
      <c r="Q46" t="s">
        <v>162</v>
      </c>
      <c r="R46" s="1">
        <v>-877.89302999999995</v>
      </c>
      <c r="S46" s="1">
        <f>R46-79*$C$33</f>
        <v>1.915137750000099</v>
      </c>
    </row>
    <row r="47" spans="1:19" x14ac:dyDescent="0.2">
      <c r="A47" t="s">
        <v>52</v>
      </c>
      <c r="B47" s="1">
        <v>-2806.0598</v>
      </c>
      <c r="C47" s="1">
        <f>B47/252</f>
        <v>-11.135157936507936</v>
      </c>
      <c r="D47" s="3"/>
      <c r="E47" s="1"/>
      <c r="F47" s="1"/>
      <c r="G47" s="1"/>
      <c r="J47">
        <v>0.625</v>
      </c>
      <c r="L47" s="1"/>
      <c r="M47" s="1"/>
      <c r="N47" s="1"/>
      <c r="O47" s="2"/>
      <c r="P47" s="2">
        <v>0.34300000000000003</v>
      </c>
      <c r="Q47" t="s">
        <v>161</v>
      </c>
      <c r="R47" s="1">
        <v>-877.87680999999998</v>
      </c>
      <c r="S47" s="1">
        <f>R47-79*$C$33</f>
        <v>1.9313577500000747</v>
      </c>
    </row>
    <row r="48" spans="1:19" x14ac:dyDescent="0.2">
      <c r="A48" t="s">
        <v>53</v>
      </c>
      <c r="B48" s="12">
        <v>-2793.1774</v>
      </c>
      <c r="C48" s="12">
        <f>B48-251*$C$47</f>
        <v>1.7472420634917398</v>
      </c>
      <c r="D48" s="3">
        <f>19.608194914/7</f>
        <v>2.8011707019999998</v>
      </c>
      <c r="E48" s="1">
        <f>17.504473907/3</f>
        <v>5.8348246356666671</v>
      </c>
      <c r="F48" s="1">
        <f>14.708159285/3</f>
        <v>4.9027197616666669</v>
      </c>
      <c r="G48" s="1"/>
      <c r="J48">
        <v>1</v>
      </c>
      <c r="L48" s="1"/>
      <c r="M48" s="1"/>
      <c r="N48" s="1"/>
      <c r="O48" s="2"/>
      <c r="P48" s="2">
        <v>0</v>
      </c>
    </row>
    <row r="49" spans="1:17" x14ac:dyDescent="0.2">
      <c r="A49" t="s">
        <v>54</v>
      </c>
      <c r="B49" s="13">
        <v>-2793.2595999999999</v>
      </c>
      <c r="C49" s="13">
        <f>B49-251*$C$47</f>
        <v>1.6650420634919101</v>
      </c>
      <c r="D49" s="4"/>
      <c r="E49" s="2"/>
      <c r="F49" s="2"/>
      <c r="G49" s="2"/>
      <c r="L49" s="1"/>
      <c r="M49" s="1"/>
      <c r="N49" s="1"/>
      <c r="O49" s="2"/>
      <c r="P49" s="2"/>
    </row>
    <row r="50" spans="1:17" x14ac:dyDescent="0.2">
      <c r="A50" t="s">
        <v>75</v>
      </c>
      <c r="B50" s="13">
        <v>-2812.9942000000001</v>
      </c>
      <c r="C50" s="13">
        <f>B50-253*$C$47</f>
        <v>4.2007579365076708</v>
      </c>
      <c r="D50" s="4"/>
      <c r="E50" s="2"/>
      <c r="F50" s="2"/>
      <c r="G50" s="2"/>
      <c r="J50">
        <v>1</v>
      </c>
      <c r="K50">
        <v>0</v>
      </c>
      <c r="L50" s="1">
        <v>-877.71370999999999</v>
      </c>
      <c r="M50" s="1">
        <f>L50-79*$C$33</f>
        <v>2.0944577500000605</v>
      </c>
      <c r="N50" s="1">
        <f>M50-$M$40</f>
        <v>0</v>
      </c>
    </row>
    <row r="51" spans="1:17" x14ac:dyDescent="0.2">
      <c r="B51" s="1"/>
      <c r="C51" s="1"/>
      <c r="D51" s="4"/>
      <c r="E51" s="2"/>
      <c r="F51" s="2"/>
      <c r="G51" s="2"/>
      <c r="K51" t="s">
        <v>99</v>
      </c>
      <c r="L51" s="1">
        <v>-877.71396000000004</v>
      </c>
      <c r="M51" s="1">
        <f>L51-79*$C$33</f>
        <v>2.0942077500000096</v>
      </c>
    </row>
    <row r="52" spans="1:17" x14ac:dyDescent="0.2">
      <c r="A52" s="18" t="s">
        <v>132</v>
      </c>
      <c r="B52" s="19">
        <v>-891.21880999999996</v>
      </c>
      <c r="C52" s="19">
        <f>B52/80</f>
        <v>-11.140235125</v>
      </c>
      <c r="D52" s="19">
        <f>14.019986437/5</f>
        <v>2.8039972874000001</v>
      </c>
      <c r="E52" s="19">
        <f>11.68524438/2</f>
        <v>5.8426221900000002</v>
      </c>
      <c r="F52" s="19">
        <f>9.800487139/2</f>
        <v>4.9002435694999997</v>
      </c>
      <c r="G52" s="20" t="s">
        <v>133</v>
      </c>
      <c r="K52" t="s">
        <v>93</v>
      </c>
      <c r="L52" s="13">
        <v>-878.01206999999999</v>
      </c>
      <c r="M52" s="13">
        <f>L52-79*$C$33</f>
        <v>1.7960977500000581</v>
      </c>
    </row>
    <row r="53" spans="1:17" x14ac:dyDescent="0.2">
      <c r="A53" s="18" t="s">
        <v>132</v>
      </c>
      <c r="B53" s="19">
        <v>-891.21780000000001</v>
      </c>
      <c r="C53" s="19">
        <f>B53/80</f>
        <v>-11.1402225</v>
      </c>
      <c r="D53" s="21">
        <f>14.019982574/5</f>
        <v>2.8039965148000001</v>
      </c>
      <c r="E53" s="19">
        <f>11.685256026/2</f>
        <v>5.8426280129999997</v>
      </c>
      <c r="F53" s="19">
        <f>9.800500813/2</f>
        <v>4.9002504064999997</v>
      </c>
      <c r="G53" s="20" t="s">
        <v>134</v>
      </c>
    </row>
    <row r="54" spans="1:17" x14ac:dyDescent="0.2">
      <c r="A54" s="18" t="s">
        <v>132</v>
      </c>
      <c r="B54" s="1">
        <v>-891.17088999999999</v>
      </c>
      <c r="C54" s="19">
        <f>B54/80</f>
        <v>-11.139636124999999</v>
      </c>
      <c r="D54" s="22"/>
      <c r="E54" s="1"/>
      <c r="F54" s="1"/>
      <c r="G54" s="20" t="s">
        <v>177</v>
      </c>
      <c r="I54" t="s">
        <v>51</v>
      </c>
      <c r="J54" t="s">
        <v>112</v>
      </c>
      <c r="K54" t="s">
        <v>82</v>
      </c>
      <c r="M54" t="s">
        <v>113</v>
      </c>
      <c r="O54" s="14"/>
      <c r="P54" s="14" t="s">
        <v>114</v>
      </c>
    </row>
    <row r="55" spans="1:17" x14ac:dyDescent="0.2">
      <c r="A55" s="18" t="s">
        <v>132</v>
      </c>
      <c r="B55" s="1">
        <v>-891.16376000000002</v>
      </c>
      <c r="C55" s="19">
        <f>B55/80</f>
        <v>-11.139547</v>
      </c>
      <c r="D55" s="22">
        <f>14.015428306/5</f>
        <v>2.8030856611999999</v>
      </c>
      <c r="E55" s="1">
        <f>11.680485753/2</f>
        <v>5.8402428764999996</v>
      </c>
      <c r="F55" s="1">
        <f>9.806632713/2</f>
        <v>4.9033163565000004</v>
      </c>
      <c r="G55" s="20" t="s">
        <v>179</v>
      </c>
      <c r="J55">
        <v>0</v>
      </c>
      <c r="K55" t="s">
        <v>78</v>
      </c>
      <c r="L55" s="1">
        <v>-2792.8615</v>
      </c>
      <c r="M55" s="1">
        <f>L55-251*$C$47</f>
        <v>2.0631420634917959</v>
      </c>
      <c r="N55" s="1">
        <f>M55-$M$55</f>
        <v>0</v>
      </c>
      <c r="O55" s="12">
        <v>-2793.2799</v>
      </c>
      <c r="P55" s="12">
        <f>O55-251*$C$47</f>
        <v>1.6447420634917762</v>
      </c>
    </row>
    <row r="56" spans="1:17" x14ac:dyDescent="0.2">
      <c r="B56" s="1"/>
      <c r="C56" s="1"/>
      <c r="D56" s="4"/>
      <c r="E56" s="2"/>
      <c r="F56" s="2"/>
      <c r="G56" s="2"/>
      <c r="J56">
        <v>0.5</v>
      </c>
      <c r="K56" t="s">
        <v>109</v>
      </c>
      <c r="L56" s="1">
        <v>-2792.5677000000001</v>
      </c>
      <c r="M56" s="1">
        <f>L56-251*$C$47</f>
        <v>2.3569420634917151</v>
      </c>
      <c r="N56" s="1">
        <f>M56-$M$55</f>
        <v>0.29379999999991924</v>
      </c>
      <c r="O56" s="13">
        <v>-2792.9647</v>
      </c>
      <c r="P56" s="13">
        <f>O56-251*$C$47</f>
        <v>1.9599420634917806</v>
      </c>
      <c r="Q56" s="1">
        <f>P56-P55</f>
        <v>0.31520000000000437</v>
      </c>
    </row>
    <row r="57" spans="1:17" x14ac:dyDescent="0.2">
      <c r="D57" s="5"/>
      <c r="J57">
        <v>1</v>
      </c>
      <c r="K57" t="s">
        <v>107</v>
      </c>
      <c r="L57" s="1">
        <v>-2792.8616999999999</v>
      </c>
      <c r="M57" s="1">
        <f>L57-251*$C$47</f>
        <v>2.0629420634918461</v>
      </c>
      <c r="N57" s="1">
        <f>M57-$M$55</f>
        <v>-1.9999999994979589E-4</v>
      </c>
      <c r="O57" s="12">
        <v>-2793.1887999999999</v>
      </c>
      <c r="P57" s="12">
        <f>O57-251*$C$47</f>
        <v>1.735842063491873</v>
      </c>
    </row>
    <row r="58" spans="1:17" x14ac:dyDescent="0.2">
      <c r="D58" s="5"/>
      <c r="O58" s="14"/>
      <c r="P58" s="14"/>
    </row>
    <row r="59" spans="1:17" x14ac:dyDescent="0.2">
      <c r="D59" s="5"/>
      <c r="J59" t="s">
        <v>112</v>
      </c>
      <c r="K59" t="s">
        <v>81</v>
      </c>
      <c r="M59" t="s">
        <v>113</v>
      </c>
      <c r="O59" s="14"/>
      <c r="P59" s="14" t="s">
        <v>114</v>
      </c>
    </row>
    <row r="60" spans="1:17" x14ac:dyDescent="0.2">
      <c r="A60" t="s">
        <v>178</v>
      </c>
      <c r="B60" t="s">
        <v>164</v>
      </c>
      <c r="C60">
        <v>0</v>
      </c>
      <c r="D60" s="1">
        <v>-878.00841000000003</v>
      </c>
      <c r="E60" s="1">
        <f>D60-$D$60</f>
        <v>0</v>
      </c>
      <c r="J60">
        <v>0</v>
      </c>
      <c r="K60" t="s">
        <v>79</v>
      </c>
      <c r="L60" s="1">
        <v>-2792.8615</v>
      </c>
      <c r="M60" s="1">
        <f>L60-251*$C$47</f>
        <v>2.0631420634917959</v>
      </c>
      <c r="O60" s="12">
        <v>-2793.2636000000002</v>
      </c>
      <c r="P60" s="12">
        <f>O60-251*$C$47</f>
        <v>1.6610420634915499</v>
      </c>
    </row>
    <row r="61" spans="1:17" x14ac:dyDescent="0.2">
      <c r="B61" t="s">
        <v>165</v>
      </c>
      <c r="C61">
        <v>0.125</v>
      </c>
      <c r="D61" s="1">
        <v>-877.95191</v>
      </c>
      <c r="E61" s="1">
        <f t="shared" ref="E61:E68" si="5">D61-$D$60</f>
        <v>5.6500000000028194E-2</v>
      </c>
      <c r="J61">
        <v>0.5</v>
      </c>
      <c r="K61" t="s">
        <v>110</v>
      </c>
      <c r="L61" s="1">
        <v>-2792.3449000000001</v>
      </c>
      <c r="M61" s="1">
        <f>L61-251*$C$47</f>
        <v>2.5797420634917216</v>
      </c>
      <c r="N61" s="1">
        <f>M61-M60</f>
        <v>0.51659999999992579</v>
      </c>
      <c r="O61" s="12">
        <v>-2792.9495000000002</v>
      </c>
      <c r="P61" s="12">
        <f>O61-251*$C$47</f>
        <v>1.975142063491603</v>
      </c>
      <c r="Q61" s="1">
        <f>P61-P60</f>
        <v>0.31410000000005311</v>
      </c>
    </row>
    <row r="62" spans="1:17" x14ac:dyDescent="0.2">
      <c r="B62" t="s">
        <v>166</v>
      </c>
      <c r="C62">
        <v>0.25</v>
      </c>
      <c r="D62" s="1">
        <v>-877.79614000000004</v>
      </c>
      <c r="E62" s="1">
        <f t="shared" si="5"/>
        <v>0.21226999999998952</v>
      </c>
      <c r="J62">
        <v>1</v>
      </c>
      <c r="K62" t="s">
        <v>111</v>
      </c>
      <c r="L62" s="1">
        <v>-2792.8606</v>
      </c>
      <c r="M62" s="1">
        <f>L62-251*$C$47</f>
        <v>2.0640420634917973</v>
      </c>
      <c r="O62" s="12">
        <v>-2793.1887999999999</v>
      </c>
      <c r="P62" s="12">
        <f>O62-251*$C$47</f>
        <v>1.735842063491873</v>
      </c>
    </row>
    <row r="63" spans="1:17" x14ac:dyDescent="0.2">
      <c r="B63" t="s">
        <v>167</v>
      </c>
      <c r="C63">
        <v>0.375</v>
      </c>
      <c r="D63" s="1">
        <v>-877.59771000000001</v>
      </c>
      <c r="E63" s="1">
        <f t="shared" si="5"/>
        <v>0.41070000000001983</v>
      </c>
      <c r="L63" s="1"/>
      <c r="M63" s="1"/>
    </row>
    <row r="64" spans="1:17" x14ac:dyDescent="0.2">
      <c r="B64" t="s">
        <v>168</v>
      </c>
      <c r="C64">
        <v>0.5</v>
      </c>
      <c r="D64" s="1">
        <v>-877.45330999999999</v>
      </c>
      <c r="E64" s="1">
        <f t="shared" si="5"/>
        <v>0.55510000000003856</v>
      </c>
      <c r="J64" t="s">
        <v>81</v>
      </c>
      <c r="K64" t="s">
        <v>150</v>
      </c>
      <c r="M64" t="s">
        <v>144</v>
      </c>
    </row>
    <row r="65" spans="2:16" x14ac:dyDescent="0.2">
      <c r="B65" t="s">
        <v>169</v>
      </c>
      <c r="C65">
        <v>0.625</v>
      </c>
      <c r="D65" s="1">
        <v>-877.59771000000001</v>
      </c>
      <c r="E65" s="1">
        <f t="shared" si="5"/>
        <v>0.41070000000001983</v>
      </c>
      <c r="J65" t="s">
        <v>3</v>
      </c>
      <c r="K65" s="6">
        <v>-864.66615000000002</v>
      </c>
      <c r="L65" s="19">
        <f>K65-$K$65</f>
        <v>0</v>
      </c>
      <c r="M65" s="19">
        <v>-864.70387000000005</v>
      </c>
      <c r="N65" s="1">
        <f>M65-78*$C$52</f>
        <v>4.2344697500000166</v>
      </c>
      <c r="O65">
        <v>0.4</v>
      </c>
    </row>
    <row r="66" spans="2:16" x14ac:dyDescent="0.2">
      <c r="B66" t="s">
        <v>170</v>
      </c>
      <c r="C66">
        <v>0.75</v>
      </c>
      <c r="D66" s="1">
        <v>-877.79614000000004</v>
      </c>
      <c r="E66" s="1">
        <f t="shared" si="5"/>
        <v>0.21226999999998952</v>
      </c>
      <c r="J66" t="s">
        <v>173</v>
      </c>
      <c r="K66" s="6">
        <v>-864.62411999999995</v>
      </c>
      <c r="L66" s="19">
        <f t="shared" ref="L66:L81" si="6">K66-$K$65</f>
        <v>4.2030000000067957E-2</v>
      </c>
      <c r="M66" s="19"/>
      <c r="N66" s="1"/>
      <c r="O66">
        <v>0.375</v>
      </c>
    </row>
    <row r="67" spans="2:16" x14ac:dyDescent="0.2">
      <c r="B67" t="s">
        <v>171</v>
      </c>
      <c r="C67">
        <v>0.875</v>
      </c>
      <c r="D67" s="1">
        <v>-877.95191</v>
      </c>
      <c r="E67" s="1">
        <f t="shared" si="5"/>
        <v>5.6500000000028194E-2</v>
      </c>
      <c r="J67" t="s">
        <v>4</v>
      </c>
      <c r="K67" s="6">
        <v>-864.46927000000005</v>
      </c>
      <c r="L67" s="19">
        <f t="shared" si="6"/>
        <v>0.19687999999996464</v>
      </c>
      <c r="M67" s="1">
        <v>-864.50901999999996</v>
      </c>
      <c r="N67" s="1">
        <f>M67-78*$C$52</f>
        <v>4.4293197500001042</v>
      </c>
      <c r="O67">
        <v>0.35</v>
      </c>
    </row>
    <row r="68" spans="2:16" x14ac:dyDescent="0.2">
      <c r="B68" t="s">
        <v>172</v>
      </c>
      <c r="C68">
        <v>1</v>
      </c>
      <c r="D68" s="1">
        <v>-878.00841000000003</v>
      </c>
      <c r="E68" s="1">
        <f t="shared" si="5"/>
        <v>0</v>
      </c>
      <c r="J68" t="s">
        <v>174</v>
      </c>
      <c r="K68" s="6">
        <v>-864.26189999999997</v>
      </c>
      <c r="L68" s="19">
        <f t="shared" si="6"/>
        <v>0.40425000000004729</v>
      </c>
      <c r="M68" s="1"/>
      <c r="N68" s="1"/>
      <c r="O68">
        <v>0.32500000000000001</v>
      </c>
    </row>
    <row r="69" spans="2:16" x14ac:dyDescent="0.2">
      <c r="B69" t="s">
        <v>181</v>
      </c>
      <c r="D69" s="1">
        <v>-877.44737999999995</v>
      </c>
      <c r="E69" s="1">
        <f>D69-D64</f>
        <v>5.9300000000348518E-3</v>
      </c>
      <c r="J69" t="s">
        <v>5</v>
      </c>
      <c r="K69" s="6">
        <v>-864.11829</v>
      </c>
      <c r="L69" s="19">
        <f t="shared" si="6"/>
        <v>0.54786000000001422</v>
      </c>
      <c r="M69" s="1">
        <v>-864.16853000000003</v>
      </c>
      <c r="N69" s="1">
        <f>M69-78*$C$52</f>
        <v>4.7698097500000358</v>
      </c>
      <c r="O69">
        <v>0.3</v>
      </c>
      <c r="P69" s="1">
        <f>N69-N65</f>
        <v>0.53534000000001924</v>
      </c>
    </row>
    <row r="70" spans="2:16" x14ac:dyDescent="0.2">
      <c r="B70" t="s">
        <v>195</v>
      </c>
      <c r="D70" s="6">
        <v>-877.42709000000002</v>
      </c>
      <c r="E70" s="1">
        <f>D70-D65</f>
        <v>0.17061999999998534</v>
      </c>
      <c r="J70" t="s">
        <v>175</v>
      </c>
      <c r="K70" s="6">
        <v>-864.25238999999999</v>
      </c>
      <c r="L70" s="19">
        <f t="shared" si="6"/>
        <v>0.41376000000002477</v>
      </c>
      <c r="M70" s="1"/>
      <c r="N70" s="1"/>
      <c r="O70">
        <v>0.27500000000000002</v>
      </c>
      <c r="P70" s="1"/>
    </row>
    <row r="71" spans="2:16" x14ac:dyDescent="0.2">
      <c r="B71" t="s">
        <v>182</v>
      </c>
      <c r="D71" s="1">
        <v>-877.39408000000003</v>
      </c>
      <c r="E71" s="1">
        <f>D71-D64</f>
        <v>5.9229999999956817E-2</v>
      </c>
      <c r="J71" t="s">
        <v>145</v>
      </c>
      <c r="K71" s="6">
        <v>-864.45279000000005</v>
      </c>
      <c r="L71" s="19">
        <f t="shared" si="6"/>
        <v>0.21335999999996602</v>
      </c>
      <c r="M71" s="1">
        <v>-864.49545000000001</v>
      </c>
      <c r="N71" s="1">
        <f>M71-78*$C$52</f>
        <v>4.442889750000063</v>
      </c>
      <c r="O71">
        <v>0.25</v>
      </c>
    </row>
    <row r="72" spans="2:16" x14ac:dyDescent="0.2">
      <c r="D72" t="s">
        <v>188</v>
      </c>
      <c r="J72" t="s">
        <v>176</v>
      </c>
      <c r="K72" s="6">
        <v>-864.63370999999995</v>
      </c>
      <c r="L72" s="19">
        <f t="shared" si="6"/>
        <v>3.2440000000065083E-2</v>
      </c>
      <c r="M72" s="1"/>
      <c r="N72" s="1"/>
      <c r="O72">
        <v>0.22500000000000001</v>
      </c>
    </row>
    <row r="73" spans="2:16" x14ac:dyDescent="0.2">
      <c r="D73" s="1">
        <v>-877.95869000000005</v>
      </c>
      <c r="E73" s="1">
        <f t="shared" ref="E73:E81" si="7">D73-$D$73</f>
        <v>0</v>
      </c>
      <c r="J73" t="s">
        <v>146</v>
      </c>
      <c r="K73" s="6">
        <v>-864.70070999999996</v>
      </c>
      <c r="L73" s="19">
        <f t="shared" si="6"/>
        <v>-3.4559999999942193E-2</v>
      </c>
      <c r="M73" s="19">
        <v>-864.74579000000006</v>
      </c>
      <c r="N73" s="1">
        <f>M73-78*$C$52</f>
        <v>4.192549750000012</v>
      </c>
      <c r="O73">
        <v>0.2</v>
      </c>
    </row>
    <row r="74" spans="2:16" x14ac:dyDescent="0.2">
      <c r="D74" s="1">
        <v>-877.90373999999997</v>
      </c>
      <c r="E74" s="1">
        <f t="shared" si="7"/>
        <v>5.4950000000076216E-2</v>
      </c>
      <c r="K74" s="6">
        <v>-864.63370999999995</v>
      </c>
      <c r="L74" s="19">
        <f t="shared" si="6"/>
        <v>3.2440000000065083E-2</v>
      </c>
      <c r="M74" s="19"/>
      <c r="N74" s="1"/>
      <c r="O74">
        <v>0.17499999999999999</v>
      </c>
    </row>
    <row r="75" spans="2:16" x14ac:dyDescent="0.2">
      <c r="D75" s="1">
        <v>-877.75167999999996</v>
      </c>
      <c r="E75" s="1">
        <f t="shared" si="7"/>
        <v>0.20701000000008207</v>
      </c>
      <c r="K75" s="6">
        <v>-864.45279000000005</v>
      </c>
      <c r="L75" s="19">
        <f t="shared" si="6"/>
        <v>0.21335999999996602</v>
      </c>
      <c r="M75" s="19"/>
      <c r="N75" s="1"/>
      <c r="O75">
        <v>0.15</v>
      </c>
    </row>
    <row r="76" spans="2:16" x14ac:dyDescent="0.2">
      <c r="D76" s="1">
        <v>-877.56001000000003</v>
      </c>
      <c r="E76" s="1">
        <f t="shared" si="7"/>
        <v>0.39868000000001302</v>
      </c>
      <c r="K76" s="6">
        <v>-864.25238999999999</v>
      </c>
      <c r="L76" s="19">
        <f t="shared" si="6"/>
        <v>0.41376000000002477</v>
      </c>
      <c r="M76" s="19"/>
      <c r="N76" s="1"/>
      <c r="O76">
        <v>0.125</v>
      </c>
    </row>
    <row r="77" spans="2:16" x14ac:dyDescent="0.2">
      <c r="D77" s="1">
        <v>-877.42125999999996</v>
      </c>
      <c r="E77" s="1">
        <f t="shared" si="7"/>
        <v>0.53743000000008578</v>
      </c>
      <c r="K77" s="6">
        <v>-864.11829</v>
      </c>
      <c r="L77" s="19">
        <f t="shared" si="6"/>
        <v>0.54786000000001422</v>
      </c>
      <c r="M77" s="19"/>
      <c r="N77" s="1"/>
      <c r="O77">
        <v>0.1</v>
      </c>
    </row>
    <row r="78" spans="2:16" x14ac:dyDescent="0.2">
      <c r="D78" s="1">
        <v>-877.56001000000003</v>
      </c>
      <c r="E78" s="1">
        <f t="shared" si="7"/>
        <v>0.39868000000001302</v>
      </c>
      <c r="K78" s="6">
        <v>-864.26189999999997</v>
      </c>
      <c r="L78" s="19">
        <f t="shared" si="6"/>
        <v>0.40425000000004729</v>
      </c>
      <c r="M78" s="19"/>
      <c r="N78" s="1"/>
      <c r="O78">
        <v>7.4999999999999997E-2</v>
      </c>
    </row>
    <row r="79" spans="2:16" x14ac:dyDescent="0.2">
      <c r="D79" s="1">
        <v>-877.75167999999996</v>
      </c>
      <c r="E79" s="1">
        <f t="shared" si="7"/>
        <v>0.20701000000008207</v>
      </c>
      <c r="K79" s="6">
        <v>-864.46927000000005</v>
      </c>
      <c r="L79" s="19">
        <f t="shared" si="6"/>
        <v>0.19687999999996464</v>
      </c>
      <c r="M79" s="19"/>
      <c r="N79" s="1"/>
      <c r="O79">
        <v>0.05</v>
      </c>
    </row>
    <row r="80" spans="2:16" x14ac:dyDescent="0.2">
      <c r="D80" s="1">
        <v>-877.90373999999997</v>
      </c>
      <c r="E80" s="1">
        <f t="shared" si="7"/>
        <v>5.4950000000076216E-2</v>
      </c>
      <c r="K80" s="6">
        <v>-864.62411999999995</v>
      </c>
      <c r="L80" s="19">
        <f t="shared" si="6"/>
        <v>4.2030000000067957E-2</v>
      </c>
      <c r="M80" s="19"/>
      <c r="N80" s="1"/>
      <c r="O80">
        <v>2.5000000000000001E-2</v>
      </c>
    </row>
    <row r="81" spans="1:17" x14ac:dyDescent="0.2">
      <c r="D81" s="1">
        <v>-877.95869000000005</v>
      </c>
      <c r="E81" s="1">
        <f t="shared" si="7"/>
        <v>0</v>
      </c>
      <c r="K81" s="6">
        <v>-864.66615000000002</v>
      </c>
      <c r="L81" s="19">
        <f t="shared" si="6"/>
        <v>0</v>
      </c>
      <c r="M81" s="19"/>
      <c r="N81" s="1"/>
      <c r="O81">
        <v>0</v>
      </c>
    </row>
    <row r="82" spans="1:17" x14ac:dyDescent="0.2">
      <c r="D82" s="1"/>
      <c r="E82" s="1"/>
      <c r="K82" s="6"/>
      <c r="L82" s="19"/>
      <c r="M82" s="19"/>
      <c r="N82" s="1"/>
    </row>
    <row r="83" spans="1:17" x14ac:dyDescent="0.2">
      <c r="D83" t="s">
        <v>187</v>
      </c>
      <c r="K83" s="6"/>
      <c r="L83" s="19"/>
      <c r="M83" s="19"/>
      <c r="N83" s="1"/>
    </row>
    <row r="84" spans="1:17" x14ac:dyDescent="0.2">
      <c r="A84" t="s">
        <v>163</v>
      </c>
      <c r="B84" t="s">
        <v>164</v>
      </c>
      <c r="C84">
        <v>0</v>
      </c>
      <c r="D84" s="1">
        <v>-878.00825999999995</v>
      </c>
      <c r="E84" s="1">
        <f t="shared" ref="E84:E92" si="8">D84-$D$84</f>
        <v>0</v>
      </c>
    </row>
    <row r="85" spans="1:17" x14ac:dyDescent="0.2">
      <c r="B85" t="s">
        <v>165</v>
      </c>
      <c r="C85">
        <v>0.125</v>
      </c>
      <c r="D85" s="1">
        <v>-877.95398999999998</v>
      </c>
      <c r="E85" s="1">
        <f t="shared" si="8"/>
        <v>5.4269999999974061E-2</v>
      </c>
    </row>
    <row r="86" spans="1:17" x14ac:dyDescent="0.2">
      <c r="B86" t="s">
        <v>166</v>
      </c>
      <c r="C86">
        <v>0.25</v>
      </c>
      <c r="D86" s="1">
        <v>-877.74022000000002</v>
      </c>
      <c r="E86" s="1">
        <f t="shared" si="8"/>
        <v>0.26803999999992811</v>
      </c>
    </row>
    <row r="87" spans="1:17" x14ac:dyDescent="0.2">
      <c r="B87" t="s">
        <v>167</v>
      </c>
      <c r="C87">
        <v>0.375</v>
      </c>
      <c r="D87" s="1">
        <v>-877.65827000000002</v>
      </c>
      <c r="E87" s="1">
        <f t="shared" si="8"/>
        <v>0.3499899999999343</v>
      </c>
      <c r="J87" t="s">
        <v>82</v>
      </c>
      <c r="K87" t="s">
        <v>144</v>
      </c>
      <c r="O87" t="s">
        <v>150</v>
      </c>
    </row>
    <row r="88" spans="1:17" x14ac:dyDescent="0.2">
      <c r="B88" t="s">
        <v>168</v>
      </c>
      <c r="C88">
        <v>0.5</v>
      </c>
      <c r="D88" s="1">
        <v>-877.65180999999995</v>
      </c>
      <c r="E88" s="1">
        <f t="shared" si="8"/>
        <v>0.35644999999999527</v>
      </c>
      <c r="I88" t="s">
        <v>149</v>
      </c>
      <c r="J88" t="s">
        <v>3</v>
      </c>
      <c r="K88" s="19">
        <v>-864.75158999999996</v>
      </c>
      <c r="L88" s="1">
        <f>K88-78*$C$52</f>
        <v>4.1867497500001036</v>
      </c>
      <c r="M88">
        <v>0</v>
      </c>
      <c r="N88" s="1">
        <f>L88-$L$88</f>
        <v>0</v>
      </c>
      <c r="O88" s="1">
        <v>-864.70750999999996</v>
      </c>
      <c r="P88" s="1">
        <f t="shared" ref="P88:P98" si="9">O88-$O$88</f>
        <v>0</v>
      </c>
      <c r="Q88" s="1">
        <f>O88-78*$C$52</f>
        <v>4.2308297500001117</v>
      </c>
    </row>
    <row r="89" spans="1:17" x14ac:dyDescent="0.2">
      <c r="B89" t="s">
        <v>169</v>
      </c>
      <c r="C89">
        <v>0.625</v>
      </c>
      <c r="D89" s="1">
        <v>-877.65827000000002</v>
      </c>
      <c r="E89" s="1">
        <f t="shared" si="8"/>
        <v>0.3499899999999343</v>
      </c>
      <c r="J89" t="s">
        <v>151</v>
      </c>
      <c r="K89" s="19"/>
      <c r="L89" s="1"/>
      <c r="M89">
        <v>0.05</v>
      </c>
      <c r="N89" s="1"/>
      <c r="O89" s="1">
        <v>-864.65898000000004</v>
      </c>
      <c r="P89" s="1">
        <f t="shared" si="9"/>
        <v>4.8529999999914253E-2</v>
      </c>
      <c r="Q89" s="1">
        <f t="shared" ref="Q89:Q98" si="10">O89-78*$C$52</f>
        <v>4.279359750000026</v>
      </c>
    </row>
    <row r="90" spans="1:17" x14ac:dyDescent="0.2">
      <c r="B90" t="s">
        <v>170</v>
      </c>
      <c r="C90">
        <v>0.75</v>
      </c>
      <c r="D90" s="1">
        <v>-877.74005999999997</v>
      </c>
      <c r="E90" s="1">
        <f t="shared" si="8"/>
        <v>0.2681999999999789</v>
      </c>
      <c r="J90" t="s">
        <v>4</v>
      </c>
      <c r="K90" s="19">
        <v>-864.51530000000002</v>
      </c>
      <c r="L90" s="1">
        <f t="shared" ref="L90:L98" si="11">K90-78*$C$52</f>
        <v>4.4230397500000436</v>
      </c>
      <c r="M90">
        <v>0.1</v>
      </c>
      <c r="N90" s="1">
        <f>L90-$L$88</f>
        <v>0.23628999999993994</v>
      </c>
      <c r="O90" s="1">
        <v>-864.46897999999999</v>
      </c>
      <c r="P90" s="1">
        <f t="shared" si="9"/>
        <v>0.23852999999996882</v>
      </c>
      <c r="Q90" s="1">
        <f t="shared" si="10"/>
        <v>4.4693597500000806</v>
      </c>
    </row>
    <row r="91" spans="1:17" x14ac:dyDescent="0.2">
      <c r="B91" t="s">
        <v>171</v>
      </c>
      <c r="C91">
        <v>0.875</v>
      </c>
      <c r="D91" s="1">
        <v>-877.95398999999998</v>
      </c>
      <c r="E91" s="1">
        <f t="shared" si="8"/>
        <v>5.4269999999974061E-2</v>
      </c>
      <c r="J91" t="s">
        <v>152</v>
      </c>
      <c r="K91" s="19"/>
      <c r="L91" s="1"/>
      <c r="M91">
        <v>0.15</v>
      </c>
      <c r="N91" s="1"/>
      <c r="O91" s="1">
        <v>-864.31437000000005</v>
      </c>
      <c r="P91" s="1">
        <f t="shared" si="9"/>
        <v>0.39313999999990301</v>
      </c>
      <c r="Q91" s="1">
        <f t="shared" si="10"/>
        <v>4.6239697500000148</v>
      </c>
    </row>
    <row r="92" spans="1:17" x14ac:dyDescent="0.2">
      <c r="B92" t="s">
        <v>172</v>
      </c>
      <c r="C92">
        <v>1</v>
      </c>
      <c r="D92" s="1">
        <v>-878.00825999999995</v>
      </c>
      <c r="E92" s="1">
        <f t="shared" si="8"/>
        <v>0</v>
      </c>
      <c r="J92" t="s">
        <v>5</v>
      </c>
      <c r="K92" s="19">
        <v>-864.33726999999999</v>
      </c>
      <c r="L92" s="1">
        <f t="shared" si="11"/>
        <v>4.6010697500000788</v>
      </c>
      <c r="M92">
        <v>0.2</v>
      </c>
      <c r="N92" s="1">
        <f>L92-$L$88</f>
        <v>0.41431999999997515</v>
      </c>
      <c r="O92" s="1">
        <v>-864.28656999999998</v>
      </c>
      <c r="P92" s="1">
        <f t="shared" si="9"/>
        <v>0.42093999999997322</v>
      </c>
      <c r="Q92" s="1">
        <f t="shared" si="10"/>
        <v>4.651769750000085</v>
      </c>
    </row>
    <row r="93" spans="1:17" x14ac:dyDescent="0.2">
      <c r="J93" t="s">
        <v>148</v>
      </c>
      <c r="K93" s="19">
        <v>-864.37455</v>
      </c>
      <c r="L93" s="1">
        <f t="shared" si="11"/>
        <v>4.563789750000069</v>
      </c>
      <c r="M93">
        <v>0.25</v>
      </c>
      <c r="N93" s="1">
        <f>L93-$L$88</f>
        <v>0.3770399999999654</v>
      </c>
      <c r="O93" s="1">
        <v>-864.32047999999998</v>
      </c>
      <c r="P93" s="1">
        <f>O93-$O$88</f>
        <v>0.38702999999998156</v>
      </c>
      <c r="Q93" s="1">
        <f t="shared" si="10"/>
        <v>4.6178597500000933</v>
      </c>
    </row>
    <row r="94" spans="1:17" x14ac:dyDescent="0.2">
      <c r="J94" t="s">
        <v>145</v>
      </c>
      <c r="K94" s="19">
        <v>-864.42742999999996</v>
      </c>
      <c r="L94" s="1">
        <f t="shared" si="11"/>
        <v>4.5109097500001099</v>
      </c>
      <c r="M94">
        <v>0.3</v>
      </c>
      <c r="N94" s="1">
        <f>L94-$L$88</f>
        <v>0.32416000000000622</v>
      </c>
      <c r="O94" s="1">
        <v>-864.37132999999994</v>
      </c>
      <c r="P94" s="1">
        <f t="shared" si="9"/>
        <v>0.33618000000001302</v>
      </c>
      <c r="Q94" s="1">
        <f t="shared" si="10"/>
        <v>4.5670097500001248</v>
      </c>
    </row>
    <row r="95" spans="1:17" x14ac:dyDescent="0.2">
      <c r="J95" t="s">
        <v>153</v>
      </c>
      <c r="K95" s="19"/>
      <c r="L95" s="1"/>
      <c r="M95">
        <v>0.35</v>
      </c>
      <c r="N95" s="1"/>
      <c r="O95" s="1">
        <v>-864.45273999999995</v>
      </c>
      <c r="P95" s="1">
        <f t="shared" si="9"/>
        <v>0.25477000000000771</v>
      </c>
      <c r="Q95" s="1">
        <f t="shared" si="10"/>
        <v>4.4855997500001195</v>
      </c>
    </row>
    <row r="96" spans="1:17" x14ac:dyDescent="0.2">
      <c r="J96" t="s">
        <v>146</v>
      </c>
      <c r="K96" s="19">
        <v>-864.61674000000005</v>
      </c>
      <c r="L96" s="1">
        <f t="shared" si="11"/>
        <v>4.3215997500000185</v>
      </c>
      <c r="M96">
        <v>0.4</v>
      </c>
      <c r="N96" s="1">
        <f>L96-$L$88</f>
        <v>0.13484999999991487</v>
      </c>
      <c r="O96" s="1">
        <v>-864.55565999999999</v>
      </c>
      <c r="P96" s="1">
        <f t="shared" si="9"/>
        <v>0.15184999999996762</v>
      </c>
      <c r="Q96" s="1">
        <f t="shared" si="10"/>
        <v>4.3826797500000794</v>
      </c>
    </row>
    <row r="97" spans="1:17" x14ac:dyDescent="0.2">
      <c r="J97" t="s">
        <v>154</v>
      </c>
      <c r="K97" s="19"/>
      <c r="L97" s="1"/>
      <c r="M97">
        <v>0.45</v>
      </c>
      <c r="N97" s="1"/>
      <c r="O97" s="1">
        <v>-864.63733000000002</v>
      </c>
      <c r="P97" s="1">
        <f t="shared" si="9"/>
        <v>7.0179999999936626E-2</v>
      </c>
      <c r="Q97" s="1">
        <f t="shared" si="10"/>
        <v>4.3010097500000484</v>
      </c>
    </row>
    <row r="98" spans="1:17" x14ac:dyDescent="0.2">
      <c r="J98" t="s">
        <v>147</v>
      </c>
      <c r="K98" s="19">
        <v>-864.66426999999999</v>
      </c>
      <c r="L98" s="1">
        <f t="shared" si="11"/>
        <v>4.2740697500000806</v>
      </c>
      <c r="M98">
        <v>0.5</v>
      </c>
      <c r="N98" s="1">
        <f>L98-$L$88</f>
        <v>8.7319999999976972E-2</v>
      </c>
      <c r="O98" s="1">
        <v>-864.61060999999995</v>
      </c>
      <c r="P98" s="1">
        <f t="shared" si="9"/>
        <v>9.6900000000005093E-2</v>
      </c>
      <c r="Q98" s="1">
        <f t="shared" si="10"/>
        <v>4.3277297500001168</v>
      </c>
    </row>
    <row r="99" spans="1:17" x14ac:dyDescent="0.2">
      <c r="M99">
        <f>$M$98+M89</f>
        <v>0.55000000000000004</v>
      </c>
      <c r="P99">
        <v>7.0179999999936626E-2</v>
      </c>
    </row>
    <row r="100" spans="1:17" x14ac:dyDescent="0.2">
      <c r="M100">
        <f t="shared" ref="M100:M107" si="12">$M$98+M90</f>
        <v>0.6</v>
      </c>
      <c r="P100">
        <v>0.15184999999996762</v>
      </c>
    </row>
    <row r="101" spans="1:17" x14ac:dyDescent="0.2">
      <c r="B101" t="s">
        <v>192</v>
      </c>
      <c r="M101">
        <f t="shared" si="12"/>
        <v>0.65</v>
      </c>
      <c r="P101">
        <v>0.25477000000000771</v>
      </c>
    </row>
    <row r="102" spans="1:17" x14ac:dyDescent="0.2">
      <c r="A102" t="s">
        <v>180</v>
      </c>
      <c r="D102" t="s">
        <v>194</v>
      </c>
      <c r="M102">
        <f t="shared" si="12"/>
        <v>0.7</v>
      </c>
      <c r="P102">
        <v>0.33618000000001302</v>
      </c>
    </row>
    <row r="103" spans="1:17" x14ac:dyDescent="0.2">
      <c r="A103">
        <v>0</v>
      </c>
      <c r="B103" s="19">
        <v>-878.01206000000002</v>
      </c>
      <c r="C103" s="1">
        <f>B103-B$103</f>
        <v>0</v>
      </c>
      <c r="D103" s="19">
        <v>-878.01206000000002</v>
      </c>
      <c r="E103" s="1">
        <f>D103-D$103</f>
        <v>0</v>
      </c>
      <c r="M103">
        <f t="shared" si="12"/>
        <v>0.75</v>
      </c>
      <c r="P103">
        <v>0.38702999999998156</v>
      </c>
    </row>
    <row r="104" spans="1:17" x14ac:dyDescent="0.2">
      <c r="A104">
        <v>1</v>
      </c>
      <c r="B104" s="1">
        <v>-877.91025000000002</v>
      </c>
      <c r="C104" s="1">
        <f>B104-B$103</f>
        <v>0.1018100000000004</v>
      </c>
      <c r="D104" s="19">
        <v>-877.91016000000002</v>
      </c>
      <c r="E104" s="19">
        <f>D104-D$103</f>
        <v>0.10190000000000055</v>
      </c>
      <c r="M104">
        <f t="shared" si="12"/>
        <v>0.8</v>
      </c>
      <c r="P104">
        <v>0.42093999999997322</v>
      </c>
    </row>
    <row r="105" spans="1:17" x14ac:dyDescent="0.2">
      <c r="A105">
        <v>2</v>
      </c>
      <c r="B105" s="1">
        <v>-877.71450000000004</v>
      </c>
      <c r="C105" s="1">
        <f>B105-B$103</f>
        <v>0.29755999999997584</v>
      </c>
      <c r="D105" s="19">
        <v>-877.71450000000004</v>
      </c>
      <c r="E105" s="19">
        <f>D105-D$103</f>
        <v>0.29755999999997584</v>
      </c>
      <c r="M105">
        <f t="shared" si="12"/>
        <v>0.85</v>
      </c>
      <c r="P105">
        <v>0.39313999999990301</v>
      </c>
    </row>
    <row r="106" spans="1:17" x14ac:dyDescent="0.2">
      <c r="A106">
        <v>3</v>
      </c>
      <c r="B106" s="1">
        <v>-877.91024000000004</v>
      </c>
      <c r="C106" s="1">
        <f>B106-B$103</f>
        <v>0.10181999999997515</v>
      </c>
      <c r="D106" s="19">
        <v>-877.91016000000002</v>
      </c>
      <c r="E106" s="19">
        <f>D106-D$103</f>
        <v>0.10190000000000055</v>
      </c>
      <c r="M106">
        <f>$M$98+M96</f>
        <v>0.9</v>
      </c>
      <c r="P106">
        <v>0.23852999999996882</v>
      </c>
    </row>
    <row r="107" spans="1:17" x14ac:dyDescent="0.2">
      <c r="A107">
        <v>4</v>
      </c>
      <c r="B107" s="19">
        <v>-878.01206000000002</v>
      </c>
      <c r="C107" s="1">
        <f>B107-B$103</f>
        <v>0</v>
      </c>
      <c r="D107" s="19">
        <v>-878.01206000000002</v>
      </c>
      <c r="E107" s="1">
        <f>D107-D$103</f>
        <v>0</v>
      </c>
      <c r="M107">
        <f t="shared" si="12"/>
        <v>0.95</v>
      </c>
      <c r="P107">
        <v>4.8529999999914253E-2</v>
      </c>
    </row>
    <row r="108" spans="1:17" x14ac:dyDescent="0.2">
      <c r="M108">
        <f>$M$98+M98</f>
        <v>1</v>
      </c>
      <c r="P108">
        <v>0</v>
      </c>
    </row>
    <row r="109" spans="1:17" x14ac:dyDescent="0.2">
      <c r="A109" t="s">
        <v>193</v>
      </c>
      <c r="D109" t="s">
        <v>194</v>
      </c>
    </row>
    <row r="110" spans="1:17" x14ac:dyDescent="0.2">
      <c r="A110">
        <v>0</v>
      </c>
      <c r="B110" s="1">
        <v>-878.01206999999999</v>
      </c>
      <c r="C110" s="1">
        <f>B110-B$110</f>
        <v>0</v>
      </c>
      <c r="D110" s="1">
        <v>-878.01206999999999</v>
      </c>
      <c r="E110" s="1">
        <f>D110-D$110</f>
        <v>0</v>
      </c>
    </row>
    <row r="111" spans="1:17" x14ac:dyDescent="0.2">
      <c r="A111">
        <v>1</v>
      </c>
      <c r="B111" s="1">
        <v>-877.63219000000004</v>
      </c>
      <c r="C111" s="1">
        <f>B111-B$110</f>
        <v>0.37987999999995736</v>
      </c>
      <c r="D111" s="1">
        <v>-877.63220000000001</v>
      </c>
      <c r="E111" s="1">
        <f>D111-D$110</f>
        <v>0.37986999999998261</v>
      </c>
    </row>
    <row r="112" spans="1:17" x14ac:dyDescent="0.2">
      <c r="A112">
        <v>2</v>
      </c>
      <c r="B112" s="1">
        <v>-878.01206999999999</v>
      </c>
      <c r="C112" s="1">
        <f>B112-B$110</f>
        <v>0</v>
      </c>
      <c r="D112" s="1">
        <v>-878.01206999999999</v>
      </c>
      <c r="E112" s="1">
        <f>D112-D$110</f>
        <v>0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S62"/>
  <sheetViews>
    <sheetView workbookViewId="0">
      <selection activeCell="F33" sqref="F33"/>
    </sheetView>
  </sheetViews>
  <sheetFormatPr baseColWidth="10" defaultRowHeight="16" x14ac:dyDescent="0.2"/>
  <sheetData>
    <row r="2" spans="1:19" x14ac:dyDescent="0.2">
      <c r="J2" t="s">
        <v>202</v>
      </c>
      <c r="M2" t="s">
        <v>1</v>
      </c>
      <c r="N2" t="s">
        <v>2</v>
      </c>
      <c r="O2" t="s">
        <v>3</v>
      </c>
      <c r="P2" t="s">
        <v>5</v>
      </c>
      <c r="Q2" t="s">
        <v>37</v>
      </c>
      <c r="R2" t="s">
        <v>38</v>
      </c>
      <c r="S2" t="s">
        <v>39</v>
      </c>
    </row>
    <row r="3" spans="1:19" x14ac:dyDescent="0.2">
      <c r="A3" s="18" t="s">
        <v>183</v>
      </c>
      <c r="B3" s="19">
        <v>-2806.7759000000001</v>
      </c>
      <c r="C3" s="19">
        <f>B3/252</f>
        <v>-11.137999603174604</v>
      </c>
      <c r="D3" s="19"/>
      <c r="E3" s="19"/>
      <c r="F3" s="19"/>
      <c r="G3" s="20" t="s">
        <v>184</v>
      </c>
      <c r="J3">
        <v>141044</v>
      </c>
      <c r="L3" t="s">
        <v>66</v>
      </c>
      <c r="M3" s="8">
        <v>-18.900099999999998</v>
      </c>
      <c r="N3" s="9">
        <v>-4.7249999999999996</v>
      </c>
      <c r="O3" s="10">
        <v>3.708854208</v>
      </c>
      <c r="P3" s="10">
        <v>11.89692748</v>
      </c>
      <c r="Q3" s="10">
        <v>141.72999999999999</v>
      </c>
      <c r="R3" s="10">
        <v>35.432499999999997</v>
      </c>
      <c r="S3" s="10" t="s">
        <v>42</v>
      </c>
    </row>
    <row r="4" spans="1:19" x14ac:dyDescent="0.2">
      <c r="A4" s="18" t="s">
        <v>189</v>
      </c>
      <c r="B4" s="1">
        <v>-2806.7759000000001</v>
      </c>
      <c r="C4" s="19">
        <f>B4/252</f>
        <v>-11.137999603174604</v>
      </c>
      <c r="D4" s="1">
        <f>19.636224654/7</f>
        <v>2.8051749505714283</v>
      </c>
      <c r="E4" s="1">
        <f>17.512132289/3</f>
        <v>5.8373774296666667</v>
      </c>
      <c r="F4" s="1">
        <f>14.718573537/3</f>
        <v>4.9061911789999995</v>
      </c>
      <c r="G4" s="20" t="s">
        <v>186</v>
      </c>
      <c r="J4">
        <v>75652</v>
      </c>
      <c r="L4" t="s">
        <v>240</v>
      </c>
      <c r="M4" s="1">
        <v>-20.856849</v>
      </c>
      <c r="N4" s="9">
        <f>M4/4</f>
        <v>-5.2142122500000001</v>
      </c>
      <c r="O4">
        <v>3.940286671</v>
      </c>
      <c r="Q4">
        <v>61.18</v>
      </c>
      <c r="R4">
        <f>Q4/4</f>
        <v>15.295</v>
      </c>
    </row>
    <row r="5" spans="1:19" x14ac:dyDescent="0.2">
      <c r="A5" s="18" t="s">
        <v>183</v>
      </c>
      <c r="B5" s="1">
        <v>-2806.3755000000001</v>
      </c>
      <c r="C5" s="19">
        <f>B5/252</f>
        <v>-11.136410714285715</v>
      </c>
      <c r="D5" s="1"/>
      <c r="E5" s="1"/>
      <c r="F5" s="1"/>
      <c r="G5" s="20" t="s">
        <v>185</v>
      </c>
      <c r="J5">
        <v>97051</v>
      </c>
      <c r="L5" t="s">
        <v>241</v>
      </c>
      <c r="M5" s="6">
        <v>-20.86919</v>
      </c>
      <c r="N5" s="9">
        <f>M5/4</f>
        <v>-5.2172974999999999</v>
      </c>
      <c r="O5">
        <v>3.9431361730000001</v>
      </c>
      <c r="Q5">
        <v>61.31</v>
      </c>
      <c r="R5">
        <f>Q5/4</f>
        <v>15.327500000000001</v>
      </c>
    </row>
    <row r="6" spans="1:19" x14ac:dyDescent="0.2">
      <c r="A6" s="18" t="s">
        <v>200</v>
      </c>
      <c r="B6" s="19">
        <v>-2803.0763999999999</v>
      </c>
      <c r="C6" s="19">
        <f>B6/252</f>
        <v>-11.123319047619047</v>
      </c>
      <c r="D6" s="1"/>
      <c r="E6" s="1"/>
      <c r="F6" s="1"/>
      <c r="G6" s="20" t="s">
        <v>201</v>
      </c>
      <c r="J6">
        <v>62419</v>
      </c>
    </row>
    <row r="7" spans="1:19" x14ac:dyDescent="0.2">
      <c r="A7" s="18" t="s">
        <v>247</v>
      </c>
      <c r="B7" s="19">
        <v>-2807.2743999999998</v>
      </c>
      <c r="C7" s="19">
        <f>B7/252</f>
        <v>-11.139977777777776</v>
      </c>
      <c r="D7" s="1"/>
      <c r="E7" s="1"/>
      <c r="F7" s="1"/>
      <c r="G7" s="20" t="s">
        <v>248</v>
      </c>
      <c r="J7">
        <v>136259</v>
      </c>
    </row>
    <row r="9" spans="1:19" x14ac:dyDescent="0.2">
      <c r="A9" t="s">
        <v>190</v>
      </c>
      <c r="B9" s="1">
        <v>-2794.0174999999999</v>
      </c>
      <c r="C9" s="1">
        <f>B9-251*C4</f>
        <v>1.6204003968255165</v>
      </c>
      <c r="D9" t="s">
        <v>112</v>
      </c>
    </row>
    <row r="10" spans="1:19" x14ac:dyDescent="0.2">
      <c r="A10" t="s">
        <v>190</v>
      </c>
      <c r="B10" s="19">
        <v>-2794.1287000000002</v>
      </c>
      <c r="C10" s="1">
        <f>B10-251*C4</f>
        <v>1.5092003968252357</v>
      </c>
      <c r="D10" t="s">
        <v>225</v>
      </c>
      <c r="H10" t="s">
        <v>1</v>
      </c>
      <c r="I10" t="s">
        <v>197</v>
      </c>
      <c r="J10" t="s">
        <v>209</v>
      </c>
      <c r="L10" t="s">
        <v>232</v>
      </c>
    </row>
    <row r="11" spans="1:19" x14ac:dyDescent="0.2">
      <c r="G11" t="s">
        <v>203</v>
      </c>
      <c r="H11" s="1">
        <v>-2798.4355</v>
      </c>
      <c r="I11" s="1">
        <f>H11-251*$C$4-$N$3</f>
        <v>1.9274003968253961</v>
      </c>
      <c r="L11" t="s">
        <v>226</v>
      </c>
      <c r="M11">
        <v>0.5</v>
      </c>
      <c r="N11" s="1">
        <v>-2784.9425000000001</v>
      </c>
      <c r="O11" s="1">
        <f>N11-250*$C$4-$N$3</f>
        <v>4.2824007936511403</v>
      </c>
    </row>
    <row r="12" spans="1:19" x14ac:dyDescent="0.2">
      <c r="B12" t="s">
        <v>191</v>
      </c>
      <c r="C12" t="s">
        <v>1</v>
      </c>
      <c r="G12" t="s">
        <v>210</v>
      </c>
      <c r="H12" s="1">
        <v>-2798.3359999999998</v>
      </c>
      <c r="I12" s="1">
        <f>H12-251*$C$4-$N$3</f>
        <v>2.026900396825658</v>
      </c>
      <c r="L12" t="s">
        <v>227</v>
      </c>
      <c r="M12">
        <v>0.51790000000000003</v>
      </c>
      <c r="N12" s="1">
        <v>-2785.2907</v>
      </c>
      <c r="O12" s="1">
        <f t="shared" ref="O12:O19" si="0">N12-250*$C$4-$N$3</f>
        <v>3.9342007936512342</v>
      </c>
    </row>
    <row r="13" spans="1:19" x14ac:dyDescent="0.2">
      <c r="A13" t="s">
        <v>164</v>
      </c>
      <c r="B13">
        <v>0.5</v>
      </c>
      <c r="C13" s="1">
        <v>-2793.5880999999999</v>
      </c>
      <c r="D13" s="1">
        <f t="shared" ref="D13:D21" si="1">C13-$C$13</f>
        <v>0</v>
      </c>
      <c r="G13" t="s">
        <v>204</v>
      </c>
      <c r="H13" s="1">
        <v>-2786.5551999999998</v>
      </c>
      <c r="I13" s="1">
        <f>H13-250*$C$4-$N$3</f>
        <v>2.6697007936514634</v>
      </c>
      <c r="J13" s="1">
        <f>I13-$I$11-$C$9</f>
        <v>-0.87809999999944921</v>
      </c>
      <c r="L13" t="s">
        <v>233</v>
      </c>
      <c r="M13">
        <v>0.53580000000000005</v>
      </c>
      <c r="N13" s="1">
        <v>-2785.4119999999998</v>
      </c>
      <c r="O13" s="1">
        <f t="shared" si="0"/>
        <v>3.8129007936514423</v>
      </c>
    </row>
    <row r="14" spans="1:19" x14ac:dyDescent="0.2">
      <c r="A14" t="s">
        <v>165</v>
      </c>
      <c r="B14">
        <v>0.51790000000000003</v>
      </c>
      <c r="C14" s="1">
        <v>-2793.5394000000001</v>
      </c>
      <c r="D14" s="1">
        <f t="shared" si="1"/>
        <v>4.8699999999826105E-2</v>
      </c>
      <c r="G14" t="s">
        <v>205</v>
      </c>
      <c r="H14" s="1">
        <v>-2786.8382999999999</v>
      </c>
      <c r="I14" s="1">
        <f>H14-250*$C$4-$N$3</f>
        <v>2.3866007936513594</v>
      </c>
      <c r="J14" s="1">
        <f>I14-$I$11-$C$9</f>
        <v>-1.1611999999995533</v>
      </c>
      <c r="L14" t="s">
        <v>234</v>
      </c>
      <c r="M14">
        <v>0.55369999999999997</v>
      </c>
      <c r="N14" s="1">
        <v>-2785.4778999999999</v>
      </c>
      <c r="O14" s="1">
        <f t="shared" si="0"/>
        <v>3.7470007936513863</v>
      </c>
    </row>
    <row r="15" spans="1:19" x14ac:dyDescent="0.2">
      <c r="A15" t="s">
        <v>166</v>
      </c>
      <c r="B15">
        <v>0.53580000000000005</v>
      </c>
      <c r="C15" s="1">
        <v>-2793.3895000000002</v>
      </c>
      <c r="D15" s="1">
        <f t="shared" si="1"/>
        <v>0.19859999999971478</v>
      </c>
      <c r="F15" t="s">
        <v>217</v>
      </c>
      <c r="G15" t="s">
        <v>216</v>
      </c>
      <c r="H15" s="1">
        <v>-2786.4484000000002</v>
      </c>
      <c r="I15" s="1">
        <f>H15-250*$C$4-$N$3</f>
        <v>2.7765007936510298</v>
      </c>
      <c r="J15" s="1">
        <f>I15-$I$12-$C$9</f>
        <v>-0.87080000000014479</v>
      </c>
      <c r="L15" t="s">
        <v>235</v>
      </c>
      <c r="M15">
        <v>0.5716</v>
      </c>
      <c r="N15" s="1">
        <v>-2785.5205999999998</v>
      </c>
      <c r="O15" s="1">
        <f t="shared" si="0"/>
        <v>3.7043007936514183</v>
      </c>
      <c r="P15" s="1">
        <f>O15-O11</f>
        <v>-0.57809999999972206</v>
      </c>
    </row>
    <row r="16" spans="1:19" x14ac:dyDescent="0.2">
      <c r="A16" t="s">
        <v>167</v>
      </c>
      <c r="B16">
        <v>0.55369999999999997</v>
      </c>
      <c r="C16" s="1">
        <v>-2793.2026999999998</v>
      </c>
      <c r="D16" s="1">
        <f t="shared" si="1"/>
        <v>0.38540000000011787</v>
      </c>
      <c r="H16" s="1"/>
      <c r="I16" s="1"/>
      <c r="J16" s="1"/>
      <c r="L16" t="s">
        <v>236</v>
      </c>
      <c r="M16">
        <v>0.58950000000000002</v>
      </c>
      <c r="N16" s="1">
        <v>-2785.4783000000002</v>
      </c>
      <c r="O16" s="1">
        <f t="shared" si="0"/>
        <v>3.7466007936510319</v>
      </c>
    </row>
    <row r="17" spans="1:15" x14ac:dyDescent="0.2">
      <c r="A17" t="s">
        <v>168</v>
      </c>
      <c r="B17">
        <v>0.5716</v>
      </c>
      <c r="C17" s="1">
        <v>-2793.0681</v>
      </c>
      <c r="D17" s="1">
        <f t="shared" si="1"/>
        <v>0.51999999999998181</v>
      </c>
      <c r="F17" t="s">
        <v>231</v>
      </c>
      <c r="G17">
        <v>0</v>
      </c>
      <c r="H17" s="1">
        <v>-2786.4484000000002</v>
      </c>
      <c r="I17" s="1">
        <f>H17-250*$C$4-$N$3</f>
        <v>2.7765007936510298</v>
      </c>
      <c r="J17" s="1">
        <f>I17-$I$17</f>
        <v>0</v>
      </c>
      <c r="L17" t="s">
        <v>237</v>
      </c>
      <c r="M17">
        <v>0.60740000000000005</v>
      </c>
      <c r="N17" s="1">
        <v>-2785.4128999999998</v>
      </c>
      <c r="O17" s="1">
        <f t="shared" si="0"/>
        <v>3.8120007936514408</v>
      </c>
    </row>
    <row r="18" spans="1:15" x14ac:dyDescent="0.2">
      <c r="A18" t="s">
        <v>169</v>
      </c>
      <c r="B18">
        <v>0.58950000000000002</v>
      </c>
      <c r="C18" s="1">
        <v>-2793.2060999999999</v>
      </c>
      <c r="D18" s="1">
        <f t="shared" si="1"/>
        <v>0.38200000000006185</v>
      </c>
      <c r="G18">
        <v>1</v>
      </c>
      <c r="H18" s="1">
        <v>-2786.4479000000001</v>
      </c>
      <c r="I18" s="1">
        <f>H18-250*$C$4-$N$3</f>
        <v>2.7770007936511316</v>
      </c>
      <c r="J18" s="1">
        <f>I18-$I$17</f>
        <v>5.0000000010186341E-4</v>
      </c>
      <c r="L18" t="s">
        <v>238</v>
      </c>
      <c r="M18">
        <v>0.62529999999999997</v>
      </c>
      <c r="N18" s="1">
        <v>-2785.2912000000001</v>
      </c>
      <c r="O18" s="1">
        <f t="shared" si="0"/>
        <v>3.9337007936511323</v>
      </c>
    </row>
    <row r="19" spans="1:15" x14ac:dyDescent="0.2">
      <c r="A19" t="s">
        <v>170</v>
      </c>
      <c r="B19">
        <v>0.60740000000000005</v>
      </c>
      <c r="C19" s="1">
        <v>-2793.3924999999999</v>
      </c>
      <c r="D19" s="1">
        <f t="shared" si="1"/>
        <v>0.1956000000000131</v>
      </c>
      <c r="G19">
        <v>2</v>
      </c>
      <c r="H19" s="1"/>
      <c r="I19" s="1"/>
      <c r="J19" s="1"/>
      <c r="L19" t="s">
        <v>239</v>
      </c>
      <c r="M19">
        <v>0.64290000000000003</v>
      </c>
      <c r="N19" s="1">
        <v>-2784.9418999999998</v>
      </c>
      <c r="O19" s="1">
        <f t="shared" si="0"/>
        <v>4.2830007936514445</v>
      </c>
    </row>
    <row r="20" spans="1:15" x14ac:dyDescent="0.2">
      <c r="A20" t="s">
        <v>171</v>
      </c>
      <c r="B20">
        <v>0.62529999999999997</v>
      </c>
      <c r="C20" s="1">
        <v>-2793.5421000000001</v>
      </c>
      <c r="D20" s="1">
        <f t="shared" si="1"/>
        <v>4.5999999999821739E-2</v>
      </c>
    </row>
    <row r="21" spans="1:15" x14ac:dyDescent="0.2">
      <c r="A21" t="s">
        <v>172</v>
      </c>
      <c r="B21">
        <v>0.64290000000000003</v>
      </c>
      <c r="C21" s="1">
        <v>-2793.5891000000001</v>
      </c>
      <c r="D21" s="1">
        <f t="shared" si="1"/>
        <v>-1.0000000002037268E-3</v>
      </c>
      <c r="H21" t="s">
        <v>6</v>
      </c>
      <c r="I21" t="s">
        <v>1</v>
      </c>
      <c r="J21" t="s">
        <v>215</v>
      </c>
    </row>
    <row r="22" spans="1:15" x14ac:dyDescent="0.2">
      <c r="G22" t="s">
        <v>223</v>
      </c>
      <c r="H22" s="1">
        <v>0.48499999999999999</v>
      </c>
      <c r="I22" s="1">
        <v>-2793.0569</v>
      </c>
      <c r="J22" s="1">
        <f>I22-$I$32</f>
        <v>1.1199999999917054E-2</v>
      </c>
      <c r="K22" s="1">
        <f t="shared" ref="K22:K34" si="2">$D$17+J22</f>
        <v>0.53119999999989886</v>
      </c>
    </row>
    <row r="23" spans="1:15" x14ac:dyDescent="0.2">
      <c r="A23" t="s">
        <v>196</v>
      </c>
      <c r="B23" t="s">
        <v>1</v>
      </c>
      <c r="C23" t="s">
        <v>197</v>
      </c>
      <c r="D23" t="s">
        <v>198</v>
      </c>
      <c r="G23" t="s">
        <v>228</v>
      </c>
      <c r="H23" s="1">
        <v>0.48749999999999999</v>
      </c>
      <c r="I23" s="1">
        <v>-2793.0695999999998</v>
      </c>
      <c r="J23" s="1">
        <f>I23-$I$32</f>
        <v>-1.4999999998508429E-3</v>
      </c>
      <c r="K23" s="1">
        <f t="shared" si="2"/>
        <v>0.51850000000013097</v>
      </c>
    </row>
    <row r="24" spans="1:15" x14ac:dyDescent="0.2">
      <c r="A24">
        <v>0</v>
      </c>
      <c r="B24" s="1">
        <v>-2794.0185000000001</v>
      </c>
      <c r="C24">
        <f>B24-251*$C$4</f>
        <v>1.6194003968253128</v>
      </c>
      <c r="D24">
        <f>C24-C$24</f>
        <v>0</v>
      </c>
      <c r="G24" t="s">
        <v>222</v>
      </c>
      <c r="H24" s="1">
        <v>0.49</v>
      </c>
      <c r="I24" s="1">
        <v>-2793.0756000000001</v>
      </c>
      <c r="J24" s="1">
        <f t="shared" ref="J24:J34" si="3">I24-$I$32</f>
        <v>-7.500000000163709E-3</v>
      </c>
      <c r="K24" s="1">
        <f t="shared" si="2"/>
        <v>0.5124999999998181</v>
      </c>
    </row>
    <row r="25" spans="1:15" x14ac:dyDescent="0.2">
      <c r="A25">
        <v>1</v>
      </c>
      <c r="B25" s="1">
        <v>-2793.7179000000001</v>
      </c>
      <c r="C25">
        <f>B25-251*$C$4</f>
        <v>1.9200003968253441</v>
      </c>
      <c r="D25">
        <f>C25-C$24</f>
        <v>0.30060000000003129</v>
      </c>
      <c r="G25" t="s">
        <v>224</v>
      </c>
      <c r="H25" s="1">
        <v>0.49199999999999999</v>
      </c>
      <c r="I25" s="1">
        <v>-2793.0770000000002</v>
      </c>
      <c r="J25" s="1">
        <f t="shared" si="3"/>
        <v>-8.9000000002670276E-3</v>
      </c>
      <c r="K25" s="1">
        <f t="shared" si="2"/>
        <v>0.51109999999971478</v>
      </c>
    </row>
    <row r="26" spans="1:15" x14ac:dyDescent="0.2">
      <c r="A26">
        <v>2</v>
      </c>
      <c r="B26" s="1">
        <v>-2794.0185000000001</v>
      </c>
      <c r="C26">
        <f>B26-251*$C$4</f>
        <v>1.6194003968253128</v>
      </c>
      <c r="D26">
        <f>C26-C$24</f>
        <v>0</v>
      </c>
      <c r="G26" t="s">
        <v>221</v>
      </c>
      <c r="H26" s="1">
        <v>0.49399999999999999</v>
      </c>
      <c r="I26" s="1">
        <v>-2793.0763999999999</v>
      </c>
      <c r="J26" s="1">
        <f t="shared" si="3"/>
        <v>-8.2999999999628926E-3</v>
      </c>
      <c r="K26" s="1">
        <f t="shared" si="2"/>
        <v>0.51170000000001892</v>
      </c>
    </row>
    <row r="27" spans="1:15" x14ac:dyDescent="0.2">
      <c r="G27" t="s">
        <v>220</v>
      </c>
      <c r="H27" s="1">
        <v>0.495</v>
      </c>
      <c r="I27" s="1">
        <v>-2793.0754999999999</v>
      </c>
      <c r="J27" s="1">
        <f t="shared" si="3"/>
        <v>-7.3999999999614374E-3</v>
      </c>
      <c r="K27" s="1">
        <f t="shared" si="2"/>
        <v>0.51260000000002037</v>
      </c>
    </row>
    <row r="28" spans="1:15" x14ac:dyDescent="0.2">
      <c r="A28" t="s">
        <v>199</v>
      </c>
      <c r="G28" t="s">
        <v>219</v>
      </c>
      <c r="H28" s="1">
        <v>0.496</v>
      </c>
      <c r="I28" s="1">
        <v>-2793.0743000000002</v>
      </c>
      <c r="J28" s="1">
        <f t="shared" si="3"/>
        <v>-6.2000000002626621E-3</v>
      </c>
      <c r="K28" s="1">
        <f t="shared" si="2"/>
        <v>0.51379999999971915</v>
      </c>
    </row>
    <row r="29" spans="1:15" x14ac:dyDescent="0.2">
      <c r="A29">
        <v>0</v>
      </c>
      <c r="B29" s="19">
        <v>-2794.0173</v>
      </c>
      <c r="C29">
        <f>B29-251*$C$4</f>
        <v>1.6206003968254663</v>
      </c>
      <c r="D29">
        <f>C29-C$29</f>
        <v>0</v>
      </c>
      <c r="G29" t="s">
        <v>218</v>
      </c>
      <c r="H29" s="1">
        <v>0.497</v>
      </c>
      <c r="I29" s="1">
        <v>-2793.0727999999999</v>
      </c>
      <c r="J29" s="1">
        <f t="shared" si="3"/>
        <v>-4.6999999999570719E-3</v>
      </c>
      <c r="K29" s="1">
        <f t="shared" si="2"/>
        <v>0.51530000000002474</v>
      </c>
    </row>
    <row r="30" spans="1:15" x14ac:dyDescent="0.2">
      <c r="A30">
        <v>1</v>
      </c>
      <c r="B30" s="1">
        <v>-2793.7192</v>
      </c>
      <c r="C30">
        <f>B30-251*$C$4</f>
        <v>1.918700396825443</v>
      </c>
      <c r="D30">
        <f>C30-C$29</f>
        <v>0.29809999999997672</v>
      </c>
      <c r="G30" t="s">
        <v>213</v>
      </c>
      <c r="H30" s="1">
        <v>0.498</v>
      </c>
      <c r="I30" s="1">
        <v>-2793.0709999999999</v>
      </c>
      <c r="J30" s="1">
        <f t="shared" si="3"/>
        <v>-2.8999999999541615E-3</v>
      </c>
      <c r="K30" s="1">
        <f t="shared" si="2"/>
        <v>0.51710000000002765</v>
      </c>
    </row>
    <row r="31" spans="1:15" x14ac:dyDescent="0.2">
      <c r="A31">
        <v>2</v>
      </c>
      <c r="B31" s="19">
        <v>-2794.0185000000001</v>
      </c>
      <c r="C31">
        <f>B31-251*$C$4</f>
        <v>1.6194003968253128</v>
      </c>
      <c r="D31">
        <f>C31-C$29</f>
        <v>-1.2000000001535227E-3</v>
      </c>
      <c r="G31" t="s">
        <v>214</v>
      </c>
      <c r="H31" s="1">
        <v>0.499</v>
      </c>
      <c r="I31" s="1">
        <v>-2793.069</v>
      </c>
      <c r="J31" s="1">
        <f t="shared" si="3"/>
        <v>-9.0000000000145519E-4</v>
      </c>
      <c r="K31" s="1">
        <f t="shared" si="2"/>
        <v>0.51909999999998035</v>
      </c>
    </row>
    <row r="32" spans="1:15" x14ac:dyDescent="0.2">
      <c r="B32" s="19"/>
      <c r="G32" t="s">
        <v>168</v>
      </c>
      <c r="H32" s="1">
        <v>0.49940000000000001</v>
      </c>
      <c r="I32" s="1">
        <v>-2793.0681</v>
      </c>
      <c r="J32" s="1">
        <f t="shared" si="3"/>
        <v>0</v>
      </c>
      <c r="K32" s="1">
        <f t="shared" si="2"/>
        <v>0.51999999999998181</v>
      </c>
    </row>
    <row r="33" spans="1:11" x14ac:dyDescent="0.2">
      <c r="A33" t="s">
        <v>242</v>
      </c>
      <c r="B33" s="19" t="s">
        <v>1</v>
      </c>
      <c r="C33" t="s">
        <v>197</v>
      </c>
      <c r="D33" t="s">
        <v>209</v>
      </c>
      <c r="G33" t="s">
        <v>211</v>
      </c>
      <c r="H33" s="1">
        <v>0.501</v>
      </c>
      <c r="I33" s="1">
        <v>-2793.0641000000001</v>
      </c>
      <c r="J33" s="1">
        <f t="shared" si="3"/>
        <v>3.9999999999054126E-3</v>
      </c>
      <c r="K33" s="1">
        <f t="shared" si="2"/>
        <v>0.52399999999988722</v>
      </c>
    </row>
    <row r="34" spans="1:11" x14ac:dyDescent="0.2">
      <c r="A34" t="s">
        <v>3</v>
      </c>
      <c r="B34" s="19">
        <v>-2773.3047999999999</v>
      </c>
      <c r="C34" s="1">
        <f t="shared" ref="C34:C39" si="4">B34-249*$C$4-$N$3</f>
        <v>4.7821011904767143</v>
      </c>
      <c r="D34">
        <f t="shared" ref="D34:D39" si="5">C34-2*$C$9-$I$12</f>
        <v>-0.48559999999997672</v>
      </c>
      <c r="G34" t="s">
        <v>212</v>
      </c>
      <c r="H34" s="1">
        <v>0.502</v>
      </c>
      <c r="I34" s="1">
        <v>-2793.0612000000001</v>
      </c>
      <c r="J34" s="1">
        <f t="shared" si="3"/>
        <v>6.899999999859574E-3</v>
      </c>
      <c r="K34" s="1">
        <f t="shared" si="2"/>
        <v>0.52689999999984138</v>
      </c>
    </row>
    <row r="35" spans="1:11" x14ac:dyDescent="0.2">
      <c r="A35" t="s">
        <v>4</v>
      </c>
      <c r="B35" s="19">
        <v>-2773.3049000000001</v>
      </c>
      <c r="C35" s="1">
        <f t="shared" si="4"/>
        <v>4.7820011904765121</v>
      </c>
      <c r="D35">
        <f t="shared" si="5"/>
        <v>-0.48570000000017899</v>
      </c>
      <c r="H35" s="1"/>
    </row>
    <row r="36" spans="1:11" x14ac:dyDescent="0.2">
      <c r="A36" t="s">
        <v>5</v>
      </c>
      <c r="B36" s="19">
        <v>-2773.5488</v>
      </c>
      <c r="C36" s="1">
        <f t="shared" si="4"/>
        <v>4.5381011904765725</v>
      </c>
      <c r="D36">
        <f t="shared" si="5"/>
        <v>-0.7296000000001186</v>
      </c>
      <c r="G36" t="s">
        <v>224</v>
      </c>
      <c r="H36" s="1">
        <v>0.5716</v>
      </c>
      <c r="I36" s="1">
        <v>-2793.0770000000002</v>
      </c>
      <c r="J36" s="1">
        <f>I36-$I$32</f>
        <v>-8.9000000002670276E-3</v>
      </c>
      <c r="K36" s="1">
        <f>$D$17+J36</f>
        <v>0.51109999999971478</v>
      </c>
    </row>
    <row r="37" spans="1:11" x14ac:dyDescent="0.2">
      <c r="A37" t="s">
        <v>145</v>
      </c>
      <c r="B37" s="19">
        <v>-2773.5488</v>
      </c>
      <c r="C37" s="1">
        <f t="shared" si="4"/>
        <v>4.5381011904765725</v>
      </c>
      <c r="D37">
        <f t="shared" si="5"/>
        <v>-0.7296000000001186</v>
      </c>
      <c r="G37" t="s">
        <v>226</v>
      </c>
      <c r="H37" s="1">
        <v>0.57299999999999995</v>
      </c>
      <c r="I37" s="1">
        <v>-2793.0781000000002</v>
      </c>
      <c r="J37" s="1">
        <f t="shared" ref="J37:J42" si="6">I37-$I$32</f>
        <v>-1.0000000000218279E-2</v>
      </c>
      <c r="K37" s="1">
        <f t="shared" ref="K37:K42" si="7">$D$17+J37</f>
        <v>0.50999999999976353</v>
      </c>
    </row>
    <row r="38" spans="1:11" x14ac:dyDescent="0.2">
      <c r="A38" t="s">
        <v>146</v>
      </c>
      <c r="B38" s="19">
        <v>-2774.1405</v>
      </c>
      <c r="C38" s="1">
        <f t="shared" si="4"/>
        <v>3.9464011904766263</v>
      </c>
      <c r="D38" s="1">
        <f t="shared" si="5"/>
        <v>-1.3213000000000648</v>
      </c>
      <c r="G38" t="s">
        <v>227</v>
      </c>
      <c r="H38" s="1">
        <v>0.5</v>
      </c>
      <c r="I38" s="1">
        <v>-2793.0781999999999</v>
      </c>
      <c r="J38" s="1">
        <f t="shared" si="6"/>
        <v>-1.0099999999965803E-2</v>
      </c>
      <c r="K38" s="1">
        <f t="shared" si="7"/>
        <v>0.50990000000001601</v>
      </c>
    </row>
    <row r="39" spans="1:11" x14ac:dyDescent="0.2">
      <c r="A39" t="s">
        <v>147</v>
      </c>
      <c r="B39" s="19">
        <v>-2774.143</v>
      </c>
      <c r="C39" s="1">
        <f t="shared" si="4"/>
        <v>3.9439011904765717</v>
      </c>
      <c r="D39" s="1">
        <f t="shared" si="5"/>
        <v>-1.3238000000001193</v>
      </c>
    </row>
    <row r="40" spans="1:11" x14ac:dyDescent="0.2">
      <c r="B40" s="19"/>
      <c r="G40" t="s">
        <v>224</v>
      </c>
      <c r="H40" s="1">
        <v>0.33333299999999999</v>
      </c>
      <c r="I40" s="1">
        <v>-2793.0770000000002</v>
      </c>
      <c r="J40" s="1">
        <f t="shared" si="6"/>
        <v>-8.9000000002670276E-3</v>
      </c>
      <c r="K40" s="1">
        <f t="shared" si="7"/>
        <v>0.51109999999971478</v>
      </c>
    </row>
    <row r="41" spans="1:11" x14ac:dyDescent="0.2">
      <c r="B41" s="19"/>
      <c r="G41" t="s">
        <v>229</v>
      </c>
      <c r="H41" s="1">
        <v>0.34</v>
      </c>
      <c r="I41" s="1">
        <v>-2793.0610999999999</v>
      </c>
      <c r="J41" s="1">
        <f t="shared" si="6"/>
        <v>7.0000000000618456E-3</v>
      </c>
      <c r="K41" s="1">
        <f t="shared" si="7"/>
        <v>0.52700000000004366</v>
      </c>
    </row>
    <row r="42" spans="1:11" x14ac:dyDescent="0.2">
      <c r="A42" t="s">
        <v>243</v>
      </c>
      <c r="B42" s="19" t="s">
        <v>1</v>
      </c>
      <c r="C42" t="s">
        <v>197</v>
      </c>
      <c r="D42" t="s">
        <v>209</v>
      </c>
      <c r="G42" t="s">
        <v>230</v>
      </c>
      <c r="H42" s="1">
        <v>0.32</v>
      </c>
      <c r="I42" s="1">
        <v>-2793.0189999999998</v>
      </c>
      <c r="J42" s="1">
        <f t="shared" si="6"/>
        <v>4.9100000000180444E-2</v>
      </c>
      <c r="K42" s="1">
        <f t="shared" si="7"/>
        <v>0.56910000000016225</v>
      </c>
    </row>
    <row r="43" spans="1:11" x14ac:dyDescent="0.2">
      <c r="A43" t="s">
        <v>112</v>
      </c>
      <c r="B43" s="19">
        <v>-2800.7035000000001</v>
      </c>
      <c r="C43">
        <f>B43-251*C4-N4</f>
        <v>0.14861264682536746</v>
      </c>
    </row>
    <row r="44" spans="1:11" x14ac:dyDescent="0.2">
      <c r="A44" t="s">
        <v>244</v>
      </c>
      <c r="B44" s="11">
        <v>-2796.2345999999998</v>
      </c>
      <c r="C44">
        <f>B44-250*C5-N5-N3</f>
        <v>-2.1896239285708772</v>
      </c>
      <c r="D44" s="1">
        <f>C44-C43-I11</f>
        <v>-4.2656369722216407</v>
      </c>
      <c r="G44" t="s">
        <v>246</v>
      </c>
      <c r="I44" s="11">
        <v>-2793.6954000000001</v>
      </c>
      <c r="J44" s="11">
        <f>I44-$I$32</f>
        <v>-0.62730000000010477</v>
      </c>
      <c r="K44" s="11">
        <f>$D$17+J44</f>
        <v>-0.10730000000012296</v>
      </c>
    </row>
    <row r="45" spans="1:11" x14ac:dyDescent="0.2">
      <c r="B45" s="19"/>
    </row>
    <row r="48" spans="1:11" x14ac:dyDescent="0.2">
      <c r="A48" t="s">
        <v>206</v>
      </c>
      <c r="B48" s="19">
        <v>-2790.2114999999999</v>
      </c>
      <c r="C48" s="19">
        <f>B48-251*C6</f>
        <v>1.7415809523809003</v>
      </c>
      <c r="D48" t="s">
        <v>207</v>
      </c>
    </row>
    <row r="50" spans="1:10" x14ac:dyDescent="0.2">
      <c r="A50" t="s">
        <v>196</v>
      </c>
      <c r="B50" t="s">
        <v>1</v>
      </c>
      <c r="C50" t="s">
        <v>197</v>
      </c>
      <c r="D50" t="s">
        <v>198</v>
      </c>
      <c r="F50" t="s">
        <v>264</v>
      </c>
      <c r="G50" t="s">
        <v>1</v>
      </c>
      <c r="H50" t="s">
        <v>197</v>
      </c>
      <c r="I50" t="s">
        <v>198</v>
      </c>
    </row>
    <row r="51" spans="1:10" x14ac:dyDescent="0.2">
      <c r="A51">
        <v>0</v>
      </c>
      <c r="B51" s="19">
        <v>-2789.7615999999998</v>
      </c>
      <c r="C51" s="1">
        <f>B51-251*$C$6</f>
        <v>2.1914809523809708</v>
      </c>
      <c r="D51">
        <f>C51-C$51</f>
        <v>0</v>
      </c>
      <c r="E51" t="s">
        <v>208</v>
      </c>
      <c r="F51">
        <v>0</v>
      </c>
      <c r="G51" s="1">
        <v>-2790.2114999999999</v>
      </c>
      <c r="H51" s="1">
        <f>G51-251*$C$6</f>
        <v>1.7415809523809003</v>
      </c>
      <c r="I51">
        <f>H51-H$51</f>
        <v>0</v>
      </c>
      <c r="J51" t="s">
        <v>265</v>
      </c>
    </row>
    <row r="52" spans="1:10" x14ac:dyDescent="0.2">
      <c r="A52">
        <v>1</v>
      </c>
      <c r="B52" s="1">
        <v>-2792.5149000000001</v>
      </c>
      <c r="C52" s="1">
        <f>B52-251*$C$6</f>
        <v>-0.56181904761933765</v>
      </c>
      <c r="D52">
        <f>C52-C$51</f>
        <v>-2.7533000000003085</v>
      </c>
      <c r="E52" t="s">
        <v>208</v>
      </c>
      <c r="F52">
        <v>1</v>
      </c>
      <c r="G52" s="1">
        <v>-2789.7438000000002</v>
      </c>
      <c r="H52" s="1">
        <f>G52-251*$C$6</f>
        <v>2.2092809523805954</v>
      </c>
      <c r="I52">
        <f>H52-H$51</f>
        <v>0.46769999999969514</v>
      </c>
      <c r="J52" t="s">
        <v>265</v>
      </c>
    </row>
    <row r="53" spans="1:10" x14ac:dyDescent="0.2">
      <c r="A53">
        <v>2</v>
      </c>
      <c r="B53" s="1">
        <v>-2789.7615999999998</v>
      </c>
      <c r="C53" s="1">
        <f>B53-251*$C$6</f>
        <v>2.1914809523809708</v>
      </c>
      <c r="D53">
        <f>C53-C$51</f>
        <v>0</v>
      </c>
      <c r="E53" t="s">
        <v>208</v>
      </c>
      <c r="F53">
        <v>2</v>
      </c>
      <c r="G53" s="1">
        <v>-2790.2114999999999</v>
      </c>
      <c r="H53" s="1">
        <f>G53-251*$C$6</f>
        <v>1.7415809523809003</v>
      </c>
      <c r="I53">
        <f>H53-H$51</f>
        <v>0</v>
      </c>
      <c r="J53" t="s">
        <v>265</v>
      </c>
    </row>
    <row r="54" spans="1:10" x14ac:dyDescent="0.2">
      <c r="A54" t="s">
        <v>245</v>
      </c>
      <c r="C54" s="1"/>
    </row>
    <row r="55" spans="1:10" x14ac:dyDescent="0.2">
      <c r="A55">
        <v>0</v>
      </c>
      <c r="B55" s="1">
        <v>-2790.2114999999999</v>
      </c>
      <c r="C55" s="1">
        <f>B55-251*$C$6</f>
        <v>1.7415809523809003</v>
      </c>
      <c r="E55" t="s">
        <v>207</v>
      </c>
    </row>
    <row r="56" spans="1:10" x14ac:dyDescent="0.2">
      <c r="A56">
        <v>1</v>
      </c>
      <c r="B56" s="1">
        <v>-2792.3739</v>
      </c>
      <c r="C56" s="1">
        <f>B56-251*$C$6</f>
        <v>-0.42081904761926126</v>
      </c>
      <c r="E56" t="s">
        <v>207</v>
      </c>
    </row>
    <row r="57" spans="1:10" x14ac:dyDescent="0.2">
      <c r="A57">
        <v>2</v>
      </c>
      <c r="B57" s="1">
        <v>-2790.2118</v>
      </c>
      <c r="C57" s="1">
        <f>B57-251*$C$6</f>
        <v>1.7412809523807482</v>
      </c>
      <c r="E57" t="s">
        <v>207</v>
      </c>
    </row>
    <row r="59" spans="1:10" x14ac:dyDescent="0.2">
      <c r="A59" t="s">
        <v>245</v>
      </c>
    </row>
    <row r="60" spans="1:10" x14ac:dyDescent="0.2">
      <c r="A60">
        <v>0</v>
      </c>
      <c r="B60" s="1">
        <v>-2790.2114999999999</v>
      </c>
      <c r="C60" s="1">
        <f>B60-251*$C$6</f>
        <v>1.7415809523809003</v>
      </c>
      <c r="E60" t="s">
        <v>207</v>
      </c>
      <c r="F60" t="s">
        <v>262</v>
      </c>
    </row>
    <row r="61" spans="1:10" x14ac:dyDescent="0.2">
      <c r="A61">
        <v>1</v>
      </c>
      <c r="B61" s="1">
        <v>-2800.3317999999999</v>
      </c>
      <c r="C61" s="1">
        <f>B61-251*$C$6</f>
        <v>-8.3787190476191427</v>
      </c>
      <c r="E61" t="s">
        <v>207</v>
      </c>
    </row>
    <row r="62" spans="1:10" x14ac:dyDescent="0.2">
      <c r="A62">
        <v>2</v>
      </c>
      <c r="B62" s="1">
        <v>-2790.2118</v>
      </c>
      <c r="C62" s="1">
        <f>B62-251*$C$6</f>
        <v>1.7412809523807482</v>
      </c>
      <c r="E62" t="s">
        <v>207</v>
      </c>
    </row>
  </sheetData>
  <sortState ref="G17:K28">
    <sortCondition ref="H17:H28"/>
  </sortState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92"/>
  <sheetViews>
    <sheetView topLeftCell="A40" workbookViewId="0">
      <selection activeCell="F34" sqref="F34"/>
    </sheetView>
  </sheetViews>
  <sheetFormatPr baseColWidth="10" defaultRowHeight="16" x14ac:dyDescent="0.2"/>
  <cols>
    <col min="1" max="1" width="18.6640625" customWidth="1"/>
    <col min="2" max="5" width="11" bestFit="1" customWidth="1"/>
    <col min="11" max="11" width="11" bestFit="1" customWidth="1"/>
    <col min="18" max="18" width="11.6640625" bestFit="1" customWidth="1"/>
    <col min="19" max="19" width="11.6640625" customWidth="1"/>
  </cols>
  <sheetData>
    <row r="1" spans="1:20" x14ac:dyDescent="0.2">
      <c r="A1" t="s">
        <v>253</v>
      </c>
    </row>
    <row r="2" spans="1:20" x14ac:dyDescent="0.2">
      <c r="B2" t="s">
        <v>1</v>
      </c>
      <c r="C2" t="s">
        <v>2</v>
      </c>
      <c r="D2" t="s">
        <v>249</v>
      </c>
      <c r="E2" t="s">
        <v>154</v>
      </c>
      <c r="H2" t="s">
        <v>1</v>
      </c>
      <c r="I2" t="s">
        <v>2</v>
      </c>
      <c r="J2" t="s">
        <v>249</v>
      </c>
      <c r="K2" t="s">
        <v>154</v>
      </c>
      <c r="N2" t="s">
        <v>1</v>
      </c>
      <c r="O2" t="s">
        <v>2</v>
      </c>
      <c r="P2" t="s">
        <v>249</v>
      </c>
      <c r="Q2" t="s">
        <v>154</v>
      </c>
    </row>
    <row r="3" spans="1:20" x14ac:dyDescent="0.2">
      <c r="A3" t="s">
        <v>255</v>
      </c>
      <c r="B3" s="1">
        <v>-2806.7759000000001</v>
      </c>
      <c r="C3" s="19">
        <f>B3/252</f>
        <v>-11.137999603174604</v>
      </c>
      <c r="D3">
        <v>500</v>
      </c>
      <c r="E3" t="s">
        <v>208</v>
      </c>
      <c r="G3" t="s">
        <v>250</v>
      </c>
      <c r="H3" s="1">
        <v>-2806.3755000000001</v>
      </c>
      <c r="I3" s="19">
        <f>H3/252</f>
        <v>-11.136410714285715</v>
      </c>
      <c r="J3">
        <v>400</v>
      </c>
      <c r="K3" t="s">
        <v>208</v>
      </c>
      <c r="M3" t="s">
        <v>252</v>
      </c>
      <c r="N3" s="19">
        <v>-2803.0763999999999</v>
      </c>
      <c r="O3" s="19">
        <f>N3/252</f>
        <v>-11.123319047619047</v>
      </c>
      <c r="P3">
        <v>252</v>
      </c>
      <c r="Q3" t="s">
        <v>207</v>
      </c>
    </row>
    <row r="4" spans="1:20" x14ac:dyDescent="0.2">
      <c r="A4" t="s">
        <v>251</v>
      </c>
      <c r="B4" s="19">
        <v>-2807.2743999999998</v>
      </c>
      <c r="C4" s="19">
        <f>B4/252</f>
        <v>-11.139977777777776</v>
      </c>
      <c r="D4">
        <v>500</v>
      </c>
      <c r="E4" t="s">
        <v>207</v>
      </c>
      <c r="G4" t="s">
        <v>251</v>
      </c>
      <c r="H4" s="1">
        <v>-2806.7759000000001</v>
      </c>
      <c r="I4" s="19">
        <f>H4/252</f>
        <v>-11.137999603174604</v>
      </c>
      <c r="J4" s="19">
        <v>500</v>
      </c>
      <c r="K4" t="s">
        <v>208</v>
      </c>
      <c r="M4" t="s">
        <v>251</v>
      </c>
      <c r="N4" s="19">
        <v>-2807.2743999999998</v>
      </c>
      <c r="O4" s="19">
        <f>N4/252</f>
        <v>-11.139977777777776</v>
      </c>
      <c r="P4">
        <v>500</v>
      </c>
      <c r="Q4" t="s">
        <v>207</v>
      </c>
    </row>
    <row r="5" spans="1:20" x14ac:dyDescent="0.2">
      <c r="B5" s="19"/>
      <c r="C5" s="19"/>
      <c r="H5" s="1"/>
      <c r="I5" s="19"/>
      <c r="J5" s="19"/>
      <c r="N5" s="19"/>
      <c r="O5" s="19"/>
    </row>
    <row r="6" spans="1:20" x14ac:dyDescent="0.2">
      <c r="B6" t="s">
        <v>1</v>
      </c>
      <c r="C6" t="s">
        <v>2</v>
      </c>
      <c r="D6" t="s">
        <v>3</v>
      </c>
      <c r="E6" t="s">
        <v>5</v>
      </c>
      <c r="F6" t="s">
        <v>37</v>
      </c>
      <c r="G6" t="s">
        <v>38</v>
      </c>
      <c r="H6" t="s">
        <v>39</v>
      </c>
      <c r="I6" s="19"/>
      <c r="J6" s="19"/>
      <c r="N6" s="19"/>
      <c r="O6" s="19"/>
    </row>
    <row r="7" spans="1:20" x14ac:dyDescent="0.2">
      <c r="A7" t="s">
        <v>66</v>
      </c>
      <c r="B7" s="8">
        <v>-18.900099999999998</v>
      </c>
      <c r="C7" s="9">
        <v>-4.7249999999999996</v>
      </c>
      <c r="D7" s="10">
        <v>3.708854208</v>
      </c>
      <c r="E7" s="10">
        <v>11.89692748</v>
      </c>
      <c r="F7" s="10">
        <v>141.72999999999999</v>
      </c>
      <c r="G7" s="10">
        <v>35.432499999999997</v>
      </c>
      <c r="H7" s="10" t="s">
        <v>42</v>
      </c>
    </row>
    <row r="8" spans="1:20" x14ac:dyDescent="0.2">
      <c r="A8" t="s">
        <v>240</v>
      </c>
      <c r="B8" s="1">
        <v>-20.856849</v>
      </c>
      <c r="C8" s="9">
        <f>B8/4</f>
        <v>-5.2142122500000001</v>
      </c>
      <c r="D8">
        <v>3.940286671</v>
      </c>
      <c r="F8">
        <v>61.18</v>
      </c>
      <c r="G8">
        <f>F8/4</f>
        <v>15.295</v>
      </c>
    </row>
    <row r="9" spans="1:20" x14ac:dyDescent="0.2">
      <c r="B9" s="1"/>
      <c r="C9" s="9"/>
    </row>
    <row r="10" spans="1:20" x14ac:dyDescent="0.2">
      <c r="B10" t="s">
        <v>249</v>
      </c>
      <c r="C10" t="s">
        <v>208</v>
      </c>
      <c r="D10" t="s">
        <v>254</v>
      </c>
    </row>
    <row r="11" spans="1:20" x14ac:dyDescent="0.2">
      <c r="C11" t="s">
        <v>1</v>
      </c>
      <c r="D11" t="s">
        <v>2</v>
      </c>
      <c r="E11" t="s">
        <v>256</v>
      </c>
      <c r="F11" t="s">
        <v>257</v>
      </c>
      <c r="G11" t="s">
        <v>3</v>
      </c>
      <c r="H11" t="s">
        <v>4</v>
      </c>
      <c r="I11" t="s">
        <v>5</v>
      </c>
      <c r="J11" t="s">
        <v>261</v>
      </c>
      <c r="K11" t="s">
        <v>260</v>
      </c>
      <c r="L11" t="s">
        <v>270</v>
      </c>
      <c r="M11" t="s">
        <v>271</v>
      </c>
      <c r="N11" t="s">
        <v>275</v>
      </c>
      <c r="O11" t="s">
        <v>278</v>
      </c>
      <c r="P11" t="s">
        <v>316</v>
      </c>
      <c r="Q11" t="s">
        <v>272</v>
      </c>
      <c r="R11" t="s">
        <v>273</v>
      </c>
      <c r="S11" t="s">
        <v>371</v>
      </c>
      <c r="T11" t="s">
        <v>369</v>
      </c>
    </row>
    <row r="12" spans="1:20" x14ac:dyDescent="0.2">
      <c r="A12" t="s">
        <v>259</v>
      </c>
      <c r="B12">
        <v>252</v>
      </c>
      <c r="C12" s="1">
        <v>-2802.5729000000001</v>
      </c>
      <c r="D12" s="19">
        <f t="shared" ref="D12:D17" si="0">C12/252</f>
        <v>-11.121321031746032</v>
      </c>
      <c r="E12" s="19">
        <v>-2789.7973999999999</v>
      </c>
      <c r="F12" s="1">
        <f t="shared" ref="F12:F17" si="1">E12-251*D12</f>
        <v>1.6541789682542003</v>
      </c>
      <c r="G12" s="1">
        <f>19.630883063/7</f>
        <v>2.804411866142857</v>
      </c>
      <c r="H12" s="1">
        <f>17.503052587/3</f>
        <v>5.8343508623333333</v>
      </c>
      <c r="I12" s="1">
        <f>14.718750492/3</f>
        <v>4.9062501640000002</v>
      </c>
      <c r="J12">
        <v>129827.977</v>
      </c>
      <c r="K12" s="11">
        <f>-2789.7846-E12</f>
        <v>1.2799999999970169E-2</v>
      </c>
      <c r="L12" s="19">
        <f>-2789.4898-E12</f>
        <v>0.30760000000009313</v>
      </c>
      <c r="M12" s="19"/>
      <c r="N12" s="19"/>
    </row>
    <row r="13" spans="1:20" x14ac:dyDescent="0.2">
      <c r="A13" t="s">
        <v>250</v>
      </c>
      <c r="B13">
        <v>400</v>
      </c>
      <c r="C13" s="1">
        <v>-2806.3755000000001</v>
      </c>
      <c r="D13" s="19">
        <f t="shared" si="0"/>
        <v>-11.136410714285715</v>
      </c>
      <c r="E13" s="19">
        <v>-2793.6174999999998</v>
      </c>
      <c r="F13" s="1">
        <f t="shared" si="1"/>
        <v>1.6215892857144354</v>
      </c>
      <c r="G13" s="1">
        <f>19.6394338/7</f>
        <v>2.8056334000000001</v>
      </c>
      <c r="H13" s="1">
        <f>17.511425088/3</f>
        <v>5.8371416959999998</v>
      </c>
      <c r="I13" s="1">
        <f>14.720237809/3</f>
        <v>4.9067459363333334</v>
      </c>
      <c r="J13">
        <v>275104.59399999998</v>
      </c>
    </row>
    <row r="14" spans="1:20" x14ac:dyDescent="0.2">
      <c r="A14" t="s">
        <v>255</v>
      </c>
      <c r="B14">
        <v>500</v>
      </c>
      <c r="C14" s="1">
        <v>-2806.7759000000001</v>
      </c>
      <c r="D14" s="19">
        <f t="shared" si="0"/>
        <v>-11.137999603174604</v>
      </c>
      <c r="E14" s="1">
        <v>-2794.0174999999999</v>
      </c>
      <c r="F14" s="1">
        <f t="shared" si="1"/>
        <v>1.6204003968255165</v>
      </c>
      <c r="G14" s="1">
        <f>19.636224654/7</f>
        <v>2.8051749505714283</v>
      </c>
      <c r="H14" s="1">
        <f>17.512132289/3</f>
        <v>5.8373774296666667</v>
      </c>
      <c r="I14" s="1">
        <f>14.718573537/3</f>
        <v>4.9061911789999995</v>
      </c>
      <c r="J14">
        <v>195239.25</v>
      </c>
      <c r="K14" s="1">
        <f>-2793.7192-E14</f>
        <v>0.29829999999992651</v>
      </c>
      <c r="L14" s="11"/>
      <c r="M14" s="11"/>
      <c r="N14" s="11"/>
    </row>
    <row r="15" spans="1:20" x14ac:dyDescent="0.2">
      <c r="A15" t="s">
        <v>258</v>
      </c>
      <c r="B15">
        <v>500</v>
      </c>
      <c r="C15" s="19">
        <v>-2806.7755999999999</v>
      </c>
      <c r="D15" s="19">
        <f t="shared" si="0"/>
        <v>-11.137998412698412</v>
      </c>
      <c r="E15" s="19">
        <v>-2794.0176999999999</v>
      </c>
      <c r="F15" s="1">
        <f t="shared" si="1"/>
        <v>1.6199015873016833</v>
      </c>
      <c r="G15" s="1">
        <f>19.635993987/7</f>
        <v>2.8051419981428571</v>
      </c>
      <c r="H15" s="1">
        <f>17.510916386/3</f>
        <v>5.8369721286666669</v>
      </c>
      <c r="I15" s="1">
        <f>14.718308632/3</f>
        <v>4.9061028773333328</v>
      </c>
      <c r="J15">
        <v>243946.06200000001</v>
      </c>
      <c r="K15" s="11">
        <f>-2794.0101-E15</f>
        <v>7.5999999999112333E-3</v>
      </c>
      <c r="L15" s="19">
        <f>-2793.7171-E15</f>
        <v>0.30060000000003129</v>
      </c>
      <c r="M15" s="19"/>
      <c r="N15" s="19"/>
    </row>
    <row r="16" spans="1:20" x14ac:dyDescent="0.2">
      <c r="A16" t="s">
        <v>259</v>
      </c>
      <c r="B16">
        <v>500</v>
      </c>
      <c r="C16" s="19">
        <v>-2806.7763</v>
      </c>
      <c r="D16" s="19">
        <f t="shared" si="0"/>
        <v>-11.13800119047619</v>
      </c>
      <c r="E16" s="19">
        <v>-2794.0207999999998</v>
      </c>
      <c r="F16" s="1">
        <f t="shared" si="1"/>
        <v>1.6174988095240224</v>
      </c>
      <c r="G16" s="1">
        <f>19.636900087/7</f>
        <v>2.8052714409999999</v>
      </c>
      <c r="H16" s="1">
        <f>17.516291892/3</f>
        <v>5.8387639640000009</v>
      </c>
      <c r="I16" s="1">
        <f>14.713396172/3</f>
        <v>4.9044653906666662</v>
      </c>
      <c r="J16">
        <v>229446.359</v>
      </c>
    </row>
    <row r="17" spans="1:22" x14ac:dyDescent="0.2">
      <c r="A17" t="s">
        <v>266</v>
      </c>
      <c r="B17">
        <v>500</v>
      </c>
      <c r="C17" s="19">
        <v>-2830.8451</v>
      </c>
      <c r="D17" s="19">
        <f t="shared" si="0"/>
        <v>-11.233512301587302</v>
      </c>
      <c r="E17" s="19">
        <v>-2802.1624999999999</v>
      </c>
      <c r="F17" s="1">
        <f t="shared" si="1"/>
        <v>17.449087698412768</v>
      </c>
      <c r="G17" s="1">
        <f>19.94526881/7</f>
        <v>2.8493241157142859</v>
      </c>
      <c r="H17" s="1">
        <f>17.753959146/3</f>
        <v>5.9179863819999996</v>
      </c>
      <c r="I17" s="1">
        <f>14.797141858/3</f>
        <v>4.9323806193333333</v>
      </c>
      <c r="J17">
        <v>70647.366999999998</v>
      </c>
    </row>
    <row r="18" spans="1:22" x14ac:dyDescent="0.2">
      <c r="G18" s="1"/>
      <c r="H18" s="1"/>
      <c r="I18" s="1"/>
      <c r="P18" s="19"/>
      <c r="Q18" s="19"/>
      <c r="T18" s="19"/>
      <c r="U18" s="20"/>
    </row>
    <row r="19" spans="1:22" x14ac:dyDescent="0.2">
      <c r="B19" t="s">
        <v>249</v>
      </c>
      <c r="C19" t="s">
        <v>268</v>
      </c>
      <c r="D19" t="s">
        <v>267</v>
      </c>
      <c r="E19" t="s">
        <v>353</v>
      </c>
      <c r="G19" s="1"/>
      <c r="H19" s="1"/>
      <c r="I19" s="1"/>
      <c r="P19" s="19"/>
      <c r="Q19" s="19"/>
      <c r="T19" s="19"/>
      <c r="U19" s="20"/>
    </row>
    <row r="20" spans="1:22" x14ac:dyDescent="0.2">
      <c r="A20" t="s">
        <v>259</v>
      </c>
      <c r="B20">
        <v>252</v>
      </c>
      <c r="C20" s="1">
        <v>-2802.7714999999998</v>
      </c>
      <c r="D20" s="19">
        <f>C20/252</f>
        <v>-11.122109126984126</v>
      </c>
      <c r="E20" s="19">
        <v>-2789.9670999999998</v>
      </c>
      <c r="F20" s="1">
        <f>E20-251*D20</f>
        <v>1.6822908730159725</v>
      </c>
      <c r="G20" s="1">
        <f>19.623139238/7</f>
        <v>2.8033056054285717</v>
      </c>
      <c r="H20" s="1">
        <f>17.50225314/3</f>
        <v>5.8340843800000002</v>
      </c>
      <c r="I20" s="1">
        <f>14.714913548/3</f>
        <v>4.9049711826666664</v>
      </c>
      <c r="J20">
        <v>172127.90599999999</v>
      </c>
      <c r="K20" s="1"/>
      <c r="L20" s="1">
        <f>-2789.6429-E20</f>
        <v>0.32420000000001892</v>
      </c>
      <c r="M20" s="1"/>
      <c r="N20" s="1"/>
      <c r="P20" s="19"/>
      <c r="Q20" s="19"/>
      <c r="T20" s="19"/>
      <c r="U20" s="20"/>
    </row>
    <row r="21" spans="1:22" x14ac:dyDescent="0.2">
      <c r="A21" t="s">
        <v>259</v>
      </c>
      <c r="B21">
        <v>400</v>
      </c>
      <c r="C21" s="1">
        <v>-2806.5715</v>
      </c>
      <c r="D21" s="19">
        <f>C21/252</f>
        <v>-11.137188492063492</v>
      </c>
      <c r="E21" s="19">
        <v>-2793.7936</v>
      </c>
      <c r="F21" s="1">
        <f>E21-251*D21</f>
        <v>1.6407115079364303</v>
      </c>
      <c r="G21" s="1">
        <f>19.632982682/7</f>
        <v>2.8047118117142857</v>
      </c>
      <c r="H21" s="1">
        <f>17.507334751/3</f>
        <v>5.8357782503333331</v>
      </c>
      <c r="I21" s="1">
        <f>14.720337872/3</f>
        <v>4.906779290666667</v>
      </c>
      <c r="J21">
        <v>207048.609</v>
      </c>
      <c r="P21" s="19"/>
      <c r="Q21" s="19"/>
      <c r="T21" s="19"/>
      <c r="U21" s="20"/>
    </row>
    <row r="22" spans="1:22" x14ac:dyDescent="0.2">
      <c r="A22" t="s">
        <v>259</v>
      </c>
      <c r="B22">
        <v>500</v>
      </c>
      <c r="G22" s="1"/>
      <c r="H22" s="1"/>
      <c r="I22" s="1"/>
      <c r="P22" s="19"/>
      <c r="Q22" s="19"/>
      <c r="T22" s="19"/>
      <c r="U22" s="20"/>
    </row>
    <row r="23" spans="1:22" x14ac:dyDescent="0.2">
      <c r="G23" s="1"/>
      <c r="H23" s="1"/>
      <c r="I23" s="1"/>
      <c r="P23" s="19"/>
      <c r="Q23" s="19"/>
      <c r="T23" s="19"/>
      <c r="U23" s="20"/>
    </row>
    <row r="24" spans="1:22" x14ac:dyDescent="0.2">
      <c r="B24" t="s">
        <v>249</v>
      </c>
      <c r="C24" t="s">
        <v>269</v>
      </c>
      <c r="D24" t="s">
        <v>267</v>
      </c>
      <c r="E24" t="s">
        <v>352</v>
      </c>
      <c r="G24" s="1"/>
      <c r="H24" s="1"/>
      <c r="I24" s="1"/>
      <c r="P24" s="19"/>
      <c r="Q24" s="19"/>
      <c r="T24" s="19"/>
      <c r="U24" s="20"/>
    </row>
    <row r="25" spans="1:22" x14ac:dyDescent="0.2">
      <c r="A25" t="s">
        <v>259</v>
      </c>
      <c r="B25">
        <v>252</v>
      </c>
      <c r="C25" s="1">
        <v>-2803.1862999999998</v>
      </c>
      <c r="D25" s="19">
        <f t="shared" ref="D25:D32" si="2">C25/252</f>
        <v>-11.123755158730159</v>
      </c>
      <c r="E25" s="19">
        <v>-2790.3162000000002</v>
      </c>
      <c r="F25" s="1">
        <f>E25-251*D25</f>
        <v>1.746344841269547</v>
      </c>
      <c r="G25" s="1">
        <f>19.61356641/7</f>
        <v>2.8019380585714289</v>
      </c>
      <c r="H25" s="1">
        <f>17.501952562/3</f>
        <v>5.8339841873333329</v>
      </c>
      <c r="I25" s="1">
        <f>14.714325902/3</f>
        <v>4.9047753006666666</v>
      </c>
      <c r="J25" s="34">
        <v>265557.06199999998</v>
      </c>
      <c r="L25" s="19">
        <f>-2789.9795-E25</f>
        <v>0.33670000000029177</v>
      </c>
      <c r="M25" s="19">
        <f>-2794.6244 -251*D25-C7</f>
        <v>2.1631448412696042</v>
      </c>
      <c r="N25" s="19">
        <f>-2796.9887-251*D25-C8</f>
        <v>0.28805709126987455</v>
      </c>
      <c r="P25" s="19"/>
      <c r="Q25" s="19"/>
      <c r="T25" s="19"/>
      <c r="U25" s="20"/>
    </row>
    <row r="26" spans="1:22" x14ac:dyDescent="0.2">
      <c r="A26" t="s">
        <v>276</v>
      </c>
      <c r="B26">
        <v>252</v>
      </c>
      <c r="C26" s="1">
        <v>-2803.1862999999998</v>
      </c>
      <c r="D26" s="19">
        <f t="shared" si="2"/>
        <v>-11.123755158730159</v>
      </c>
      <c r="E26" s="19">
        <v>-2790.3154</v>
      </c>
      <c r="F26" s="1">
        <f>E26-251*D26</f>
        <v>1.747144841269801</v>
      </c>
      <c r="G26" s="1">
        <f>19.613328482/7</f>
        <v>2.801904068857143</v>
      </c>
      <c r="H26" s="1">
        <f>17.501723091/3</f>
        <v>5.8339076969999999</v>
      </c>
      <c r="I26" s="1">
        <f>14.714428945/3</f>
        <v>4.904809648333333</v>
      </c>
      <c r="J26" s="34">
        <v>314159.78100000002</v>
      </c>
      <c r="L26" s="19"/>
      <c r="M26" s="19">
        <f>-2794.624-251*D26-C7</f>
        <v>2.1635448412699585</v>
      </c>
      <c r="N26" s="19"/>
      <c r="P26" s="19"/>
      <c r="Q26" s="19"/>
      <c r="T26" s="19"/>
      <c r="U26" s="20"/>
    </row>
    <row r="27" spans="1:22" x14ac:dyDescent="0.2">
      <c r="A27" t="s">
        <v>277</v>
      </c>
      <c r="B27">
        <v>252</v>
      </c>
      <c r="C27" s="11">
        <v>-2828.0367000000001</v>
      </c>
      <c r="D27" s="19">
        <f t="shared" si="2"/>
        <v>-11.222367857142858</v>
      </c>
      <c r="E27" s="19" t="s">
        <v>294</v>
      </c>
      <c r="F27" s="1"/>
      <c r="G27" s="1"/>
      <c r="H27" s="1"/>
      <c r="I27" s="1"/>
      <c r="J27" s="34"/>
      <c r="L27" s="19"/>
      <c r="M27" s="19"/>
      <c r="N27" s="19"/>
      <c r="P27" s="19"/>
      <c r="Q27" s="19"/>
      <c r="T27" s="19"/>
      <c r="U27" s="20"/>
    </row>
    <row r="28" spans="1:22" x14ac:dyDescent="0.2">
      <c r="A28" s="30" t="s">
        <v>259</v>
      </c>
      <c r="B28" s="30">
        <v>400</v>
      </c>
      <c r="C28" s="7">
        <v>-2806.9805999999999</v>
      </c>
      <c r="D28" s="7">
        <f t="shared" si="2"/>
        <v>-11.138811904761905</v>
      </c>
      <c r="E28" s="7">
        <v>-2794.1405</v>
      </c>
      <c r="F28" s="7">
        <f>E28-251*D28</f>
        <v>1.7012880952383966</v>
      </c>
      <c r="G28" s="7">
        <f>19.622795626/7</f>
        <v>2.803256518</v>
      </c>
      <c r="H28" s="7">
        <f>17.508669467/3</f>
        <v>5.8362231556666666</v>
      </c>
      <c r="I28" s="7">
        <f>14.718083129/3</f>
        <v>4.9060277096666667</v>
      </c>
      <c r="J28" s="35">
        <v>356933.21899999998</v>
      </c>
      <c r="K28" s="7">
        <f>-2793.8116-E28</f>
        <v>0.32889999999997599</v>
      </c>
      <c r="L28" s="7">
        <f>-2793.8115-E28</f>
        <v>0.32900000000017826</v>
      </c>
      <c r="M28" s="7">
        <f>-2798.4609-251*$D$28-$C$7</f>
        <v>2.105888095238333</v>
      </c>
      <c r="N28" s="7">
        <f>-2800.8382-251*D28-C8</f>
        <v>0.21780034523822867</v>
      </c>
      <c r="O28" s="7">
        <f>-2793.8355 -E28</f>
        <v>0.30499999999983629</v>
      </c>
      <c r="P28" s="7">
        <f>-2793.8198-E28</f>
        <v>0.32069999999976062</v>
      </c>
      <c r="Q28" s="7">
        <v>-2780.8674999999998</v>
      </c>
      <c r="R28" s="7">
        <v>-2781.0648999999999</v>
      </c>
      <c r="S28" s="7"/>
      <c r="T28" s="37">
        <f>Q28-250*D28</f>
        <v>3.8354761904765837</v>
      </c>
      <c r="U28" s="37">
        <f>R28-250*D28</f>
        <v>3.6380761904765677</v>
      </c>
      <c r="V28" s="19"/>
    </row>
    <row r="29" spans="1:22" x14ac:dyDescent="0.2">
      <c r="A29" t="s">
        <v>277</v>
      </c>
      <c r="B29">
        <v>400</v>
      </c>
      <c r="C29" s="19">
        <v>-2826.0061000000001</v>
      </c>
      <c r="D29" s="19">
        <f t="shared" si="2"/>
        <v>-11.214309920634921</v>
      </c>
      <c r="E29" s="19"/>
      <c r="F29" s="7"/>
      <c r="G29" s="1">
        <f>19.375911303/7</f>
        <v>2.7679873289999999</v>
      </c>
      <c r="H29" s="1">
        <f>16.848732577/3</f>
        <v>5.6162441923333333</v>
      </c>
      <c r="I29" s="1">
        <f>15.332949419/3</f>
        <v>5.1109831396666667</v>
      </c>
      <c r="J29" s="33"/>
      <c r="L29" s="1"/>
      <c r="M29" s="19"/>
      <c r="N29" s="19"/>
      <c r="O29" s="11"/>
      <c r="P29" s="19"/>
      <c r="Q29" s="19"/>
      <c r="T29" s="38"/>
      <c r="U29" s="39"/>
    </row>
    <row r="30" spans="1:22" x14ac:dyDescent="0.2">
      <c r="A30" t="s">
        <v>327</v>
      </c>
      <c r="B30">
        <v>400</v>
      </c>
      <c r="C30" s="19">
        <v>-2807.0608999999999</v>
      </c>
      <c r="D30" s="19">
        <f t="shared" si="2"/>
        <v>-11.139130555555555</v>
      </c>
      <c r="E30" s="19">
        <v>-2794.2194</v>
      </c>
      <c r="F30" s="1">
        <f>E30-251*D30</f>
        <v>1.7023694444442299</v>
      </c>
      <c r="G30" s="1">
        <f>19.6224326874339/7</f>
        <v>2.8032046696334141</v>
      </c>
      <c r="H30" s="1">
        <f>17.5128133390377/3</f>
        <v>5.8376044463458996</v>
      </c>
      <c r="I30" s="1">
        <f>14.7149368258544/3</f>
        <v>4.9049789419514669</v>
      </c>
      <c r="J30" s="33">
        <v>122239.889</v>
      </c>
      <c r="L30" s="1"/>
      <c r="M30" s="19"/>
      <c r="N30" s="19"/>
      <c r="O30" s="11"/>
      <c r="P30" s="19"/>
      <c r="Q30" s="19">
        <v>-2780.9483</v>
      </c>
      <c r="R30" s="19">
        <v>-2781.1453000000001</v>
      </c>
      <c r="S30" s="12">
        <v>-2780.7676000000001</v>
      </c>
      <c r="T30" s="37">
        <f>Q30-250*D30</f>
        <v>3.8343388888888512</v>
      </c>
      <c r="U30" s="39"/>
    </row>
    <row r="31" spans="1:22" x14ac:dyDescent="0.2">
      <c r="A31" t="s">
        <v>259</v>
      </c>
      <c r="B31">
        <v>500</v>
      </c>
      <c r="C31" s="1">
        <v>-2807.3833</v>
      </c>
      <c r="D31" s="19">
        <f t="shared" si="2"/>
        <v>-11.140409920634921</v>
      </c>
      <c r="E31" s="19">
        <v>-2794.5430000000001</v>
      </c>
      <c r="F31" s="1">
        <f>E31-251*D31</f>
        <v>1.6998900793651046</v>
      </c>
      <c r="G31" s="1">
        <f>19.620291334/7</f>
        <v>2.8028987620000003</v>
      </c>
      <c r="H31" s="1">
        <f>17.506555542/3</f>
        <v>5.8355185140000003</v>
      </c>
      <c r="I31" s="1">
        <f>14.716053558/3</f>
        <v>4.9053511859999999</v>
      </c>
      <c r="J31" s="34">
        <v>471687.125</v>
      </c>
      <c r="P31" s="19"/>
      <c r="Q31" s="19"/>
      <c r="R31" s="19"/>
      <c r="S31" s="19"/>
      <c r="T31" s="38"/>
      <c r="U31" s="39"/>
    </row>
    <row r="32" spans="1:22" x14ac:dyDescent="0.2">
      <c r="A32" t="s">
        <v>327</v>
      </c>
      <c r="B32">
        <v>500</v>
      </c>
      <c r="C32" s="1">
        <v>-2807.6640000000002</v>
      </c>
      <c r="D32" s="19">
        <f t="shared" si="2"/>
        <v>-11.141523809523811</v>
      </c>
      <c r="E32" s="19">
        <v>-2794.8213999999998</v>
      </c>
      <c r="F32" s="1">
        <f>E32-251*D32</f>
        <v>1.7010761904766696</v>
      </c>
      <c r="G32" s="1">
        <f>19.619187955/7</f>
        <v>2.8027411364285717</v>
      </c>
      <c r="H32" s="1">
        <f>17.50651851/3</f>
        <v>5.8355061699999995</v>
      </c>
      <c r="I32" s="1">
        <f>14.715154413/3</f>
        <v>4.9050514710000002</v>
      </c>
      <c r="J32" s="33">
        <f>48*3600+90000</f>
        <v>262800</v>
      </c>
      <c r="P32" s="19"/>
      <c r="T32" s="38"/>
      <c r="U32" s="39"/>
    </row>
    <row r="33" spans="1:21" x14ac:dyDescent="0.2">
      <c r="A33" t="s">
        <v>366</v>
      </c>
      <c r="C33" s="1"/>
      <c r="D33" t="s">
        <v>367</v>
      </c>
      <c r="E33" t="s">
        <v>256</v>
      </c>
      <c r="F33" t="s">
        <v>257</v>
      </c>
      <c r="G33" t="s">
        <v>3</v>
      </c>
      <c r="H33" t="s">
        <v>4</v>
      </c>
      <c r="I33" t="s">
        <v>5</v>
      </c>
      <c r="J33" t="s">
        <v>261</v>
      </c>
      <c r="P33" s="19"/>
      <c r="Q33" s="19"/>
      <c r="R33" s="19"/>
      <c r="S33" s="19"/>
      <c r="T33" s="38"/>
      <c r="U33" s="39"/>
    </row>
    <row r="34" spans="1:21" x14ac:dyDescent="0.2">
      <c r="A34" t="s">
        <v>327</v>
      </c>
      <c r="B34">
        <v>400</v>
      </c>
      <c r="C34" s="19">
        <v>-2806.8319999999999</v>
      </c>
      <c r="D34" s="19">
        <f>C34/252</f>
        <v>-11.138222222222222</v>
      </c>
      <c r="E34" s="19">
        <v>-2794.0196000000001</v>
      </c>
      <c r="F34" s="1">
        <f>E34-251*D34</f>
        <v>1.6741777777774587</v>
      </c>
      <c r="G34" s="1">
        <f>19.615210533/7</f>
        <v>2.8021729332857142</v>
      </c>
      <c r="H34" s="1">
        <f>17.542232755/3</f>
        <v>5.8474109183333338</v>
      </c>
      <c r="I34" s="1">
        <f>14.694539575/3</f>
        <v>4.8981798583333331</v>
      </c>
      <c r="J34" s="33">
        <v>154188.53099999999</v>
      </c>
      <c r="P34" s="19"/>
      <c r="Q34" s="19">
        <v>-2780.7411000000002</v>
      </c>
      <c r="R34" s="19"/>
      <c r="S34" s="19"/>
      <c r="T34" s="37">
        <f>Q34-250*D34</f>
        <v>3.8144555555554689</v>
      </c>
      <c r="U34" s="39"/>
    </row>
    <row r="35" spans="1:21" x14ac:dyDescent="0.2">
      <c r="D35" s="1"/>
      <c r="F35" s="1">
        <f>F31-F28</f>
        <v>-1.3980158732920245E-3</v>
      </c>
      <c r="G35" s="1"/>
      <c r="H35" s="1"/>
      <c r="I35" s="1"/>
      <c r="J35" t="s">
        <v>372</v>
      </c>
      <c r="P35" s="19"/>
      <c r="Q35" s="19"/>
      <c r="R35" s="19"/>
      <c r="S35" s="19"/>
      <c r="T35" s="20"/>
    </row>
    <row r="36" spans="1:21" x14ac:dyDescent="0.2">
      <c r="B36" t="s">
        <v>249</v>
      </c>
      <c r="C36" t="s">
        <v>351</v>
      </c>
      <c r="D36" t="s">
        <v>267</v>
      </c>
      <c r="E36" t="s">
        <v>355</v>
      </c>
      <c r="F36" s="1"/>
      <c r="G36" s="1"/>
      <c r="H36" s="1"/>
      <c r="I36" s="1"/>
      <c r="P36" s="19"/>
      <c r="Q36" s="19"/>
      <c r="R36" s="19"/>
      <c r="S36" s="19"/>
      <c r="T36" s="20"/>
    </row>
    <row r="37" spans="1:21" x14ac:dyDescent="0.2">
      <c r="A37" t="s">
        <v>327</v>
      </c>
      <c r="B37">
        <v>400</v>
      </c>
      <c r="C37" s="6">
        <v>-2807.0713000000001</v>
      </c>
      <c r="D37" s="19">
        <f>C37/252</f>
        <v>-11.139171825396826</v>
      </c>
      <c r="E37" s="32">
        <v>-2794.203</v>
      </c>
      <c r="F37" s="1">
        <f>E37-251*D37</f>
        <v>1.7291281746033746</v>
      </c>
      <c r="G37" s="1">
        <f>19.620151279/7</f>
        <v>2.8028787541428573</v>
      </c>
      <c r="H37" s="1">
        <f>17.526261684/3</f>
        <v>5.8420872280000005</v>
      </c>
      <c r="I37" s="1">
        <f>14.706062761/3</f>
        <v>4.9020209203333334</v>
      </c>
      <c r="M37" s="1"/>
      <c r="N37" s="1"/>
      <c r="O37" s="1"/>
      <c r="Q37" s="19"/>
      <c r="R37" s="19"/>
      <c r="S37" s="19"/>
      <c r="T37" s="20"/>
    </row>
    <row r="38" spans="1:21" x14ac:dyDescent="0.2">
      <c r="D38" s="1"/>
      <c r="F38" s="1"/>
      <c r="G38" s="1"/>
      <c r="H38" s="1"/>
      <c r="I38" s="1"/>
      <c r="P38" s="19"/>
      <c r="Q38" s="19"/>
      <c r="R38" s="19"/>
      <c r="S38" s="19"/>
      <c r="T38" s="20"/>
    </row>
    <row r="39" spans="1:21" x14ac:dyDescent="0.2">
      <c r="D39" s="1"/>
      <c r="F39" s="1"/>
      <c r="G39" s="1"/>
      <c r="H39" s="1"/>
      <c r="I39" s="1"/>
      <c r="P39" s="19"/>
      <c r="Q39" s="19"/>
      <c r="R39" s="19"/>
      <c r="S39" s="19"/>
      <c r="T39" s="19"/>
    </row>
    <row r="40" spans="1:21" x14ac:dyDescent="0.2">
      <c r="B40" t="s">
        <v>249</v>
      </c>
      <c r="C40" t="s">
        <v>207</v>
      </c>
      <c r="D40" t="s">
        <v>254</v>
      </c>
      <c r="E40" t="s">
        <v>354</v>
      </c>
      <c r="G40" s="1"/>
      <c r="H40" s="1"/>
      <c r="I40" s="1"/>
      <c r="P40" s="1"/>
      <c r="Q40" s="1"/>
      <c r="R40" s="19"/>
      <c r="S40" s="19"/>
      <c r="T40" s="20"/>
    </row>
    <row r="41" spans="1:21" x14ac:dyDescent="0.2">
      <c r="A41" t="s">
        <v>360</v>
      </c>
      <c r="C41" t="s">
        <v>1</v>
      </c>
      <c r="D41" t="s">
        <v>2</v>
      </c>
      <c r="E41" t="s">
        <v>256</v>
      </c>
      <c r="F41" t="s">
        <v>257</v>
      </c>
      <c r="G41" s="1"/>
      <c r="H41" s="1"/>
      <c r="I41" s="1"/>
      <c r="P41" s="1"/>
      <c r="Q41" s="1"/>
      <c r="R41" s="19"/>
      <c r="S41" s="19"/>
      <c r="T41" s="20"/>
    </row>
    <row r="42" spans="1:21" x14ac:dyDescent="0.2">
      <c r="A42" t="s">
        <v>252</v>
      </c>
      <c r="B42">
        <v>252</v>
      </c>
      <c r="C42" s="19">
        <v>-2803.0763999999999</v>
      </c>
      <c r="D42" s="19">
        <f>C42/252</f>
        <v>-11.123319047619047</v>
      </c>
      <c r="E42" s="1">
        <v>-2790.2114999999999</v>
      </c>
      <c r="F42" s="1">
        <f>E42-251*D42</f>
        <v>1.7415809523809003</v>
      </c>
      <c r="G42" s="1">
        <f>19.61079702/7</f>
        <v>2.8015424314285715</v>
      </c>
      <c r="H42" s="1">
        <f>17.510857013/3</f>
        <v>5.8369523376666663</v>
      </c>
      <c r="I42" s="1">
        <f>14.70974987/3</f>
        <v>4.9032499566666665</v>
      </c>
      <c r="J42">
        <v>250459.07800000001</v>
      </c>
      <c r="K42" s="1">
        <f>-2792.5149-E42</f>
        <v>-2.3034000000002379</v>
      </c>
      <c r="L42" s="1"/>
      <c r="M42" s="1"/>
      <c r="N42" s="1"/>
      <c r="P42" s="1"/>
      <c r="Q42" s="1"/>
      <c r="T42" s="20"/>
    </row>
    <row r="43" spans="1:21" x14ac:dyDescent="0.2">
      <c r="A43" t="s">
        <v>263</v>
      </c>
      <c r="B43">
        <v>400</v>
      </c>
      <c r="C43" s="1">
        <v>-2806.8715999999999</v>
      </c>
      <c r="D43" s="19">
        <f>C43/252</f>
        <v>-11.138379365079365</v>
      </c>
      <c r="E43" s="19">
        <v>-2794.0376000000001</v>
      </c>
      <c r="F43" s="1">
        <f>E43-251*D43</f>
        <v>1.6956206349204876</v>
      </c>
      <c r="G43" s="19">
        <f>19.620289616/7</f>
        <v>2.8028985165714286</v>
      </c>
      <c r="H43" s="19">
        <f>17.517877975/3</f>
        <v>5.839292658333334</v>
      </c>
      <c r="I43" s="19">
        <f>14.712992259/3</f>
        <v>4.904330753</v>
      </c>
      <c r="J43">
        <v>444565.125</v>
      </c>
      <c r="P43" s="1"/>
      <c r="Q43" s="19"/>
      <c r="R43" s="19"/>
      <c r="S43" s="19"/>
      <c r="T43" s="19"/>
    </row>
    <row r="44" spans="1:21" x14ac:dyDescent="0.2">
      <c r="A44" t="s">
        <v>251</v>
      </c>
      <c r="B44">
        <v>500</v>
      </c>
      <c r="C44" s="19">
        <v>-2807.2743999999998</v>
      </c>
      <c r="D44" s="19">
        <f>C44/252</f>
        <v>-11.139977777777776</v>
      </c>
      <c r="E44" s="11">
        <v>-2794.4272999999998</v>
      </c>
      <c r="F44" s="1">
        <f>E44-251*D44</f>
        <v>1.7071222222220968</v>
      </c>
      <c r="G44" s="19">
        <f>19.617680584/7</f>
        <v>2.8025257977142854</v>
      </c>
      <c r="H44" s="1">
        <f>17.515535406/3</f>
        <v>5.8385118020000002</v>
      </c>
      <c r="I44" s="1">
        <f>14.711070102/3</f>
        <v>4.9036900340000003</v>
      </c>
      <c r="J44" s="23">
        <v>691200</v>
      </c>
    </row>
    <row r="45" spans="1:21" x14ac:dyDescent="0.2">
      <c r="C45" s="19"/>
      <c r="E45" s="11"/>
      <c r="F45" s="19">
        <f>F44-F28</f>
        <v>5.8341269837001164E-3</v>
      </c>
      <c r="G45" s="1">
        <f>G44-G28</f>
        <v>-7.3072028571452563E-4</v>
      </c>
      <c r="H45" s="1">
        <f>H44-H28</f>
        <v>2.2886463333335882E-3</v>
      </c>
      <c r="I45" s="1">
        <f>I44-I28</f>
        <v>-2.3376756666664278E-3</v>
      </c>
    </row>
    <row r="46" spans="1:21" x14ac:dyDescent="0.2">
      <c r="C46" s="19"/>
      <c r="D46" s="19" t="s">
        <v>358</v>
      </c>
      <c r="E46" s="11"/>
      <c r="F46" s="19"/>
      <c r="G46" s="1"/>
      <c r="H46" s="1"/>
      <c r="I46" s="1"/>
      <c r="J46" s="18" t="s">
        <v>261</v>
      </c>
      <c r="K46" t="s">
        <v>362</v>
      </c>
      <c r="L46" t="s">
        <v>363</v>
      </c>
      <c r="M46" t="s">
        <v>364</v>
      </c>
      <c r="N46" t="s">
        <v>365</v>
      </c>
      <c r="O46" t="s">
        <v>369</v>
      </c>
    </row>
    <row r="47" spans="1:21" x14ac:dyDescent="0.2">
      <c r="A47" t="s">
        <v>356</v>
      </c>
      <c r="B47">
        <v>400</v>
      </c>
      <c r="C47" s="19">
        <v>-2806.9515000000001</v>
      </c>
      <c r="D47" s="19">
        <f>C47/252</f>
        <v>-11.138696428571428</v>
      </c>
      <c r="E47" s="32">
        <v>-2794.1183999999998</v>
      </c>
      <c r="F47" s="1">
        <f>E47-251*D47</f>
        <v>1.6944035714286656</v>
      </c>
      <c r="G47" s="19">
        <f>19.619959297/7</f>
        <v>2.8028513281428573</v>
      </c>
      <c r="H47" s="1">
        <f>17.521440136/3</f>
        <v>5.840480045333333</v>
      </c>
      <c r="I47" s="1">
        <f>14.709732594/3</f>
        <v>4.9032441980000003</v>
      </c>
      <c r="J47" s="36">
        <f>(3600*18)+361478.375</f>
        <v>426278.375</v>
      </c>
      <c r="O47" t="s">
        <v>370</v>
      </c>
    </row>
    <row r="48" spans="1:21" x14ac:dyDescent="0.2">
      <c r="A48" t="s">
        <v>357</v>
      </c>
      <c r="C48" s="19"/>
      <c r="D48" s="19" t="s">
        <v>359</v>
      </c>
      <c r="E48" s="11"/>
      <c r="F48" s="1"/>
      <c r="G48" s="19"/>
      <c r="H48" s="1"/>
      <c r="I48" s="1"/>
      <c r="J48" s="23"/>
    </row>
    <row r="49" spans="1:15" x14ac:dyDescent="0.2">
      <c r="A49" s="10" t="s">
        <v>356</v>
      </c>
      <c r="B49">
        <v>400</v>
      </c>
      <c r="C49" s="19">
        <v>-2806.9701</v>
      </c>
      <c r="D49" s="19">
        <f>C49/252</f>
        <v>-11.138770238095239</v>
      </c>
      <c r="E49" s="32">
        <v>-2794.1329999999998</v>
      </c>
      <c r="F49" s="1">
        <f>E49-251*D49</f>
        <v>1.6983297619049154</v>
      </c>
      <c r="G49" s="19">
        <f>19.627324495/7</f>
        <v>2.8039034992857141</v>
      </c>
      <c r="H49" s="1">
        <f>17.524744322/3</f>
        <v>5.8415814406666664</v>
      </c>
      <c r="I49" s="1">
        <f>14.706315756/3</f>
        <v>4.9021052520000001</v>
      </c>
      <c r="J49" s="18">
        <f>(48)*3600 + 280000</f>
        <v>452800</v>
      </c>
      <c r="K49" s="11">
        <v>-2794.1495</v>
      </c>
      <c r="L49" s="11">
        <f>K49-251*D49</f>
        <v>1.6818297619047371</v>
      </c>
      <c r="N49" s="15">
        <v>-2780.9198000000001</v>
      </c>
      <c r="O49" s="2">
        <f>N49-250*D49</f>
        <v>3.7727595238093272</v>
      </c>
    </row>
    <row r="50" spans="1:15" x14ac:dyDescent="0.2">
      <c r="D50" s="19">
        <f>D44-D28</f>
        <v>-1.1658730158714548E-3</v>
      </c>
      <c r="E50" s="1"/>
      <c r="J50" s="20"/>
      <c r="K50" t="s">
        <v>294</v>
      </c>
    </row>
    <row r="51" spans="1:15" x14ac:dyDescent="0.2">
      <c r="D51" s="18"/>
      <c r="E51" s="19"/>
      <c r="F51" s="19"/>
      <c r="G51" s="1"/>
      <c r="H51" s="1"/>
      <c r="I51" s="1"/>
      <c r="J51" s="20"/>
    </row>
    <row r="52" spans="1:15" x14ac:dyDescent="0.2">
      <c r="A52" t="s">
        <v>274</v>
      </c>
      <c r="B52" t="s">
        <v>1</v>
      </c>
      <c r="C52" t="s">
        <v>197</v>
      </c>
      <c r="D52" s="18" t="s">
        <v>209</v>
      </c>
      <c r="E52" s="19"/>
      <c r="F52" s="19"/>
      <c r="G52" s="1"/>
      <c r="H52" s="1"/>
      <c r="I52" s="1"/>
      <c r="J52" s="20"/>
    </row>
    <row r="53" spans="1:15" x14ac:dyDescent="0.2">
      <c r="A53" t="s">
        <v>272</v>
      </c>
      <c r="B53" s="19">
        <v>-2777.0841</v>
      </c>
      <c r="C53" s="1">
        <f>B53-250*$D$25</f>
        <v>3.8546896825396288</v>
      </c>
      <c r="D53">
        <f>C53-2*$F$25</f>
        <v>0.36200000000053478</v>
      </c>
    </row>
    <row r="54" spans="1:15" x14ac:dyDescent="0.2">
      <c r="A54" t="s">
        <v>273</v>
      </c>
      <c r="B54" s="19">
        <v>-2777.2788</v>
      </c>
      <c r="C54" s="1">
        <f>B54-250*$D$25</f>
        <v>3.6599896825396172</v>
      </c>
      <c r="D54">
        <f>C54-2*$F$25</f>
        <v>0.16730000000052314</v>
      </c>
    </row>
    <row r="56" spans="1:15" x14ac:dyDescent="0.2">
      <c r="A56" t="s">
        <v>279</v>
      </c>
      <c r="B56" t="s">
        <v>1</v>
      </c>
      <c r="C56" t="s">
        <v>197</v>
      </c>
      <c r="D56" s="18" t="s">
        <v>209</v>
      </c>
    </row>
    <row r="57" spans="1:15" x14ac:dyDescent="0.2">
      <c r="A57" t="s">
        <v>280</v>
      </c>
      <c r="B57" s="31">
        <v>-2796.3638999999998</v>
      </c>
      <c r="C57" s="31">
        <f>B57-250*$D$28-$C$7-$C$8</f>
        <v>-1.7217115595234107</v>
      </c>
      <c r="D57" s="31">
        <f>C57-M28-N28</f>
        <v>-4.0453999999999724</v>
      </c>
      <c r="E57" t="s">
        <v>282</v>
      </c>
    </row>
    <row r="58" spans="1:15" x14ac:dyDescent="0.2">
      <c r="A58" t="s">
        <v>280</v>
      </c>
      <c r="B58" s="19">
        <v>-2796.3474000000001</v>
      </c>
      <c r="C58" s="1">
        <f>B58-250*$D$28-$C$7-$C$8</f>
        <v>-1.7052115595236872</v>
      </c>
      <c r="D58" s="1">
        <f>C58-M28-N28</f>
        <v>-4.0289000000002488</v>
      </c>
      <c r="E58" t="s">
        <v>301</v>
      </c>
    </row>
    <row r="59" spans="1:15" x14ac:dyDescent="0.2">
      <c r="A59" t="s">
        <v>281</v>
      </c>
      <c r="B59" s="31">
        <v>-2796.3042</v>
      </c>
      <c r="C59" s="31">
        <f>B59-250*$D$28-$C$7-$C$8</f>
        <v>-1.6620115595236173</v>
      </c>
      <c r="D59" s="31">
        <f>C59-M28-N28</f>
        <v>-3.985700000000179</v>
      </c>
      <c r="E59" t="s">
        <v>319</v>
      </c>
    </row>
    <row r="60" spans="1:15" x14ac:dyDescent="0.2">
      <c r="A60" t="s">
        <v>281</v>
      </c>
      <c r="B60" s="19">
        <v>-2796.3510999999999</v>
      </c>
      <c r="C60" s="1">
        <f>B60-250*$D$28-$C$7-$C$8</f>
        <v>-1.7089115595234405</v>
      </c>
      <c r="D60" s="1">
        <f>C60-M28-N28</f>
        <v>-4.0326000000000022</v>
      </c>
      <c r="E60" t="s">
        <v>301</v>
      </c>
    </row>
    <row r="61" spans="1:15" x14ac:dyDescent="0.2">
      <c r="A61" t="s">
        <v>272</v>
      </c>
      <c r="B61" s="19">
        <v>-2780.8674999999998</v>
      </c>
      <c r="C61" s="1">
        <f>B61-250*$D$28</f>
        <v>3.8354761904765837</v>
      </c>
      <c r="D61">
        <f>C61-2*F28</f>
        <v>0.43289999999979045</v>
      </c>
    </row>
    <row r="62" spans="1:15" x14ac:dyDescent="0.2">
      <c r="A62" t="s">
        <v>273</v>
      </c>
      <c r="B62" s="19">
        <v>-2781.0648999999999</v>
      </c>
      <c r="C62" s="1">
        <f>B62-250*$D$28</f>
        <v>3.6380761904765677</v>
      </c>
      <c r="D62">
        <f>C62-2*F28</f>
        <v>0.23549999999977445</v>
      </c>
    </row>
    <row r="63" spans="1:15" x14ac:dyDescent="0.2">
      <c r="A63" t="s">
        <v>292</v>
      </c>
      <c r="B63" s="19">
        <v>-2786.5419000000002</v>
      </c>
      <c r="C63" s="1">
        <f>B63-250*$D$28-$C$7</f>
        <v>2.8860761904762509</v>
      </c>
      <c r="D63" s="1">
        <f>C63-M28-F28</f>
        <v>-0.92110000000047876</v>
      </c>
    </row>
    <row r="64" spans="1:15" x14ac:dyDescent="0.2">
      <c r="A64" t="s">
        <v>293</v>
      </c>
      <c r="B64" s="19">
        <v>-2786.8006</v>
      </c>
      <c r="C64" s="1">
        <f>B64-250*$D$28-$C$7</f>
        <v>2.6273761904763884</v>
      </c>
      <c r="D64" s="1">
        <f>C64-M28-F28</f>
        <v>-1.1798000000003412</v>
      </c>
      <c r="M64" t="s">
        <v>368</v>
      </c>
    </row>
    <row r="65" spans="1:16" x14ac:dyDescent="0.2">
      <c r="A65" t="s">
        <v>297</v>
      </c>
      <c r="B65" s="19">
        <v>-2788.2238000000002</v>
      </c>
      <c r="C65" s="1">
        <f>B65-250*$D$28-$C$8</f>
        <v>1.6933884404762098</v>
      </c>
      <c r="D65" s="1">
        <f>C65-F28-N28</f>
        <v>-0.22570000000041546</v>
      </c>
      <c r="G65" s="24" t="s">
        <v>284</v>
      </c>
      <c r="H65" s="24" t="s">
        <v>285</v>
      </c>
      <c r="I65" s="24" t="s">
        <v>286</v>
      </c>
      <c r="J65" s="40" t="s">
        <v>373</v>
      </c>
      <c r="N65" t="s">
        <v>197</v>
      </c>
      <c r="O65" t="s">
        <v>349</v>
      </c>
      <c r="P65" t="s">
        <v>350</v>
      </c>
    </row>
    <row r="66" spans="1:16" x14ac:dyDescent="0.2">
      <c r="A66" t="s">
        <v>298</v>
      </c>
      <c r="B66" s="19">
        <v>-2788.2901000000002</v>
      </c>
      <c r="C66" s="1">
        <f>B66-250*$D$28-$C$8</f>
        <v>1.6270884404762542</v>
      </c>
      <c r="D66" s="1">
        <f>C66-F28-N28</f>
        <v>-0.29200000000037107</v>
      </c>
      <c r="G66" s="24" t="s">
        <v>283</v>
      </c>
      <c r="H66" s="24">
        <v>1.7013</v>
      </c>
      <c r="I66" s="24"/>
      <c r="L66">
        <v>1</v>
      </c>
      <c r="M66" t="s">
        <v>328</v>
      </c>
      <c r="N66">
        <v>1.69</v>
      </c>
      <c r="O66">
        <f>L66*$N$66-N66</f>
        <v>0</v>
      </c>
    </row>
    <row r="67" spans="1:16" x14ac:dyDescent="0.2">
      <c r="A67" t="s">
        <v>295</v>
      </c>
      <c r="B67" s="19">
        <v>-2781.3263000000002</v>
      </c>
      <c r="C67" s="1">
        <f>B67-250*$D$28</f>
        <v>3.3766761904762461</v>
      </c>
      <c r="D67">
        <f>C67-2*F42</f>
        <v>-0.10648571428555442</v>
      </c>
      <c r="G67" s="24" t="s">
        <v>67</v>
      </c>
      <c r="H67" s="24">
        <v>2.1059000000000001</v>
      </c>
      <c r="I67" s="24"/>
      <c r="L67">
        <v>2</v>
      </c>
      <c r="M67" t="s">
        <v>329</v>
      </c>
      <c r="N67">
        <v>3.1</v>
      </c>
      <c r="O67">
        <f>L67*$N$66-N67</f>
        <v>0.2799999999999998</v>
      </c>
      <c r="P67">
        <f>(N66+$N$66)-N67</f>
        <v>0.2799999999999998</v>
      </c>
    </row>
    <row r="68" spans="1:16" x14ac:dyDescent="0.2">
      <c r="A68" t="s">
        <v>296</v>
      </c>
      <c r="B68" s="19">
        <v>-2781.0873000000001</v>
      </c>
      <c r="C68" s="1">
        <f>B68-250*$D$28</f>
        <v>3.6156761904762789</v>
      </c>
      <c r="D68">
        <f>C68-2*F43</f>
        <v>0.22443492063530357</v>
      </c>
      <c r="G68" s="24" t="s">
        <v>289</v>
      </c>
      <c r="H68" s="24">
        <v>0.21779999999999999</v>
      </c>
      <c r="I68" s="24"/>
      <c r="L68">
        <v>3</v>
      </c>
      <c r="M68" t="s">
        <v>330</v>
      </c>
      <c r="N68">
        <v>4.4400000000000004</v>
      </c>
      <c r="O68">
        <f t="shared" ref="O68:O86" si="3">L68*$N$66-N68</f>
        <v>0.62999999999999989</v>
      </c>
      <c r="P68">
        <f>(N67+$N$66)-N68</f>
        <v>0.34999999999999964</v>
      </c>
    </row>
    <row r="69" spans="1:16" x14ac:dyDescent="0.2">
      <c r="A69" t="s">
        <v>299</v>
      </c>
      <c r="B69" s="19">
        <v>-2773.4445999999998</v>
      </c>
      <c r="C69" s="1">
        <f t="shared" ref="C69:C74" si="4">B69-249*D$28-C$7</f>
        <v>4.8445642857146591</v>
      </c>
      <c r="D69">
        <f>C69-M$28-2*F$28</f>
        <v>-0.66390000000046712</v>
      </c>
      <c r="G69" s="24" t="s">
        <v>290</v>
      </c>
      <c r="H69" s="24">
        <v>3.835</v>
      </c>
      <c r="I69" s="24"/>
      <c r="J69">
        <f>H69-2*H66</f>
        <v>0.4323999999999999</v>
      </c>
      <c r="L69">
        <v>4</v>
      </c>
      <c r="M69" t="s">
        <v>331</v>
      </c>
      <c r="N69">
        <v>5.78</v>
      </c>
      <c r="O69">
        <f t="shared" si="3"/>
        <v>0.97999999999999954</v>
      </c>
      <c r="P69">
        <f t="shared" ref="P69:P86" si="5">(N68+$N$66)-N69</f>
        <v>0.35000000000000053</v>
      </c>
    </row>
    <row r="70" spans="1:16" x14ac:dyDescent="0.2">
      <c r="A70" t="s">
        <v>302</v>
      </c>
      <c r="B70" s="1">
        <v>-2774.1277</v>
      </c>
      <c r="C70" s="1">
        <f t="shared" si="4"/>
        <v>4.1614642857144641</v>
      </c>
      <c r="D70">
        <f>C70-M$28-2*F$28</f>
        <v>-1.3470000000006621</v>
      </c>
      <c r="G70" s="24" t="s">
        <v>291</v>
      </c>
      <c r="H70" s="25">
        <v>3.6379999999999999</v>
      </c>
      <c r="I70" s="24"/>
      <c r="J70">
        <f>H70-2*H66</f>
        <v>0.23539999999999983</v>
      </c>
      <c r="L70">
        <v>5</v>
      </c>
      <c r="M70" t="s">
        <v>332</v>
      </c>
      <c r="N70">
        <v>7.12</v>
      </c>
      <c r="O70">
        <f t="shared" si="3"/>
        <v>1.3299999999999992</v>
      </c>
      <c r="P70">
        <f t="shared" si="5"/>
        <v>0.35000000000000053</v>
      </c>
    </row>
    <row r="71" spans="1:16" x14ac:dyDescent="0.2">
      <c r="A71" t="s">
        <v>318</v>
      </c>
      <c r="B71" s="19">
        <v>-2773.6136000000001</v>
      </c>
      <c r="C71" s="19">
        <f t="shared" si="4"/>
        <v>4.6755642857143354</v>
      </c>
      <c r="G71" s="26" t="s">
        <v>306</v>
      </c>
      <c r="H71" s="27">
        <v>2.8860761904762509</v>
      </c>
      <c r="I71" s="24"/>
      <c r="J71" s="2">
        <f>H71-H67-H66</f>
        <v>-0.92112380952374928</v>
      </c>
      <c r="L71">
        <v>6</v>
      </c>
      <c r="M71" t="s">
        <v>333</v>
      </c>
      <c r="N71">
        <v>8.4600000000000009</v>
      </c>
      <c r="O71">
        <f t="shared" si="3"/>
        <v>1.6799999999999997</v>
      </c>
      <c r="P71">
        <f t="shared" si="5"/>
        <v>0.34999999999999964</v>
      </c>
    </row>
    <row r="72" spans="1:16" x14ac:dyDescent="0.2">
      <c r="A72" t="s">
        <v>321</v>
      </c>
      <c r="B72" s="19">
        <v>-2774.1293000000001</v>
      </c>
      <c r="C72" s="19">
        <f t="shared" si="4"/>
        <v>4.159864285714411</v>
      </c>
      <c r="D72" s="1"/>
      <c r="G72" s="26" t="s">
        <v>307</v>
      </c>
      <c r="H72" s="27">
        <v>2.6273761904763884</v>
      </c>
      <c r="I72" s="24"/>
      <c r="J72" s="2">
        <f>H72-H67-H66</f>
        <v>-1.1798238095236118</v>
      </c>
      <c r="L72">
        <v>7</v>
      </c>
      <c r="M72" t="s">
        <v>334</v>
      </c>
      <c r="N72">
        <v>9.8000000000000007</v>
      </c>
      <c r="O72">
        <f t="shared" si="3"/>
        <v>2.0299999999999994</v>
      </c>
      <c r="P72">
        <f t="shared" si="5"/>
        <v>0.34999999999999964</v>
      </c>
    </row>
    <row r="73" spans="1:16" x14ac:dyDescent="0.2">
      <c r="A73" t="s">
        <v>322</v>
      </c>
      <c r="B73" s="19">
        <v>-2774.1293999999998</v>
      </c>
      <c r="C73" s="19">
        <f t="shared" si="4"/>
        <v>4.1597642857146635</v>
      </c>
      <c r="G73" s="26" t="s">
        <v>308</v>
      </c>
      <c r="H73" s="27">
        <v>1.6933884404762098</v>
      </c>
      <c r="I73" s="24"/>
      <c r="J73" s="2">
        <f>H73-H68-H66</f>
        <v>-0.22571155952379018</v>
      </c>
      <c r="L73">
        <v>8</v>
      </c>
      <c r="M73" t="s">
        <v>335</v>
      </c>
      <c r="N73">
        <v>11.14</v>
      </c>
      <c r="O73">
        <f t="shared" si="3"/>
        <v>2.379999999999999</v>
      </c>
      <c r="P73">
        <f t="shared" si="5"/>
        <v>0.34999999999999964</v>
      </c>
    </row>
    <row r="74" spans="1:16" x14ac:dyDescent="0.2">
      <c r="A74" t="s">
        <v>300</v>
      </c>
      <c r="B74" s="19">
        <v>-2774.2085000000002</v>
      </c>
      <c r="C74" s="1">
        <f t="shared" si="4"/>
        <v>4.080664285714283</v>
      </c>
      <c r="G74" s="26" t="s">
        <v>309</v>
      </c>
      <c r="H74" s="27">
        <v>1.6270884404762542</v>
      </c>
      <c r="I74" s="24"/>
      <c r="J74" s="2">
        <f>H74-H68-H66</f>
        <v>-0.2920115595237458</v>
      </c>
      <c r="L74">
        <v>9</v>
      </c>
      <c r="M74" t="s">
        <v>336</v>
      </c>
      <c r="N74">
        <v>12.48</v>
      </c>
      <c r="O74">
        <f t="shared" si="3"/>
        <v>2.7299999999999986</v>
      </c>
      <c r="P74">
        <f t="shared" si="5"/>
        <v>0.34999999999999964</v>
      </c>
    </row>
    <row r="75" spans="1:16" x14ac:dyDescent="0.2">
      <c r="A75" t="s">
        <v>303</v>
      </c>
      <c r="B75" s="19">
        <v>-2767.7058000000002</v>
      </c>
      <c r="C75" s="1">
        <f>B75-249*D$28</f>
        <v>5.8583642857142877</v>
      </c>
      <c r="G75" s="26" t="s">
        <v>310</v>
      </c>
      <c r="H75" s="27">
        <v>3.3766761904762461</v>
      </c>
      <c r="I75" s="24"/>
      <c r="L75">
        <v>10</v>
      </c>
      <c r="M75" t="s">
        <v>337</v>
      </c>
      <c r="N75">
        <v>13.82</v>
      </c>
      <c r="O75">
        <f t="shared" si="3"/>
        <v>3.0799999999999983</v>
      </c>
      <c r="P75">
        <f t="shared" si="5"/>
        <v>0.34999999999999964</v>
      </c>
    </row>
    <row r="76" spans="1:16" x14ac:dyDescent="0.2">
      <c r="A76" t="s">
        <v>304</v>
      </c>
      <c r="B76" s="19">
        <v>-2768.011</v>
      </c>
      <c r="C76" s="1">
        <f>B76-249*D$28</f>
        <v>5.5531642857145016</v>
      </c>
      <c r="G76" s="26" t="s">
        <v>311</v>
      </c>
      <c r="H76" s="27">
        <v>3.6156761904762789</v>
      </c>
      <c r="I76" s="24"/>
      <c r="L76">
        <v>11</v>
      </c>
      <c r="M76" t="s">
        <v>338</v>
      </c>
      <c r="N76">
        <v>15.16</v>
      </c>
      <c r="O76">
        <f t="shared" si="3"/>
        <v>3.4299999999999997</v>
      </c>
      <c r="P76">
        <f t="shared" si="5"/>
        <v>0.34999999999999964</v>
      </c>
    </row>
    <row r="77" spans="1:16" x14ac:dyDescent="0.2">
      <c r="A77" t="s">
        <v>305</v>
      </c>
      <c r="B77" s="19">
        <v>-2768.0147999999999</v>
      </c>
      <c r="C77" s="1">
        <f>B77-249*D$28</f>
        <v>5.549364285714546</v>
      </c>
      <c r="G77" s="26" t="s">
        <v>312</v>
      </c>
      <c r="H77" s="27">
        <v>4.1614642857144641</v>
      </c>
      <c r="I77" s="24"/>
      <c r="L77">
        <v>12</v>
      </c>
      <c r="M77" t="s">
        <v>339</v>
      </c>
      <c r="N77">
        <v>15.89</v>
      </c>
      <c r="O77">
        <f t="shared" si="3"/>
        <v>4.3900000000000006</v>
      </c>
      <c r="P77">
        <f t="shared" si="5"/>
        <v>0.96000000000000085</v>
      </c>
    </row>
    <row r="78" spans="1:16" x14ac:dyDescent="0.2">
      <c r="A78" t="s">
        <v>314</v>
      </c>
      <c r="B78" s="19">
        <v>-2786.6426999999999</v>
      </c>
      <c r="C78" s="1">
        <f>B78-B64</f>
        <v>0.15790000000015425</v>
      </c>
      <c r="G78" s="26" t="s">
        <v>313</v>
      </c>
      <c r="H78" s="28">
        <v>4.8449999999999998</v>
      </c>
      <c r="I78" s="24"/>
      <c r="L78">
        <v>13</v>
      </c>
      <c r="M78" t="s">
        <v>340</v>
      </c>
      <c r="N78">
        <v>16.89</v>
      </c>
      <c r="O78">
        <f t="shared" si="3"/>
        <v>5.0799999999999983</v>
      </c>
      <c r="P78">
        <f t="shared" si="5"/>
        <v>0.69000000000000128</v>
      </c>
    </row>
    <row r="79" spans="1:16" x14ac:dyDescent="0.2">
      <c r="A79" t="s">
        <v>317</v>
      </c>
      <c r="B79" s="19">
        <v>-2786.6428999999998</v>
      </c>
      <c r="C79" s="19">
        <f>B79-B64</f>
        <v>0.15770000000020445</v>
      </c>
      <c r="G79" s="24" t="s">
        <v>300</v>
      </c>
      <c r="H79" s="29">
        <v>4.080664285714283</v>
      </c>
      <c r="I79" s="24"/>
      <c r="L79">
        <v>14</v>
      </c>
      <c r="M79" t="s">
        <v>341</v>
      </c>
      <c r="N79">
        <v>17.91</v>
      </c>
      <c r="O79">
        <f t="shared" si="3"/>
        <v>5.75</v>
      </c>
      <c r="P79">
        <f t="shared" si="5"/>
        <v>0.67000000000000171</v>
      </c>
    </row>
    <row r="80" spans="1:16" x14ac:dyDescent="0.2">
      <c r="A80" t="s">
        <v>315</v>
      </c>
      <c r="B80" s="19">
        <v>-2786.5385000000001</v>
      </c>
      <c r="C80" s="19">
        <f>B80-B64</f>
        <v>0.26209999999991851</v>
      </c>
      <c r="G80" s="24" t="s">
        <v>303</v>
      </c>
      <c r="H80" s="29">
        <v>5.8583642857142877</v>
      </c>
      <c r="I80" s="24"/>
      <c r="J80">
        <f>H80-3*H66</f>
        <v>0.75446428571428736</v>
      </c>
      <c r="L80">
        <v>15</v>
      </c>
      <c r="M80" t="s">
        <v>342</v>
      </c>
      <c r="N80">
        <v>19.18</v>
      </c>
      <c r="O80">
        <f t="shared" si="3"/>
        <v>6.1699999999999982</v>
      </c>
      <c r="P80">
        <f t="shared" si="5"/>
        <v>0.42000000000000171</v>
      </c>
    </row>
    <row r="81" spans="1:16" x14ac:dyDescent="0.2">
      <c r="A81" t="s">
        <v>320</v>
      </c>
      <c r="B81" s="1">
        <v>-2774.1266999999998</v>
      </c>
      <c r="C81" s="1">
        <f>B81-B72</f>
        <v>2.6000000002568413E-3</v>
      </c>
      <c r="G81" s="24" t="s">
        <v>304</v>
      </c>
      <c r="H81" s="29">
        <v>5.5531642857145016</v>
      </c>
      <c r="I81" s="24"/>
      <c r="J81">
        <f>H81-3*H66</f>
        <v>0.44926428571450128</v>
      </c>
      <c r="L81">
        <v>16</v>
      </c>
      <c r="M81" t="s">
        <v>343</v>
      </c>
      <c r="N81">
        <v>20.3</v>
      </c>
      <c r="O81">
        <f t="shared" si="3"/>
        <v>6.7399999999999984</v>
      </c>
      <c r="P81">
        <f t="shared" si="5"/>
        <v>0.57000000000000028</v>
      </c>
    </row>
    <row r="82" spans="1:16" x14ac:dyDescent="0.2">
      <c r="G82" s="24" t="s">
        <v>305</v>
      </c>
      <c r="H82" s="29">
        <v>5.549364285714546</v>
      </c>
      <c r="I82" s="24"/>
      <c r="J82">
        <f>H82-3*H66</f>
        <v>0.44546428571454566</v>
      </c>
      <c r="L82">
        <v>17</v>
      </c>
      <c r="M82" t="s">
        <v>344</v>
      </c>
      <c r="N82">
        <v>21.49</v>
      </c>
      <c r="O82">
        <f t="shared" si="3"/>
        <v>7.240000000000002</v>
      </c>
      <c r="P82">
        <f t="shared" si="5"/>
        <v>0.50000000000000355</v>
      </c>
    </row>
    <row r="83" spans="1:16" x14ac:dyDescent="0.2">
      <c r="A83" t="s">
        <v>326</v>
      </c>
      <c r="B83" s="1"/>
      <c r="G83" s="24" t="s">
        <v>287</v>
      </c>
      <c r="H83" s="24"/>
      <c r="I83" s="24">
        <v>0.32900000000000001</v>
      </c>
      <c r="L83">
        <v>18</v>
      </c>
      <c r="M83" t="s">
        <v>345</v>
      </c>
      <c r="N83">
        <v>22.54</v>
      </c>
      <c r="O83">
        <f t="shared" si="3"/>
        <v>7.879999999999999</v>
      </c>
      <c r="P83">
        <f t="shared" si="5"/>
        <v>0.64000000000000057</v>
      </c>
    </row>
    <row r="84" spans="1:16" x14ac:dyDescent="0.2">
      <c r="A84">
        <v>0</v>
      </c>
      <c r="B84" s="19">
        <v>-2773.6136000000001</v>
      </c>
      <c r="C84" s="1">
        <f>B84-B$86</f>
        <v>0.51420000000007349</v>
      </c>
      <c r="G84" s="24" t="s">
        <v>288</v>
      </c>
      <c r="H84" s="24"/>
      <c r="I84" s="25">
        <v>0.30499999999983629</v>
      </c>
      <c r="L84">
        <v>19</v>
      </c>
      <c r="M84" t="s">
        <v>346</v>
      </c>
      <c r="N84">
        <v>23.6</v>
      </c>
      <c r="O84">
        <f t="shared" si="3"/>
        <v>8.509999999999998</v>
      </c>
      <c r="P84">
        <f t="shared" si="5"/>
        <v>0.62999999999999901</v>
      </c>
    </row>
    <row r="85" spans="1:16" x14ac:dyDescent="0.2">
      <c r="A85">
        <v>1</v>
      </c>
      <c r="B85" s="1">
        <v>-2774.1295</v>
      </c>
      <c r="C85" s="1">
        <f>B85-B$86</f>
        <v>-1.6999999998006388E-3</v>
      </c>
      <c r="G85" s="24" t="s">
        <v>323</v>
      </c>
      <c r="H85" s="24"/>
      <c r="I85" s="24">
        <v>0.15770000000020445</v>
      </c>
      <c r="L85">
        <v>20</v>
      </c>
      <c r="M85" t="s">
        <v>347</v>
      </c>
      <c r="N85">
        <v>24.52</v>
      </c>
      <c r="O85">
        <f t="shared" si="3"/>
        <v>9.2799999999999976</v>
      </c>
      <c r="P85">
        <f t="shared" si="5"/>
        <v>0.77000000000000313</v>
      </c>
    </row>
    <row r="86" spans="1:16" x14ac:dyDescent="0.2">
      <c r="A86">
        <v>2</v>
      </c>
      <c r="B86" s="1">
        <v>-2774.1278000000002</v>
      </c>
      <c r="C86" s="1">
        <f>B86-B$86</f>
        <v>0</v>
      </c>
      <c r="G86" s="24" t="s">
        <v>324</v>
      </c>
      <c r="H86" s="24"/>
      <c r="I86" s="24">
        <v>0.26209999999991851</v>
      </c>
      <c r="L86">
        <v>21</v>
      </c>
      <c r="M86" t="s">
        <v>348</v>
      </c>
      <c r="N86">
        <v>25.53</v>
      </c>
      <c r="O86">
        <f t="shared" si="3"/>
        <v>9.9600000000000009</v>
      </c>
      <c r="P86">
        <f t="shared" si="5"/>
        <v>0.67999999999999972</v>
      </c>
    </row>
    <row r="87" spans="1:16" x14ac:dyDescent="0.2">
      <c r="A87">
        <v>3</v>
      </c>
      <c r="B87" s="1">
        <v>-2774.1293999999998</v>
      </c>
      <c r="C87" s="1">
        <f>B87-B$86</f>
        <v>-1.5999999995983671E-3</v>
      </c>
      <c r="G87" s="24" t="s">
        <v>325</v>
      </c>
      <c r="H87" s="24"/>
      <c r="I87" s="24">
        <v>2.6000000002568413E-3</v>
      </c>
    </row>
    <row r="88" spans="1:16" x14ac:dyDescent="0.2">
      <c r="A88">
        <v>0</v>
      </c>
      <c r="B88" s="19">
        <v>-2773.6136000000001</v>
      </c>
      <c r="C88" s="1">
        <f>B88-B$86</f>
        <v>0.51420000000007349</v>
      </c>
    </row>
    <row r="92" spans="1:16" x14ac:dyDescent="0.2">
      <c r="H92" t="s">
        <v>361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O27"/>
  <sheetViews>
    <sheetView tabSelected="1" workbookViewId="0">
      <selection activeCell="D25" sqref="D25"/>
    </sheetView>
  </sheetViews>
  <sheetFormatPr baseColWidth="10" defaultRowHeight="16" x14ac:dyDescent="0.2"/>
  <sheetData>
    <row r="2" spans="1:15" x14ac:dyDescent="0.2">
      <c r="A2" s="48"/>
      <c r="B2" s="48" t="s">
        <v>1</v>
      </c>
      <c r="C2" s="48" t="s">
        <v>2</v>
      </c>
      <c r="D2" s="48" t="s">
        <v>3</v>
      </c>
      <c r="E2" s="48" t="s">
        <v>5</v>
      </c>
      <c r="F2" s="48" t="s">
        <v>37</v>
      </c>
      <c r="G2" s="48" t="s">
        <v>38</v>
      </c>
      <c r="H2" s="48" t="s">
        <v>39</v>
      </c>
      <c r="I2" s="48"/>
      <c r="J2" s="48"/>
    </row>
    <row r="3" spans="1:15" x14ac:dyDescent="0.2">
      <c r="A3" s="48" t="s">
        <v>32</v>
      </c>
      <c r="B3" s="49">
        <v>-18.900134000000001</v>
      </c>
      <c r="C3" s="49">
        <f>B3/4</f>
        <v>-4.7250335000000003</v>
      </c>
      <c r="D3" s="48">
        <v>3.708848283</v>
      </c>
      <c r="E3" s="48">
        <v>11.896914294</v>
      </c>
      <c r="F3" s="48">
        <v>141.72</v>
      </c>
      <c r="G3" s="48">
        <f>F3/4</f>
        <v>35.43</v>
      </c>
      <c r="H3" s="48" t="s">
        <v>40</v>
      </c>
      <c r="I3" s="48"/>
      <c r="J3" s="48"/>
    </row>
    <row r="4" spans="1:15" x14ac:dyDescent="0.2">
      <c r="A4" s="48"/>
      <c r="B4" s="49">
        <v>-18.682762</v>
      </c>
      <c r="C4" s="49">
        <f>B4/4</f>
        <v>-4.6706905000000001</v>
      </c>
      <c r="D4" s="48">
        <v>3.7643225920000001</v>
      </c>
      <c r="E4" s="48">
        <v>11.705889118</v>
      </c>
      <c r="F4" s="48">
        <v>143.65</v>
      </c>
      <c r="G4" s="48">
        <f>F4/4</f>
        <v>35.912500000000001</v>
      </c>
      <c r="H4" s="48" t="s">
        <v>41</v>
      </c>
      <c r="I4" s="48"/>
      <c r="J4" s="48"/>
      <c r="L4" t="s">
        <v>499</v>
      </c>
      <c r="N4" t="s">
        <v>3</v>
      </c>
      <c r="O4" s="44" t="s">
        <v>5</v>
      </c>
    </row>
    <row r="5" spans="1:15" x14ac:dyDescent="0.2">
      <c r="A5" s="48"/>
      <c r="B5" s="49">
        <v>-18.900127999999999</v>
      </c>
      <c r="C5" s="50">
        <f>B5/4</f>
        <v>-4.7250319999999997</v>
      </c>
      <c r="D5" s="48">
        <v>3.708854208</v>
      </c>
      <c r="E5" s="48">
        <v>11.896927478</v>
      </c>
      <c r="F5" s="48">
        <v>141.72999999999999</v>
      </c>
      <c r="G5" s="48">
        <f>F5/4</f>
        <v>35.432499999999997</v>
      </c>
      <c r="H5" s="48" t="s">
        <v>42</v>
      </c>
      <c r="I5" s="48"/>
      <c r="J5" s="48"/>
      <c r="L5" t="s">
        <v>66</v>
      </c>
      <c r="N5">
        <v>3.6579999999999999</v>
      </c>
      <c r="O5">
        <v>11.797000000000001</v>
      </c>
    </row>
    <row r="6" spans="1:15" x14ac:dyDescent="0.2">
      <c r="A6" s="48"/>
      <c r="B6" s="49">
        <v>-18.902062000000001</v>
      </c>
      <c r="C6" s="49">
        <f>B6/4</f>
        <v>-4.7255155000000002</v>
      </c>
      <c r="D6" s="48">
        <v>3.7050944010000002</v>
      </c>
      <c r="E6" s="48">
        <v>11.925841282</v>
      </c>
      <c r="F6" s="48">
        <v>141.78</v>
      </c>
      <c r="G6" s="48">
        <f>F6/4</f>
        <v>35.445</v>
      </c>
      <c r="H6" s="48">
        <v>6618</v>
      </c>
      <c r="I6" s="48" t="s">
        <v>377</v>
      </c>
      <c r="J6" s="48"/>
      <c r="L6" t="s">
        <v>240</v>
      </c>
      <c r="N6">
        <v>3.89</v>
      </c>
    </row>
    <row r="7" spans="1:15" x14ac:dyDescent="0.2">
      <c r="A7" s="48" t="s">
        <v>378</v>
      </c>
      <c r="B7" s="51">
        <v>-18.898021</v>
      </c>
      <c r="C7" s="49">
        <f>B7/4</f>
        <v>-4.72450525</v>
      </c>
      <c r="D7" s="48"/>
      <c r="E7" s="48"/>
      <c r="F7" s="48"/>
      <c r="G7" s="48"/>
      <c r="H7" s="48"/>
      <c r="I7" s="48"/>
      <c r="J7" s="48"/>
      <c r="L7" t="s">
        <v>500</v>
      </c>
      <c r="N7">
        <v>6.4889999999999999</v>
      </c>
    </row>
    <row r="8" spans="1:15" x14ac:dyDescent="0.2">
      <c r="A8" s="48" t="s">
        <v>487</v>
      </c>
      <c r="B8" s="51"/>
      <c r="C8" s="49"/>
      <c r="D8" s="48"/>
      <c r="E8" s="48"/>
      <c r="F8" s="48"/>
      <c r="G8" s="48"/>
      <c r="H8" s="48"/>
      <c r="I8" s="48" t="s">
        <v>488</v>
      </c>
      <c r="J8" s="48"/>
    </row>
    <row r="9" spans="1:15" x14ac:dyDescent="0.2">
      <c r="A9" s="48"/>
      <c r="B9" s="51"/>
      <c r="C9" s="49"/>
      <c r="D9" s="48"/>
      <c r="E9" s="48"/>
      <c r="F9" s="48"/>
      <c r="G9" s="48"/>
      <c r="H9" s="48"/>
      <c r="I9" s="48"/>
      <c r="J9" s="48"/>
    </row>
    <row r="10" spans="1:15" x14ac:dyDescent="0.2">
      <c r="A10" s="48"/>
      <c r="B10" s="51"/>
      <c r="C10" s="49"/>
      <c r="D10" s="48"/>
      <c r="E10" s="48"/>
      <c r="F10" s="48"/>
      <c r="G10" s="48"/>
      <c r="H10" s="48"/>
      <c r="I10" s="48"/>
      <c r="J10" s="48"/>
    </row>
    <row r="11" spans="1:15" x14ac:dyDescent="0.2">
      <c r="A11" s="48" t="s">
        <v>43</v>
      </c>
      <c r="B11" s="49">
        <v>-18.823360999999998</v>
      </c>
      <c r="C11" s="49">
        <f>B11/4</f>
        <v>-4.7058402499999996</v>
      </c>
      <c r="D11" s="48">
        <v>5.2115856760000003</v>
      </c>
      <c r="E11" s="48"/>
      <c r="F11" s="48">
        <v>141.55000000000001</v>
      </c>
      <c r="G11" s="48">
        <f>F11/4</f>
        <v>35.387500000000003</v>
      </c>
      <c r="H11" s="48" t="s">
        <v>44</v>
      </c>
      <c r="I11" s="48"/>
      <c r="J11" s="48"/>
    </row>
    <row r="13" spans="1:15" x14ac:dyDescent="0.2">
      <c r="B13" t="s">
        <v>521</v>
      </c>
    </row>
    <row r="14" spans="1:15" x14ac:dyDescent="0.2">
      <c r="B14" t="s">
        <v>487</v>
      </c>
      <c r="C14" t="s">
        <v>1</v>
      </c>
      <c r="D14" t="s">
        <v>2</v>
      </c>
      <c r="E14" t="s">
        <v>3</v>
      </c>
      <c r="F14" t="s">
        <v>5</v>
      </c>
      <c r="G14" t="s">
        <v>517</v>
      </c>
    </row>
    <row r="15" spans="1:15" x14ac:dyDescent="0.2">
      <c r="B15" t="s">
        <v>522</v>
      </c>
      <c r="C15" s="6">
        <v>-25.781226</v>
      </c>
      <c r="D15" s="6">
        <f>C15/4</f>
        <v>-6.4453065</v>
      </c>
      <c r="E15">
        <v>3.0973757850000001</v>
      </c>
      <c r="F15">
        <v>10.709301419000001</v>
      </c>
      <c r="G15">
        <f>F15*E15*E15*SQRT(3)/2</f>
        <v>88.977371372864098</v>
      </c>
    </row>
    <row r="16" spans="1:15" x14ac:dyDescent="0.2">
      <c r="B16" t="s">
        <v>523</v>
      </c>
      <c r="C16" s="52">
        <v>-25.882321999999998</v>
      </c>
      <c r="D16" s="52">
        <f>C16/4</f>
        <v>-6.4705804999999996</v>
      </c>
      <c r="E16" s="23">
        <v>2.7834202810000002</v>
      </c>
      <c r="F16" s="23">
        <v>11.615744702000001</v>
      </c>
      <c r="G16" s="23">
        <f>F16*E16*E16*SQRT(3)/2</f>
        <v>77.935488990596781</v>
      </c>
    </row>
    <row r="17" spans="2:8" x14ac:dyDescent="0.2">
      <c r="B17" t="s">
        <v>525</v>
      </c>
    </row>
    <row r="18" spans="2:8" x14ac:dyDescent="0.2">
      <c r="B18" t="s">
        <v>524</v>
      </c>
      <c r="C18" t="s">
        <v>1</v>
      </c>
      <c r="D18" t="s">
        <v>2</v>
      </c>
      <c r="E18" t="s">
        <v>3</v>
      </c>
      <c r="F18" t="s">
        <v>5</v>
      </c>
      <c r="G18" t="s">
        <v>517</v>
      </c>
      <c r="H18" t="s">
        <v>527</v>
      </c>
    </row>
    <row r="19" spans="2:8" x14ac:dyDescent="0.2">
      <c r="B19" t="s">
        <v>522</v>
      </c>
      <c r="C19" s="6">
        <v>-25.784155999999999</v>
      </c>
      <c r="D19" s="2">
        <f>C19/4</f>
        <v>-6.4460389999999999</v>
      </c>
      <c r="E19">
        <v>3.102069196</v>
      </c>
      <c r="F19">
        <v>10.679063837999999</v>
      </c>
      <c r="G19">
        <f>F19*E19*E19*SQRT(3)/2</f>
        <v>88.99523959943761</v>
      </c>
      <c r="H19" t="s">
        <v>528</v>
      </c>
    </row>
    <row r="20" spans="2:8" x14ac:dyDescent="0.2">
      <c r="B20" t="s">
        <v>526</v>
      </c>
      <c r="C20" s="52">
        <v>2.6182452000000001</v>
      </c>
      <c r="D20" s="46">
        <f>C20/4</f>
        <v>0.65456130000000001</v>
      </c>
      <c r="E20" s="23">
        <v>3.7710372579999998</v>
      </c>
      <c r="F20" s="23">
        <v>11.983259166</v>
      </c>
      <c r="G20" s="23">
        <f>F20*E20*E20*SQRT(3)/2</f>
        <v>147.57990630843312</v>
      </c>
    </row>
    <row r="21" spans="2:8" x14ac:dyDescent="0.2">
      <c r="B21" t="s">
        <v>523</v>
      </c>
      <c r="C21" s="32">
        <v>-25.983107</v>
      </c>
      <c r="D21" s="20">
        <f>C21/4</f>
        <v>-6.4957767500000001</v>
      </c>
      <c r="E21" s="18">
        <v>2.766037904</v>
      </c>
      <c r="F21" s="18">
        <v>12.403071153000001</v>
      </c>
      <c r="G21" s="18">
        <f>F21*E21*E21*SQRT(3)/2</f>
        <v>82.181889280435584</v>
      </c>
      <c r="H21" t="s">
        <v>528</v>
      </c>
    </row>
    <row r="22" spans="2:8" x14ac:dyDescent="0.2">
      <c r="B22" t="s">
        <v>529</v>
      </c>
      <c r="C22" s="52">
        <v>-25.904980999999999</v>
      </c>
      <c r="D22" s="20">
        <f>C22/4</f>
        <v>-6.4762452499999998</v>
      </c>
    </row>
    <row r="23" spans="2:8" x14ac:dyDescent="0.2">
      <c r="B23" t="s">
        <v>530</v>
      </c>
      <c r="C23" s="6">
        <v>-25.990741</v>
      </c>
      <c r="D23" s="20">
        <f>C23/4</f>
        <v>-6.49768525</v>
      </c>
      <c r="E23" s="18">
        <v>2.763484606</v>
      </c>
      <c r="F23" s="18">
        <v>12.395883639999999</v>
      </c>
      <c r="G23" s="18">
        <f>F23*E23*E23*SQRT(3)/2</f>
        <v>81.982700899138578</v>
      </c>
      <c r="H23" t="s">
        <v>528</v>
      </c>
    </row>
    <row r="26" spans="2:8" x14ac:dyDescent="0.2">
      <c r="B26" t="s">
        <v>140</v>
      </c>
    </row>
    <row r="27" spans="2:8" x14ac:dyDescent="0.2">
      <c r="C27" s="6">
        <v>-18.898021</v>
      </c>
      <c r="D27" s="6">
        <f>C27/4</f>
        <v>-4.72450525</v>
      </c>
      <c r="E27">
        <v>3.7070074829999999</v>
      </c>
      <c r="F27">
        <v>11.902219469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P52"/>
  <sheetViews>
    <sheetView workbookViewId="0">
      <selection activeCell="E20" sqref="E20"/>
    </sheetView>
  </sheetViews>
  <sheetFormatPr baseColWidth="10" defaultRowHeight="16" x14ac:dyDescent="0.2"/>
  <sheetData>
    <row r="2" spans="1:8" x14ac:dyDescent="0.2">
      <c r="B2" t="s">
        <v>1</v>
      </c>
      <c r="C2" t="s">
        <v>65</v>
      </c>
      <c r="D2" t="s">
        <v>3</v>
      </c>
      <c r="E2" t="s">
        <v>4</v>
      </c>
      <c r="F2" t="s">
        <v>5</v>
      </c>
      <c r="G2" t="s">
        <v>38</v>
      </c>
      <c r="H2" t="s">
        <v>39</v>
      </c>
    </row>
    <row r="3" spans="1:8" x14ac:dyDescent="0.2">
      <c r="A3" t="s">
        <v>35</v>
      </c>
      <c r="B3" s="1">
        <v>-890.94497999999999</v>
      </c>
      <c r="C3" s="1">
        <f>B3/80</f>
        <v>-11.13681225</v>
      </c>
      <c r="D3" s="1">
        <f>14.023413389/5</f>
        <v>2.8046826777999998</v>
      </c>
      <c r="E3" s="1">
        <f>11.66805127/2</f>
        <v>5.8340256349999997</v>
      </c>
      <c r="F3" s="1">
        <f>9.816698603/2</f>
        <v>4.9083493015000004</v>
      </c>
      <c r="G3">
        <f>D3*E3*F3/4</f>
        <v>20.078327585043201</v>
      </c>
      <c r="H3" t="s">
        <v>64</v>
      </c>
    </row>
    <row r="4" spans="1:8" x14ac:dyDescent="0.2">
      <c r="A4" t="s">
        <v>71</v>
      </c>
      <c r="B4" s="1">
        <v>-878.01504999999997</v>
      </c>
      <c r="C4" s="1">
        <f>B4-79*C3</f>
        <v>1.7931177500000786</v>
      </c>
      <c r="H4" t="s">
        <v>64</v>
      </c>
    </row>
    <row r="5" spans="1:8" x14ac:dyDescent="0.2">
      <c r="A5" t="s">
        <v>63</v>
      </c>
      <c r="B5" s="1">
        <v>-898.05215999999996</v>
      </c>
      <c r="C5" s="1">
        <f>B5-81*$C$3</f>
        <v>4.029632250000077</v>
      </c>
      <c r="D5">
        <f>14.146448546/5</f>
        <v>2.8292897092000002</v>
      </c>
      <c r="E5">
        <f>11.806923485/2</f>
        <v>5.9034617425000002</v>
      </c>
      <c r="F5">
        <f>9.842263247/2</f>
        <v>4.9211316235</v>
      </c>
      <c r="G5">
        <f>D5*E5*F5/4</f>
        <v>20.548927639428708</v>
      </c>
      <c r="H5" t="s">
        <v>64</v>
      </c>
    </row>
    <row r="6" spans="1:8" x14ac:dyDescent="0.2">
      <c r="A6" t="s">
        <v>72</v>
      </c>
      <c r="B6" s="1">
        <v>-2806.0598</v>
      </c>
      <c r="C6" s="1">
        <f>B6/252</f>
        <v>-11.135157936507936</v>
      </c>
      <c r="D6" s="1">
        <f>19.631620543/7</f>
        <v>2.8045172204285715</v>
      </c>
      <c r="E6" s="1">
        <f>17.507091612/3</f>
        <v>5.8356972039999997</v>
      </c>
      <c r="F6" s="1">
        <f>14.718396006/3</f>
        <v>4.9061320020000005</v>
      </c>
      <c r="G6">
        <f>D6*E6*F6/4</f>
        <v>20.073823361210319</v>
      </c>
      <c r="H6" t="s">
        <v>73</v>
      </c>
    </row>
    <row r="7" spans="1:8" x14ac:dyDescent="0.2">
      <c r="A7" t="s">
        <v>74</v>
      </c>
      <c r="B7" s="1">
        <v>-2793.2489999999998</v>
      </c>
      <c r="C7" s="1">
        <f>B7-251*$C$6</f>
        <v>1.6756420634919778</v>
      </c>
    </row>
    <row r="8" spans="1:8" x14ac:dyDescent="0.2">
      <c r="A8" t="s">
        <v>75</v>
      </c>
      <c r="B8" s="1">
        <v>-2812.8186999999998</v>
      </c>
      <c r="C8" s="11">
        <f>B8-253*$C$6</f>
        <v>4.3762579365079546</v>
      </c>
    </row>
    <row r="9" spans="1:8" x14ac:dyDescent="0.2">
      <c r="B9" s="1"/>
      <c r="C9" s="1"/>
    </row>
    <row r="10" spans="1:8" x14ac:dyDescent="0.2">
      <c r="B10" t="s">
        <v>1</v>
      </c>
      <c r="C10" t="s">
        <v>2</v>
      </c>
      <c r="D10" t="s">
        <v>3</v>
      </c>
      <c r="E10" t="s">
        <v>5</v>
      </c>
      <c r="F10" t="s">
        <v>37</v>
      </c>
      <c r="G10" t="s">
        <v>38</v>
      </c>
      <c r="H10" t="s">
        <v>39</v>
      </c>
    </row>
    <row r="11" spans="1:8" x14ac:dyDescent="0.2">
      <c r="A11" t="s">
        <v>66</v>
      </c>
      <c r="B11" s="8">
        <v>-18.900099999999998</v>
      </c>
      <c r="C11" s="9">
        <v>-4.7249999999999996</v>
      </c>
      <c r="D11" s="10">
        <v>3.708854208</v>
      </c>
      <c r="E11" s="10">
        <v>11.89692748</v>
      </c>
      <c r="F11" s="10">
        <v>141.72999999999999</v>
      </c>
      <c r="G11" s="10">
        <v>35.432499999999997</v>
      </c>
      <c r="H11" s="10" t="s">
        <v>42</v>
      </c>
    </row>
    <row r="13" spans="1:8" x14ac:dyDescent="0.2">
      <c r="A13" t="s">
        <v>68</v>
      </c>
    </row>
    <row r="14" spans="1:8" x14ac:dyDescent="0.2">
      <c r="A14" t="s">
        <v>67</v>
      </c>
      <c r="B14" s="1">
        <v>-882.44492000000002</v>
      </c>
      <c r="C14" s="1">
        <f>B14-79*$C$3-$C$11</f>
        <v>2.0882477500000274</v>
      </c>
      <c r="D14">
        <f>14.094880243/5</f>
        <v>2.8189760486000002</v>
      </c>
      <c r="E14">
        <f>11.691584849/2</f>
        <v>5.8457924244999999</v>
      </c>
      <c r="F14">
        <f>9.828585593/2</f>
        <v>4.9142927964999998</v>
      </c>
      <c r="G14">
        <f>D14*E14*F14/4</f>
        <v>20.245840596626426</v>
      </c>
    </row>
    <row r="15" spans="1:8" x14ac:dyDescent="0.2">
      <c r="A15" t="s">
        <v>69</v>
      </c>
      <c r="B15" s="1">
        <v>-882.39347999999995</v>
      </c>
      <c r="C15" s="1">
        <f>B15-79*$C$3-$C$11</f>
        <v>2.1396877500000979</v>
      </c>
    </row>
    <row r="16" spans="1:8" x14ac:dyDescent="0.2">
      <c r="A16" t="s">
        <v>70</v>
      </c>
      <c r="B16" s="1">
        <v>-889.07449999999994</v>
      </c>
      <c r="C16" s="1">
        <f>B16-80*$C$3-$C$11</f>
        <v>6.5954800000000429</v>
      </c>
      <c r="D16">
        <f>14.297165967/5</f>
        <v>2.8594331934000001</v>
      </c>
      <c r="E16">
        <f>11.804668764/2</f>
        <v>5.9023343820000003</v>
      </c>
      <c r="F16">
        <f>9.858480457/2</f>
        <v>4.9292402285000003</v>
      </c>
      <c r="G16">
        <f>D16*E16*F16/4</f>
        <v>20.798104544419395</v>
      </c>
    </row>
    <row r="17" spans="1:16" x14ac:dyDescent="0.2">
      <c r="K17" t="s">
        <v>87</v>
      </c>
      <c r="L17" t="s">
        <v>82</v>
      </c>
    </row>
    <row r="18" spans="1:16" x14ac:dyDescent="0.2">
      <c r="A18" t="s">
        <v>51</v>
      </c>
      <c r="K18">
        <v>0</v>
      </c>
      <c r="L18" t="s">
        <v>84</v>
      </c>
      <c r="M18" s="1">
        <v>-869.35549000000003</v>
      </c>
      <c r="N18" s="1">
        <f>M18-78*$C$3-$C$11</f>
        <v>4.0408654999999722</v>
      </c>
      <c r="O18" s="1">
        <f t="shared" ref="O18:O25" si="0">N18-N$18</f>
        <v>0</v>
      </c>
    </row>
    <row r="19" spans="1:16" x14ac:dyDescent="0.2">
      <c r="A19" t="s">
        <v>67</v>
      </c>
      <c r="B19" s="13">
        <v>-2797.5772999999999</v>
      </c>
      <c r="C19" s="13">
        <f>B19-251*$C$6-$C$11</f>
        <v>2.0723420634918508</v>
      </c>
      <c r="K19">
        <v>0.125</v>
      </c>
      <c r="L19" t="s">
        <v>97</v>
      </c>
      <c r="M19" s="1">
        <v>-869.99148000000002</v>
      </c>
      <c r="N19" s="1">
        <f t="shared" ref="N19:N26" si="1">M19-78*$C$3-$C$11</f>
        <v>3.4048754999999797</v>
      </c>
      <c r="O19" s="1">
        <f t="shared" si="0"/>
        <v>-0.63598999999999251</v>
      </c>
    </row>
    <row r="20" spans="1:16" x14ac:dyDescent="0.2">
      <c r="A20" t="s">
        <v>70</v>
      </c>
      <c r="B20" s="13">
        <v>-2802.9854999999998</v>
      </c>
      <c r="C20" s="13">
        <f>B20-252*$C$6-$C$11</f>
        <v>7.7993000000002208</v>
      </c>
      <c r="K20">
        <v>0.25</v>
      </c>
      <c r="L20" t="s">
        <v>88</v>
      </c>
      <c r="M20" s="1">
        <v>-870.07475999999997</v>
      </c>
      <c r="N20" s="1">
        <f t="shared" si="1"/>
        <v>3.3215955000000346</v>
      </c>
      <c r="O20" s="1">
        <f t="shared" si="0"/>
        <v>-0.71926999999993768</v>
      </c>
    </row>
    <row r="21" spans="1:16" x14ac:dyDescent="0.2">
      <c r="B21" s="6"/>
      <c r="C21" s="1"/>
      <c r="K21">
        <v>0.375</v>
      </c>
      <c r="L21" t="s">
        <v>98</v>
      </c>
      <c r="M21" s="1">
        <v>-869.84699999999998</v>
      </c>
      <c r="N21" s="1">
        <f t="shared" si="1"/>
        <v>3.5493555000000239</v>
      </c>
      <c r="O21" s="1">
        <f t="shared" si="0"/>
        <v>-0.49150999999994838</v>
      </c>
    </row>
    <row r="22" spans="1:16" x14ac:dyDescent="0.2">
      <c r="B22" s="6"/>
      <c r="C22" s="1"/>
      <c r="K22">
        <v>0.5</v>
      </c>
      <c r="L22" t="s">
        <v>85</v>
      </c>
      <c r="M22" s="1">
        <v>-869.87022999999999</v>
      </c>
      <c r="N22" s="1">
        <f t="shared" si="1"/>
        <v>3.5261255000000116</v>
      </c>
      <c r="O22" s="1">
        <f>N22-N$18</f>
        <v>-0.51473999999996067</v>
      </c>
      <c r="P22" s="1">
        <f>O22-O20</f>
        <v>0.20452999999997701</v>
      </c>
    </row>
    <row r="23" spans="1:16" x14ac:dyDescent="0.2">
      <c r="B23" s="6"/>
      <c r="C23" s="1"/>
      <c r="K23">
        <v>0.625</v>
      </c>
      <c r="L23" t="s">
        <v>98</v>
      </c>
      <c r="M23" s="1">
        <v>-869.84699999999998</v>
      </c>
      <c r="N23" s="1">
        <f t="shared" si="1"/>
        <v>3.5493555000000239</v>
      </c>
      <c r="O23" s="1">
        <f t="shared" si="0"/>
        <v>-0.49150999999994838</v>
      </c>
    </row>
    <row r="24" spans="1:16" x14ac:dyDescent="0.2">
      <c r="B24" s="6"/>
      <c r="C24" s="1"/>
      <c r="K24">
        <v>0.75</v>
      </c>
      <c r="L24" t="s">
        <v>89</v>
      </c>
      <c r="M24" s="1">
        <v>-870.07476999999994</v>
      </c>
      <c r="N24" s="1">
        <f t="shared" si="1"/>
        <v>3.3215855000000598</v>
      </c>
      <c r="O24" s="1">
        <f>N24-N$18</f>
        <v>-0.71927999999991243</v>
      </c>
    </row>
    <row r="25" spans="1:16" x14ac:dyDescent="0.2">
      <c r="B25" s="1" t="s">
        <v>76</v>
      </c>
      <c r="K25">
        <v>0.875</v>
      </c>
      <c r="L25" t="s">
        <v>97</v>
      </c>
      <c r="M25" s="1">
        <v>-869.99148000000002</v>
      </c>
      <c r="N25" s="1">
        <f t="shared" si="1"/>
        <v>3.4048754999999797</v>
      </c>
      <c r="O25" s="1">
        <f t="shared" si="0"/>
        <v>-0.63598999999999251</v>
      </c>
    </row>
    <row r="26" spans="1:16" x14ac:dyDescent="0.2">
      <c r="B26" t="s">
        <v>51</v>
      </c>
      <c r="C26" t="s">
        <v>112</v>
      </c>
      <c r="D26" t="s">
        <v>82</v>
      </c>
      <c r="F26" t="s">
        <v>113</v>
      </c>
      <c r="H26" s="14"/>
      <c r="I26" s="17" t="s">
        <v>114</v>
      </c>
      <c r="K26">
        <v>1</v>
      </c>
      <c r="L26" t="s">
        <v>86</v>
      </c>
      <c r="M26" s="1">
        <v>-869.35544000000004</v>
      </c>
      <c r="N26" s="1">
        <f t="shared" si="1"/>
        <v>4.0409154999999597</v>
      </c>
      <c r="O26" s="1">
        <f>N26-N$18</f>
        <v>4.9999999987448973E-5</v>
      </c>
    </row>
    <row r="27" spans="1:16" x14ac:dyDescent="0.2">
      <c r="C27">
        <v>0</v>
      </c>
      <c r="D27" t="s">
        <v>78</v>
      </c>
      <c r="E27" s="2">
        <v>-2784.5077000000001</v>
      </c>
      <c r="F27" s="1">
        <f>E27-250*$C$6-$C$11</f>
        <v>4.0067841269838933</v>
      </c>
      <c r="H27" s="16">
        <v>-2785.9566</v>
      </c>
      <c r="I27" s="13">
        <f>H27-250*$C$6-$C$11</f>
        <v>2.5578841269840265</v>
      </c>
    </row>
    <row r="28" spans="1:16" x14ac:dyDescent="0.2">
      <c r="C28">
        <v>0.5</v>
      </c>
      <c r="D28" t="s">
        <v>109</v>
      </c>
      <c r="E28" s="2">
        <v>-2785.0554999999999</v>
      </c>
      <c r="F28" s="1">
        <f>E28-250*$C$6-$C$11</f>
        <v>3.4589841269840687</v>
      </c>
      <c r="G28" s="1">
        <f>F28-F27</f>
        <v>-0.54779999999982465</v>
      </c>
      <c r="H28" s="16">
        <v>-2785.9607999999998</v>
      </c>
      <c r="I28" s="13">
        <f>H28-250*$C$6-$C$11</f>
        <v>2.5536841269841712</v>
      </c>
      <c r="J28" s="1">
        <f>I28-I27</f>
        <v>-4.1999999998552084E-3</v>
      </c>
      <c r="K28">
        <v>0</v>
      </c>
      <c r="L28" t="s">
        <v>95</v>
      </c>
      <c r="M28" s="1">
        <v>-870.71414000000004</v>
      </c>
      <c r="N28" s="1">
        <f>M28-78*$C$3-$C$11</f>
        <v>2.6822154999999608</v>
      </c>
      <c r="O28" s="1">
        <f>N28-N$28</f>
        <v>0</v>
      </c>
      <c r="P28" t="s">
        <v>100</v>
      </c>
    </row>
    <row r="29" spans="1:16" x14ac:dyDescent="0.2">
      <c r="C29">
        <v>1</v>
      </c>
      <c r="D29" t="s">
        <v>107</v>
      </c>
      <c r="E29" s="2">
        <v>-2784.4567999999999</v>
      </c>
      <c r="F29" s="1">
        <f>E29-250*$C$6-$C$11</f>
        <v>4.0576841269840767</v>
      </c>
      <c r="H29" s="15">
        <v>-2785.8588</v>
      </c>
      <c r="I29" s="12">
        <f>H29-250*$C$6-$C$11</f>
        <v>2.655684126984033</v>
      </c>
      <c r="K29">
        <v>0.5</v>
      </c>
      <c r="L29" t="s">
        <v>96</v>
      </c>
      <c r="M29" s="1">
        <v>-870.54097999999999</v>
      </c>
      <c r="N29" s="1">
        <f>M29-78*$C$3-$C$11</f>
        <v>2.8553755000000134</v>
      </c>
      <c r="O29" s="1">
        <f>N29-N$28</f>
        <v>0.17316000000005261</v>
      </c>
    </row>
    <row r="30" spans="1:16" x14ac:dyDescent="0.2">
      <c r="E30" s="2"/>
      <c r="H30" s="15"/>
      <c r="I30" s="14"/>
      <c r="K30">
        <v>0.125</v>
      </c>
      <c r="L30" t="s">
        <v>101</v>
      </c>
      <c r="M30" s="1">
        <v>-870.70789000000002</v>
      </c>
      <c r="N30" s="1">
        <f>M30-78*$C$3-$C$11</f>
        <v>2.6884654999999835</v>
      </c>
      <c r="O30" s="1"/>
    </row>
    <row r="31" spans="1:16" x14ac:dyDescent="0.2">
      <c r="C31" t="s">
        <v>112</v>
      </c>
      <c r="D31" t="s">
        <v>81</v>
      </c>
      <c r="E31" s="2"/>
      <c r="F31" t="s">
        <v>113</v>
      </c>
      <c r="H31" s="15"/>
      <c r="I31" s="14" t="s">
        <v>114</v>
      </c>
      <c r="K31">
        <v>0.375</v>
      </c>
      <c r="L31" t="s">
        <v>102</v>
      </c>
      <c r="M31" s="1">
        <v>-870.70075999999995</v>
      </c>
      <c r="N31" s="1">
        <f>M31-78*$C$3-$C$11</f>
        <v>2.6955955000000582</v>
      </c>
      <c r="O31" s="1"/>
    </row>
    <row r="32" spans="1:16" x14ac:dyDescent="0.2">
      <c r="C32">
        <v>0</v>
      </c>
      <c r="D32" t="s">
        <v>79</v>
      </c>
      <c r="E32" s="2">
        <v>-2784.2249000000002</v>
      </c>
      <c r="F32" s="1">
        <f>E32-250*$C$6-$C$11</f>
        <v>4.2895841269838453</v>
      </c>
      <c r="H32" s="16">
        <v>-2785.7102</v>
      </c>
      <c r="I32" s="13">
        <f>H32-250*$C$6-$C$11</f>
        <v>2.8042841269840206</v>
      </c>
      <c r="M32" s="1"/>
      <c r="N32" s="1"/>
      <c r="O32" s="1"/>
    </row>
    <row r="33" spans="2:16" x14ac:dyDescent="0.2">
      <c r="C33">
        <v>0.5</v>
      </c>
      <c r="D33" t="s">
        <v>110</v>
      </c>
      <c r="E33" s="2">
        <v>-2784.8031999999998</v>
      </c>
      <c r="F33" s="1">
        <f>E33-250*$C$6-$C$11</f>
        <v>3.7112841269841734</v>
      </c>
      <c r="G33" s="1">
        <f>F33-F32</f>
        <v>-0.57829999999967185</v>
      </c>
      <c r="H33" s="16">
        <v>-2785.6822000000002</v>
      </c>
      <c r="I33" s="13">
        <f>H33-250*$C$6-$C$11</f>
        <v>2.8322841269838133</v>
      </c>
      <c r="J33" s="1">
        <f>I33-I32</f>
        <v>2.7999999999792635E-2</v>
      </c>
    </row>
    <row r="34" spans="2:16" x14ac:dyDescent="0.2">
      <c r="C34">
        <v>1</v>
      </c>
      <c r="D34" t="s">
        <v>111</v>
      </c>
      <c r="E34" s="2">
        <v>-2784.2208999999998</v>
      </c>
      <c r="F34" s="1">
        <f>E34-250*$C$6-$C$11</f>
        <v>4.2935841269842054</v>
      </c>
      <c r="H34" s="15">
        <v>-2784.9416999999999</v>
      </c>
      <c r="I34" s="12">
        <f>H34-250*$C$6-$C$11</f>
        <v>3.5727841269841516</v>
      </c>
      <c r="K34" t="s">
        <v>87</v>
      </c>
      <c r="L34" t="s">
        <v>81</v>
      </c>
    </row>
    <row r="35" spans="2:16" x14ac:dyDescent="0.2">
      <c r="K35">
        <v>0</v>
      </c>
      <c r="M35" s="1">
        <v>-869.07371999999998</v>
      </c>
      <c r="N35" s="1">
        <f>M35-78*$C$3-$C$11</f>
        <v>4.3226355000000236</v>
      </c>
      <c r="O35" s="1">
        <f>N35-N$43</f>
        <v>0</v>
      </c>
    </row>
    <row r="36" spans="2:16" x14ac:dyDescent="0.2">
      <c r="K36">
        <v>0.125</v>
      </c>
      <c r="L36" t="s">
        <v>105</v>
      </c>
      <c r="M36" s="1">
        <v>-869.41891999999996</v>
      </c>
      <c r="N36" s="1">
        <f>M36-78*$C$3-$C$11</f>
        <v>3.9774355000000465</v>
      </c>
      <c r="O36" s="1">
        <f t="shared" ref="O36:O43" si="2">N36-N$43</f>
        <v>-0.34519999999997708</v>
      </c>
    </row>
    <row r="37" spans="2:16" x14ac:dyDescent="0.2">
      <c r="K37">
        <v>0.25</v>
      </c>
      <c r="L37" t="s">
        <v>94</v>
      </c>
      <c r="M37" s="1">
        <v>-869.52851999999996</v>
      </c>
      <c r="N37" s="1">
        <f t="shared" ref="N37:N46" si="3">M37-78*$C$3-$C$11</f>
        <v>3.8678355000000462</v>
      </c>
      <c r="O37" s="1">
        <f t="shared" si="2"/>
        <v>-0.45479999999997744</v>
      </c>
    </row>
    <row r="38" spans="2:16" x14ac:dyDescent="0.2">
      <c r="K38">
        <v>0.375</v>
      </c>
      <c r="L38" t="s">
        <v>106</v>
      </c>
      <c r="M38" s="1">
        <v>-869.59856000000002</v>
      </c>
      <c r="N38" s="1">
        <f>M38-78*$C$3-$C$11</f>
        <v>3.7977954999999834</v>
      </c>
      <c r="O38" s="1">
        <f t="shared" si="2"/>
        <v>-0.52484000000004016</v>
      </c>
    </row>
    <row r="39" spans="2:16" x14ac:dyDescent="0.2">
      <c r="B39" t="s">
        <v>136</v>
      </c>
      <c r="K39">
        <v>0.5</v>
      </c>
      <c r="L39" t="s">
        <v>91</v>
      </c>
      <c r="M39" s="1">
        <v>-869.64097000000004</v>
      </c>
      <c r="N39" s="1">
        <f t="shared" si="3"/>
        <v>3.7553854999999654</v>
      </c>
      <c r="O39" s="7">
        <f>N39-N$43</f>
        <v>-0.56725000000005821</v>
      </c>
    </row>
    <row r="40" spans="2:16" x14ac:dyDescent="0.2">
      <c r="B40" t="s">
        <v>87</v>
      </c>
      <c r="K40">
        <v>0.625</v>
      </c>
      <c r="L40" t="s">
        <v>106</v>
      </c>
      <c r="M40" s="1">
        <v>-869.59856000000002</v>
      </c>
      <c r="N40" s="1">
        <f>M40-78*$C$3-$C$11</f>
        <v>3.7977954999999834</v>
      </c>
      <c r="O40" s="1">
        <f t="shared" si="2"/>
        <v>-0.52484000000004016</v>
      </c>
    </row>
    <row r="41" spans="2:16" x14ac:dyDescent="0.2">
      <c r="B41" t="s">
        <v>137</v>
      </c>
      <c r="C41" s="20">
        <v>-856.31344999999999</v>
      </c>
      <c r="D41" s="1">
        <f>C41-77*$C$3-$C$11</f>
        <v>5.9460932500000805</v>
      </c>
      <c r="E41" s="1">
        <f>D41-$D$41</f>
        <v>0</v>
      </c>
      <c r="F41">
        <v>0.1</v>
      </c>
      <c r="K41">
        <v>0.75</v>
      </c>
      <c r="L41" t="s">
        <v>94</v>
      </c>
      <c r="M41" s="1">
        <v>-869.52851999999996</v>
      </c>
      <c r="N41" s="1">
        <f t="shared" si="3"/>
        <v>3.8678355000000462</v>
      </c>
      <c r="O41" s="1">
        <f t="shared" si="2"/>
        <v>-0.45479999999997744</v>
      </c>
    </row>
    <row r="42" spans="2:16" x14ac:dyDescent="0.2">
      <c r="B42" t="s">
        <v>138</v>
      </c>
      <c r="C42" s="20">
        <v>-856.30913999999996</v>
      </c>
      <c r="D42" s="1">
        <f t="shared" ref="D42:D50" si="4">C42-77*$C$3-$C$11</f>
        <v>5.9504032500001127</v>
      </c>
      <c r="E42" s="1">
        <f t="shared" ref="E42:E50" si="5">D42-$D$41</f>
        <v>4.3100000000322325E-3</v>
      </c>
      <c r="F42">
        <v>0.12</v>
      </c>
      <c r="K42">
        <v>0.875</v>
      </c>
      <c r="L42" t="s">
        <v>105</v>
      </c>
      <c r="M42" s="1">
        <v>-869.41891999999996</v>
      </c>
      <c r="N42" s="1">
        <f>M42-78*$C$3-$C$11</f>
        <v>3.9774355000000465</v>
      </c>
      <c r="O42" s="1">
        <f t="shared" si="2"/>
        <v>-0.34519999999997708</v>
      </c>
    </row>
    <row r="43" spans="2:16" x14ac:dyDescent="0.2">
      <c r="B43" t="s">
        <v>139</v>
      </c>
      <c r="C43" s="20">
        <v>-856.32311000000004</v>
      </c>
      <c r="D43" s="1">
        <f t="shared" si="4"/>
        <v>5.936433250000027</v>
      </c>
      <c r="E43" s="1">
        <f t="shared" si="5"/>
        <v>-9.6600000000535147E-3</v>
      </c>
      <c r="F43">
        <v>0.14000000000000001</v>
      </c>
      <c r="K43">
        <v>1</v>
      </c>
      <c r="L43" t="s">
        <v>92</v>
      </c>
      <c r="M43" s="1">
        <v>-869.07371999999998</v>
      </c>
      <c r="N43" s="1">
        <f t="shared" si="3"/>
        <v>4.3226355000000236</v>
      </c>
      <c r="O43" s="1">
        <f t="shared" si="2"/>
        <v>0</v>
      </c>
    </row>
    <row r="44" spans="2:16" x14ac:dyDescent="0.2">
      <c r="B44" t="s">
        <v>140</v>
      </c>
      <c r="C44" s="20">
        <v>-856.37590999999998</v>
      </c>
      <c r="D44" s="1">
        <f t="shared" si="4"/>
        <v>5.8836332500000932</v>
      </c>
      <c r="E44" s="1">
        <f t="shared" si="5"/>
        <v>-6.2459999999987303E-2</v>
      </c>
      <c r="F44">
        <v>0.16</v>
      </c>
      <c r="M44" s="1"/>
      <c r="N44" s="1"/>
      <c r="O44" s="1"/>
    </row>
    <row r="45" spans="2:16" x14ac:dyDescent="0.2">
      <c r="B45" t="s">
        <v>141</v>
      </c>
      <c r="C45" s="20">
        <v>-856.45277999999996</v>
      </c>
      <c r="D45" s="1">
        <f t="shared" si="4"/>
        <v>5.8067632500001078</v>
      </c>
      <c r="E45" s="1">
        <f t="shared" si="5"/>
        <v>-0.13932999999997264</v>
      </c>
      <c r="F45">
        <v>0.18</v>
      </c>
      <c r="L45" t="s">
        <v>103</v>
      </c>
      <c r="M45" s="1">
        <v>-870.36812999999995</v>
      </c>
      <c r="N45" s="1">
        <f t="shared" si="3"/>
        <v>3.0282255000000529</v>
      </c>
      <c r="O45" s="1">
        <f>N45-N46</f>
        <v>6.0000000075888238E-5</v>
      </c>
    </row>
    <row r="46" spans="2:16" x14ac:dyDescent="0.2">
      <c r="B46" t="s">
        <v>142</v>
      </c>
      <c r="C46" s="20">
        <v>-856.49492999999995</v>
      </c>
      <c r="D46" s="1">
        <f t="shared" si="4"/>
        <v>5.7646132500001155</v>
      </c>
      <c r="E46" s="1">
        <f t="shared" si="5"/>
        <v>-0.181479999999965</v>
      </c>
      <c r="F46">
        <v>0.2</v>
      </c>
      <c r="G46" s="7">
        <f>E42-E46</f>
        <v>0.18578999999999724</v>
      </c>
      <c r="L46" t="s">
        <v>104</v>
      </c>
      <c r="M46" s="13">
        <v>-870.36819000000003</v>
      </c>
      <c r="N46" s="13">
        <f t="shared" si="3"/>
        <v>3.028165499999977</v>
      </c>
      <c r="O46" s="1"/>
      <c r="P46" t="s">
        <v>100</v>
      </c>
    </row>
    <row r="47" spans="2:16" x14ac:dyDescent="0.2">
      <c r="B47" t="s">
        <v>143</v>
      </c>
      <c r="C47" s="20">
        <v>-856.45272999999997</v>
      </c>
      <c r="D47" s="1">
        <f t="shared" si="4"/>
        <v>5.8068132500000953</v>
      </c>
      <c r="E47" s="1">
        <f t="shared" si="5"/>
        <v>-0.13927999999998519</v>
      </c>
      <c r="F47">
        <v>0.22</v>
      </c>
    </row>
    <row r="48" spans="2:16" x14ac:dyDescent="0.2">
      <c r="B48" t="s">
        <v>140</v>
      </c>
      <c r="C48" s="20">
        <v>-856.37590999999998</v>
      </c>
      <c r="D48" s="1">
        <f t="shared" si="4"/>
        <v>5.8836332500000932</v>
      </c>
      <c r="E48" s="1">
        <f t="shared" si="5"/>
        <v>-6.2459999999987303E-2</v>
      </c>
      <c r="F48">
        <v>0.24</v>
      </c>
    </row>
    <row r="49" spans="2:6" x14ac:dyDescent="0.2">
      <c r="B49" t="s">
        <v>139</v>
      </c>
      <c r="C49" s="20">
        <v>-856.32311000000004</v>
      </c>
      <c r="D49" s="1">
        <f t="shared" si="4"/>
        <v>5.936433250000027</v>
      </c>
      <c r="E49" s="1">
        <f t="shared" si="5"/>
        <v>-9.6600000000535147E-3</v>
      </c>
      <c r="F49">
        <v>0.26</v>
      </c>
    </row>
    <row r="50" spans="2:6" x14ac:dyDescent="0.2">
      <c r="B50" t="s">
        <v>138</v>
      </c>
      <c r="C50" s="20">
        <v>-856.30913999999996</v>
      </c>
      <c r="D50" s="1">
        <f t="shared" si="4"/>
        <v>5.9504032500001127</v>
      </c>
      <c r="E50" s="1">
        <f t="shared" si="5"/>
        <v>4.3100000000322325E-3</v>
      </c>
      <c r="F50">
        <v>0.28000000000000003</v>
      </c>
    </row>
    <row r="51" spans="2:6" x14ac:dyDescent="0.2">
      <c r="B51" t="s">
        <v>137</v>
      </c>
      <c r="C51" s="20">
        <v>-856.31344999999999</v>
      </c>
      <c r="D51" s="1">
        <f>C51-77*$C$3-$C$11</f>
        <v>5.9460932500000805</v>
      </c>
      <c r="E51" s="1">
        <f>D51-$D$41</f>
        <v>0</v>
      </c>
      <c r="F51">
        <v>0.3</v>
      </c>
    </row>
    <row r="52" spans="2:6" x14ac:dyDescent="0.2">
      <c r="C52" s="2"/>
      <c r="D52" s="1"/>
      <c r="E52" s="1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97"/>
  <sheetViews>
    <sheetView workbookViewId="0">
      <selection activeCell="M4" sqref="M4"/>
    </sheetView>
  </sheetViews>
  <sheetFormatPr baseColWidth="10" defaultRowHeight="16" x14ac:dyDescent="0.2"/>
  <cols>
    <col min="3" max="3" width="11.1640625" bestFit="1" customWidth="1"/>
  </cols>
  <sheetData>
    <row r="1" spans="1:19" x14ac:dyDescent="0.2">
      <c r="B1" t="s">
        <v>374</v>
      </c>
    </row>
    <row r="2" spans="1:19" x14ac:dyDescent="0.2">
      <c r="D2" s="1"/>
      <c r="E2" t="s">
        <v>367</v>
      </c>
      <c r="F2" t="s">
        <v>3</v>
      </c>
      <c r="G2" t="s">
        <v>4</v>
      </c>
      <c r="H2" t="s">
        <v>5</v>
      </c>
      <c r="I2" t="s">
        <v>6</v>
      </c>
      <c r="L2" t="s">
        <v>1</v>
      </c>
      <c r="M2" t="s">
        <v>2</v>
      </c>
      <c r="N2" t="s">
        <v>3</v>
      </c>
      <c r="O2" t="s">
        <v>5</v>
      </c>
      <c r="P2" t="s">
        <v>37</v>
      </c>
      <c r="Q2" t="s">
        <v>38</v>
      </c>
      <c r="R2" t="s">
        <v>39</v>
      </c>
    </row>
    <row r="3" spans="1:19" x14ac:dyDescent="0.2">
      <c r="A3" t="s">
        <v>327</v>
      </c>
      <c r="C3">
        <v>400</v>
      </c>
      <c r="D3" s="19">
        <v>-2806.8319999999999</v>
      </c>
      <c r="E3" s="19">
        <f>D3/252</f>
        <v>-11.138222222222222</v>
      </c>
      <c r="F3" s="1">
        <f>19.615210533/7</f>
        <v>2.8021729332857142</v>
      </c>
      <c r="G3" s="1">
        <f>17.542232755/3</f>
        <v>5.8474109183333338</v>
      </c>
      <c r="H3" s="1">
        <f>14.694539575/3</f>
        <v>4.8981798583333331</v>
      </c>
      <c r="I3">
        <v>9.8000000000000004E-2</v>
      </c>
      <c r="K3" t="s">
        <v>490</v>
      </c>
      <c r="L3" s="8">
        <v>-18.898021</v>
      </c>
      <c r="M3" s="8">
        <f>L3/4</f>
        <v>-4.72450525</v>
      </c>
      <c r="N3" s="45">
        <v>3.7070283910000001</v>
      </c>
      <c r="O3" s="45">
        <v>11.902219469</v>
      </c>
      <c r="P3" s="10">
        <v>141.65</v>
      </c>
      <c r="Q3" s="10">
        <f>P3/4</f>
        <v>35.412500000000001</v>
      </c>
      <c r="R3" s="10" t="s">
        <v>42</v>
      </c>
    </row>
    <row r="4" spans="1:19" x14ac:dyDescent="0.2">
      <c r="D4" s="19"/>
      <c r="K4" t="s">
        <v>240</v>
      </c>
      <c r="L4" s="1">
        <v>-20.868545000000001</v>
      </c>
      <c r="M4" s="9">
        <f>L4/4</f>
        <v>-5.2171362500000003</v>
      </c>
      <c r="N4" s="2">
        <v>3.937945595</v>
      </c>
      <c r="O4" s="2"/>
      <c r="P4">
        <v>61.07</v>
      </c>
      <c r="Q4">
        <f>P4/4</f>
        <v>15.2675</v>
      </c>
      <c r="R4" t="s">
        <v>60</v>
      </c>
    </row>
    <row r="5" spans="1:19" x14ac:dyDescent="0.2">
      <c r="D5" s="19" t="s">
        <v>197</v>
      </c>
      <c r="E5" t="s">
        <v>209</v>
      </c>
      <c r="K5" t="s">
        <v>489</v>
      </c>
      <c r="L5" s="1">
        <v>-30.534264</v>
      </c>
      <c r="M5" s="9">
        <f>L5/4</f>
        <v>-7.6335660000000001</v>
      </c>
      <c r="N5" s="2">
        <v>3.5720864840000002</v>
      </c>
      <c r="O5" s="2">
        <v>11.485322161999999</v>
      </c>
      <c r="P5">
        <v>126.92</v>
      </c>
      <c r="Q5">
        <f>P5/4</f>
        <v>31.73</v>
      </c>
      <c r="S5">
        <f>O5/N5/2</f>
        <v>1.6076489487929204</v>
      </c>
    </row>
    <row r="6" spans="1:19" x14ac:dyDescent="0.2">
      <c r="B6" t="s">
        <v>422</v>
      </c>
      <c r="C6" s="19">
        <v>-2813.7714999999998</v>
      </c>
      <c r="D6" s="20">
        <f>C6-253*E3</f>
        <v>4.1987222222223863</v>
      </c>
      <c r="K6" t="s">
        <v>491</v>
      </c>
      <c r="L6" s="1">
        <v>-30.597470000000001</v>
      </c>
      <c r="M6" s="7">
        <f>L6/4</f>
        <v>-7.6493675000000003</v>
      </c>
      <c r="N6" s="2">
        <v>5.0681828209999997</v>
      </c>
      <c r="O6" s="2">
        <v>5.0681828209999997</v>
      </c>
      <c r="P6">
        <v>130.18</v>
      </c>
      <c r="Q6">
        <f>P6/4</f>
        <v>32.545000000000002</v>
      </c>
    </row>
    <row r="7" spans="1:19" x14ac:dyDescent="0.2">
      <c r="B7" t="s">
        <v>375</v>
      </c>
      <c r="C7" s="19">
        <v>-2794.0196000000001</v>
      </c>
      <c r="D7" s="2">
        <f>C7-251*E3</f>
        <v>1.6741777777774587</v>
      </c>
      <c r="H7" s="6"/>
      <c r="I7" s="2"/>
      <c r="K7" t="s">
        <v>492</v>
      </c>
      <c r="L7" s="1">
        <v>-18.823360999999998</v>
      </c>
      <c r="M7" s="19">
        <f>L7/4</f>
        <v>-4.7058402499999996</v>
      </c>
      <c r="N7" s="2">
        <v>5.2115856760000003</v>
      </c>
      <c r="O7" s="2">
        <v>5.2115856779999996</v>
      </c>
      <c r="P7">
        <v>141.55000000000001</v>
      </c>
      <c r="Q7">
        <f>P7/4</f>
        <v>35.387500000000003</v>
      </c>
    </row>
    <row r="8" spans="1:19" x14ac:dyDescent="0.2">
      <c r="B8" t="s">
        <v>272</v>
      </c>
      <c r="C8" s="19">
        <v>-2780.7411000000002</v>
      </c>
      <c r="D8" s="2">
        <f t="shared" ref="D8:D13" si="0">C8-250*$E$3</f>
        <v>3.8144555555554689</v>
      </c>
      <c r="E8" s="2">
        <f t="shared" ref="E8:E13" si="1">D8-2*D$7</f>
        <v>0.46610000000055152</v>
      </c>
      <c r="H8" s="6"/>
      <c r="I8" s="2"/>
      <c r="M8" s="44"/>
      <c r="N8" s="2"/>
      <c r="O8" s="2"/>
    </row>
    <row r="9" spans="1:19" x14ac:dyDescent="0.2">
      <c r="B9" t="s">
        <v>273</v>
      </c>
      <c r="C9" s="19">
        <v>-2780.9324999999999</v>
      </c>
      <c r="D9" s="2">
        <f t="shared" si="0"/>
        <v>3.6230555555557657</v>
      </c>
      <c r="E9" s="2">
        <f t="shared" si="1"/>
        <v>0.27470000000084838</v>
      </c>
      <c r="K9" t="s">
        <v>496</v>
      </c>
      <c r="L9" s="1">
        <v>-15.073152</v>
      </c>
      <c r="M9" s="1">
        <f>L9/4</f>
        <v>-3.7682880000000001</v>
      </c>
      <c r="N9" s="2">
        <v>4.8070777969999998</v>
      </c>
      <c r="O9" s="2">
        <v>4.8070777969999998</v>
      </c>
      <c r="P9">
        <v>111.08</v>
      </c>
      <c r="Q9">
        <f>P9/4</f>
        <v>27.77</v>
      </c>
    </row>
    <row r="10" spans="1:19" x14ac:dyDescent="0.2">
      <c r="B10" t="s">
        <v>376</v>
      </c>
      <c r="C10" s="19">
        <v>-2781.26</v>
      </c>
      <c r="D10" s="2">
        <f t="shared" si="0"/>
        <v>3.2955555555554383</v>
      </c>
      <c r="E10" s="2">
        <f t="shared" si="1"/>
        <v>-5.2799999999479041E-2</v>
      </c>
      <c r="K10" t="s">
        <v>497</v>
      </c>
      <c r="L10" s="7">
        <v>-30.489234</v>
      </c>
      <c r="M10" s="7">
        <f>L10/8</f>
        <v>-3.81115425</v>
      </c>
      <c r="N10" s="2">
        <v>6.6329602019999996</v>
      </c>
      <c r="O10" s="2">
        <v>6.6329602019999996</v>
      </c>
      <c r="P10">
        <v>291.82</v>
      </c>
      <c r="Q10">
        <f>P10/8</f>
        <v>36.477499999999999</v>
      </c>
    </row>
    <row r="11" spans="1:19" x14ac:dyDescent="0.2">
      <c r="B11" t="s">
        <v>393</v>
      </c>
      <c r="C11" s="19">
        <v>-2781.1318000000001</v>
      </c>
      <c r="D11" s="2">
        <f t="shared" si="0"/>
        <v>3.4237555555555446</v>
      </c>
      <c r="E11" s="2">
        <f t="shared" si="1"/>
        <v>7.5400000000627188E-2</v>
      </c>
      <c r="K11" t="s">
        <v>498</v>
      </c>
      <c r="L11" s="1">
        <v>-3.5538305000000001</v>
      </c>
      <c r="M11" s="1">
        <f>L11</f>
        <v>-3.5538305000000001</v>
      </c>
    </row>
    <row r="12" spans="1:19" x14ac:dyDescent="0.2">
      <c r="B12" t="s">
        <v>394</v>
      </c>
      <c r="C12" s="19">
        <v>-2780.741</v>
      </c>
      <c r="D12" s="20">
        <f t="shared" si="0"/>
        <v>3.8145555555556712</v>
      </c>
      <c r="E12" s="20">
        <f t="shared" si="1"/>
        <v>0.46620000000075379</v>
      </c>
    </row>
    <row r="13" spans="1:19" x14ac:dyDescent="0.2">
      <c r="B13" t="s">
        <v>395</v>
      </c>
      <c r="C13" s="19">
        <v>-2781.2102</v>
      </c>
      <c r="D13" s="20">
        <f t="shared" si="0"/>
        <v>3.3453555555556704</v>
      </c>
      <c r="E13" s="20">
        <f t="shared" si="1"/>
        <v>-2.9999999992469384E-3</v>
      </c>
      <c r="K13" t="s">
        <v>512</v>
      </c>
      <c r="L13" s="20">
        <v>-23.711925000000001</v>
      </c>
      <c r="M13" s="20">
        <f>L13/4</f>
        <v>-5.9279812500000002</v>
      </c>
      <c r="N13" s="20">
        <v>4.7051217630000002</v>
      </c>
      <c r="O13" s="18"/>
      <c r="P13" s="18">
        <v>104.16</v>
      </c>
      <c r="Q13" s="18">
        <f>P13/4</f>
        <v>26.04</v>
      </c>
    </row>
    <row r="14" spans="1:19" x14ac:dyDescent="0.2">
      <c r="B14" t="s">
        <v>379</v>
      </c>
      <c r="C14" s="19">
        <v>-2802.3560000000002</v>
      </c>
      <c r="D14" s="20">
        <f>C14-251*$E$3-M26</f>
        <v>-0.20597222222268119</v>
      </c>
      <c r="E14" s="2"/>
    </row>
    <row r="15" spans="1:19" x14ac:dyDescent="0.2">
      <c r="B15" t="s">
        <v>381</v>
      </c>
      <c r="C15" s="19">
        <v>-2789.4987000000001</v>
      </c>
      <c r="D15" s="20">
        <f>C15-250*E$3-M$26</f>
        <v>1.5131055555555575</v>
      </c>
      <c r="E15" s="20">
        <f>D15-D$14-$D$7</f>
        <v>4.4900000000779983E-2</v>
      </c>
    </row>
    <row r="16" spans="1:19" x14ac:dyDescent="0.2">
      <c r="B16" t="s">
        <v>382</v>
      </c>
      <c r="C16" s="19">
        <v>-2789.5925000000002</v>
      </c>
      <c r="D16" s="20">
        <f>C16-250*E$3-M$26</f>
        <v>1.4193055555554563</v>
      </c>
      <c r="E16" s="20">
        <f>D16-D$14-$D$7</f>
        <v>-4.8899999999321153E-2</v>
      </c>
      <c r="L16" t="s">
        <v>140</v>
      </c>
    </row>
    <row r="17" spans="2:17" x14ac:dyDescent="0.2">
      <c r="B17" t="s">
        <v>405</v>
      </c>
      <c r="C17" s="19">
        <v>-2789.5844999999999</v>
      </c>
      <c r="D17" s="20">
        <f>C17-250*E$3-M$26</f>
        <v>1.4273055555557219</v>
      </c>
      <c r="E17" s="20">
        <f>D17-D$14-$D$7</f>
        <v>-4.0899999999055581E-2</v>
      </c>
      <c r="L17" t="s">
        <v>379</v>
      </c>
      <c r="M17">
        <v>-2798.3368999999998</v>
      </c>
      <c r="N17" s="20">
        <f>M17-251*$E$3-M3</f>
        <v>2.0813830277777541</v>
      </c>
    </row>
    <row r="18" spans="2:17" x14ac:dyDescent="0.2">
      <c r="B18" t="s">
        <v>383</v>
      </c>
      <c r="C18" s="19">
        <v>-2800.7188000000001</v>
      </c>
      <c r="D18" s="20">
        <f>C18-251*E$3-M$4</f>
        <v>0.19211402777744002</v>
      </c>
      <c r="E18" s="2"/>
      <c r="L18" t="s">
        <v>381</v>
      </c>
      <c r="M18">
        <v>-2786.4223999999999</v>
      </c>
      <c r="N18" s="19">
        <f>M18-250*E$3-M$3</f>
        <v>2.8576608055557315</v>
      </c>
      <c r="O18" s="2">
        <f>N18-$N$17-$D$7</f>
        <v>-0.89789999999948122</v>
      </c>
    </row>
    <row r="19" spans="2:17" x14ac:dyDescent="0.2">
      <c r="B19" t="s">
        <v>384</v>
      </c>
      <c r="C19" s="19">
        <v>-2788.1057000000001</v>
      </c>
      <c r="D19" s="20">
        <f>C19-250*$E$3-$M$4</f>
        <v>1.666991805555587</v>
      </c>
      <c r="E19" s="20">
        <f>D19-D$18-D$7</f>
        <v>-0.19929999999931169</v>
      </c>
      <c r="L19" t="s">
        <v>382</v>
      </c>
      <c r="M19">
        <v>-2786.6713</v>
      </c>
      <c r="N19" s="19">
        <f>M19-250*E$3-M$3</f>
        <v>2.6087608055556828</v>
      </c>
      <c r="O19" s="2">
        <f>N19-$N$17-$D$7</f>
        <v>-1.14679999999953</v>
      </c>
    </row>
    <row r="20" spans="2:17" x14ac:dyDescent="0.2">
      <c r="B20" t="s">
        <v>385</v>
      </c>
      <c r="C20" s="19">
        <v>-2788.1810999999998</v>
      </c>
      <c r="D20" s="20">
        <f>C20-250*$E$3-$M$4</f>
        <v>1.5915918055558693</v>
      </c>
      <c r="E20" s="20">
        <f>D20-D$18-D$7</f>
        <v>-0.27469999999902939</v>
      </c>
      <c r="L20" t="s">
        <v>405</v>
      </c>
      <c r="M20">
        <v>-2785.7109999999998</v>
      </c>
      <c r="N20" s="19">
        <f>M20-250*E$3-M$3</f>
        <v>3.5690608055558712</v>
      </c>
      <c r="O20" s="2">
        <f>N20-$N$17-$D$7</f>
        <v>-0.18649999999934153</v>
      </c>
    </row>
    <row r="21" spans="2:17" x14ac:dyDescent="0.2">
      <c r="B21" t="s">
        <v>406</v>
      </c>
      <c r="C21" s="19">
        <v>-2787.9546</v>
      </c>
      <c r="D21" s="20">
        <f>C21-250*$E$3-$M$4</f>
        <v>1.8180918055556292</v>
      </c>
      <c r="E21" s="20">
        <f>D21-D$18-D$7</f>
        <v>-4.8199999999269494E-2</v>
      </c>
    </row>
    <row r="22" spans="2:17" x14ac:dyDescent="0.2">
      <c r="B22" t="s">
        <v>281</v>
      </c>
      <c r="C22" s="19">
        <v>-2796.2444999999998</v>
      </c>
      <c r="D22" s="20">
        <f t="shared" ref="D22:D28" si="2">C22-250*$E$3-$M$26-$M$4</f>
        <v>-1.5558194444132312E-2</v>
      </c>
      <c r="E22" s="20">
        <f t="shared" ref="E22:E28" si="3">D22-D$18-D$14</f>
        <v>-1.6999999988911441E-3</v>
      </c>
      <c r="K22" s="6" t="s">
        <v>489</v>
      </c>
      <c r="L22" t="s">
        <v>1</v>
      </c>
      <c r="M22" t="s">
        <v>2</v>
      </c>
      <c r="N22" t="s">
        <v>3</v>
      </c>
      <c r="O22" t="s">
        <v>5</v>
      </c>
      <c r="P22" t="s">
        <v>517</v>
      </c>
      <c r="Q22" t="s">
        <v>518</v>
      </c>
    </row>
    <row r="23" spans="2:17" x14ac:dyDescent="0.2">
      <c r="B23" t="s">
        <v>280</v>
      </c>
      <c r="C23" s="19">
        <v>-2796.2669000000001</v>
      </c>
      <c r="D23" s="20">
        <f t="shared" si="2"/>
        <v>-3.7958194444421167E-2</v>
      </c>
      <c r="E23" s="20">
        <f t="shared" si="3"/>
        <v>-2.409999999918E-2</v>
      </c>
      <c r="J23" t="s">
        <v>513</v>
      </c>
      <c r="K23" t="s">
        <v>515</v>
      </c>
      <c r="L23" s="32">
        <v>-25.882321999999998</v>
      </c>
      <c r="M23" s="19">
        <f>L23/4</f>
        <v>-6.4705804999999996</v>
      </c>
      <c r="N23">
        <v>2.7834202810000002</v>
      </c>
      <c r="O23">
        <v>11.615744702000001</v>
      </c>
      <c r="P23">
        <v>77.930000000000007</v>
      </c>
      <c r="Q23">
        <f>P23/4</f>
        <v>19.482500000000002</v>
      </c>
    </row>
    <row r="24" spans="2:17" x14ac:dyDescent="0.2">
      <c r="B24" t="s">
        <v>493</v>
      </c>
      <c r="C24" s="19">
        <v>-2796.2622999999999</v>
      </c>
      <c r="D24" s="20">
        <f t="shared" si="2"/>
        <v>-3.335819444421162E-2</v>
      </c>
      <c r="E24" s="20">
        <f>D24-D$18-D$14</f>
        <v>-1.9499999998970452E-2</v>
      </c>
      <c r="G24" t="s">
        <v>507</v>
      </c>
      <c r="J24" t="s">
        <v>520</v>
      </c>
      <c r="K24" t="s">
        <v>519</v>
      </c>
      <c r="L24" s="6">
        <v>-30.487316</v>
      </c>
      <c r="M24" s="19">
        <f>L24/4</f>
        <v>-7.621829</v>
      </c>
      <c r="N24">
        <v>4.9276286320000002</v>
      </c>
      <c r="P24">
        <v>119.64</v>
      </c>
      <c r="Q24">
        <f>P24/4</f>
        <v>29.91</v>
      </c>
    </row>
    <row r="25" spans="2:17" x14ac:dyDescent="0.2">
      <c r="B25" t="s">
        <v>482</v>
      </c>
      <c r="C25" s="19">
        <v>-2796.2139000000002</v>
      </c>
      <c r="D25" s="20">
        <f t="shared" si="2"/>
        <v>1.5041805555462417E-2</v>
      </c>
      <c r="E25" s="20">
        <f t="shared" si="3"/>
        <v>2.8900000000703585E-2</v>
      </c>
      <c r="J25" t="s">
        <v>514</v>
      </c>
      <c r="K25" t="s">
        <v>516</v>
      </c>
      <c r="L25" s="6">
        <v>-25.772659000000001</v>
      </c>
      <c r="M25" s="19">
        <f>L25/4</f>
        <v>-6.4431647500000002</v>
      </c>
      <c r="N25">
        <v>3.043541968</v>
      </c>
      <c r="O25">
        <v>10.872571699</v>
      </c>
      <c r="P25">
        <v>87.21</v>
      </c>
      <c r="Q25">
        <f>P25/4</f>
        <v>21.802499999999998</v>
      </c>
    </row>
    <row r="26" spans="2:17" x14ac:dyDescent="0.2">
      <c r="B26" t="s">
        <v>483</v>
      </c>
      <c r="C26" s="19">
        <v>-2796.1460000000002</v>
      </c>
      <c r="D26" s="20">
        <f t="shared" si="2"/>
        <v>8.2941805555471149E-2</v>
      </c>
      <c r="E26" s="20">
        <f t="shared" si="3"/>
        <v>9.6800000000712316E-2</v>
      </c>
      <c r="K26" s="30" t="s">
        <v>519</v>
      </c>
      <c r="L26" s="47">
        <v>-25.824999999999999</v>
      </c>
      <c r="M26" s="7">
        <f>L26/4</f>
        <v>-6.4562499999999998</v>
      </c>
      <c r="N26" s="30">
        <v>4.4741354380000002</v>
      </c>
      <c r="O26" s="30"/>
      <c r="P26" s="30">
        <v>89.56</v>
      </c>
      <c r="Q26" s="30">
        <f>P26/4</f>
        <v>22.39</v>
      </c>
    </row>
    <row r="27" spans="2:17" x14ac:dyDescent="0.2">
      <c r="B27" t="s">
        <v>484</v>
      </c>
      <c r="C27" s="19">
        <v>-2796.2040000000002</v>
      </c>
      <c r="D27" s="20">
        <f t="shared" si="2"/>
        <v>2.4941805555478425E-2</v>
      </c>
      <c r="E27" s="20">
        <f>D27-D$18-D$14</f>
        <v>3.8800000000719592E-2</v>
      </c>
      <c r="K27" t="s">
        <v>531</v>
      </c>
      <c r="L27" s="6">
        <v>-25.990741</v>
      </c>
      <c r="M27" s="20">
        <f>L27/4</f>
        <v>-6.49768525</v>
      </c>
      <c r="N27" s="18">
        <v>2.763484606</v>
      </c>
      <c r="O27" s="18">
        <v>12.395883639999999</v>
      </c>
      <c r="P27" s="18">
        <f>O27*N27*N27*SQRT(3)/2</f>
        <v>81.982700899138578</v>
      </c>
    </row>
    <row r="28" spans="2:17" x14ac:dyDescent="0.2">
      <c r="B28" t="s">
        <v>485</v>
      </c>
      <c r="C28" s="19">
        <v>-2796.1997000000001</v>
      </c>
      <c r="D28" s="20">
        <f t="shared" si="2"/>
        <v>2.9241805555535905E-2</v>
      </c>
      <c r="E28" s="20">
        <f t="shared" si="3"/>
        <v>4.3100000000777072E-2</v>
      </c>
    </row>
    <row r="29" spans="2:17" x14ac:dyDescent="0.2">
      <c r="B29" t="s">
        <v>494</v>
      </c>
      <c r="C29" s="19">
        <v>-2800.3591000000001</v>
      </c>
      <c r="D29" s="20"/>
      <c r="E29" s="20"/>
    </row>
    <row r="30" spans="2:17" x14ac:dyDescent="0.2">
      <c r="B30" t="s">
        <v>495</v>
      </c>
      <c r="C30" s="12">
        <v>-2798.7752999999998</v>
      </c>
      <c r="D30" s="20">
        <f>C30-251*E$3-M$10</f>
        <v>0.7296320277777526</v>
      </c>
      <c r="E30" s="20"/>
      <c r="K30" t="s">
        <v>499</v>
      </c>
      <c r="M30" t="s">
        <v>3</v>
      </c>
      <c r="N30" s="44" t="s">
        <v>5</v>
      </c>
    </row>
    <row r="31" spans="2:17" x14ac:dyDescent="0.2">
      <c r="B31" t="s">
        <v>501</v>
      </c>
      <c r="C31" s="12">
        <v>-2794.3463999999999</v>
      </c>
      <c r="D31" s="20">
        <f>C31-250*$E$3-$M$26-$M$10</f>
        <v>0.47655980555575317</v>
      </c>
      <c r="E31" s="20">
        <f>D31-D30-D14</f>
        <v>-4.7099999999318243E-2</v>
      </c>
      <c r="K31" t="s">
        <v>66</v>
      </c>
      <c r="M31">
        <v>3.6579999999999999</v>
      </c>
      <c r="N31">
        <v>11.797000000000001</v>
      </c>
    </row>
    <row r="32" spans="2:17" x14ac:dyDescent="0.2">
      <c r="B32" t="s">
        <v>502</v>
      </c>
      <c r="C32" s="12">
        <v>-2794.3728000000001</v>
      </c>
      <c r="D32" s="20">
        <f>C32-250*$E$3-$M$26-$M$10</f>
        <v>0.4501598055555589</v>
      </c>
      <c r="E32" s="20">
        <f>D32-D30-D14</f>
        <v>-7.3499999999512511E-2</v>
      </c>
      <c r="K32" t="s">
        <v>240</v>
      </c>
      <c r="M32">
        <v>3.89</v>
      </c>
    </row>
    <row r="33" spans="2:13" x14ac:dyDescent="0.2">
      <c r="B33" t="s">
        <v>508</v>
      </c>
      <c r="C33" s="12">
        <v>-2809.7361999999998</v>
      </c>
      <c r="D33" s="20">
        <f>C33-252*$E$3-$M$26</f>
        <v>3.5520500000000537</v>
      </c>
      <c r="E33" s="19"/>
      <c r="K33" t="s">
        <v>500</v>
      </c>
      <c r="M33">
        <v>6.4889999999999999</v>
      </c>
    </row>
    <row r="34" spans="2:13" x14ac:dyDescent="0.2">
      <c r="B34" t="s">
        <v>509</v>
      </c>
      <c r="C34" s="12">
        <v>-2808.6163999999999</v>
      </c>
      <c r="D34" s="20">
        <f>C34-252*$E$3-$M$4</f>
        <v>3.4327362499999952</v>
      </c>
      <c r="E34" s="19"/>
    </row>
    <row r="35" spans="2:13" x14ac:dyDescent="0.2">
      <c r="B35" t="s">
        <v>510</v>
      </c>
      <c r="C35" s="12">
        <v>-2805.9760999999999</v>
      </c>
      <c r="D35" s="20">
        <f>C35-252*$E$3-$M$10</f>
        <v>4.6670542500000192</v>
      </c>
    </row>
    <row r="36" spans="2:13" x14ac:dyDescent="0.2">
      <c r="J36" t="s">
        <v>380</v>
      </c>
    </row>
    <row r="37" spans="2:13" x14ac:dyDescent="0.2">
      <c r="B37" t="s">
        <v>196</v>
      </c>
      <c r="C37" s="19">
        <v>-2793.6822999999999</v>
      </c>
      <c r="D37" s="20">
        <f>C37-C7</f>
        <v>0.33730000000014115</v>
      </c>
      <c r="E37" s="19"/>
      <c r="J37" t="s">
        <v>503</v>
      </c>
    </row>
    <row r="38" spans="2:13" x14ac:dyDescent="0.2">
      <c r="B38" t="s">
        <v>199</v>
      </c>
      <c r="C38" s="19">
        <v>-2793.6903000000002</v>
      </c>
      <c r="D38" s="20">
        <f>C38-C7</f>
        <v>0.32929999999987558</v>
      </c>
      <c r="E38" s="19"/>
      <c r="J38" t="s">
        <v>396</v>
      </c>
    </row>
    <row r="39" spans="2:13" x14ac:dyDescent="0.2">
      <c r="C39" s="12"/>
      <c r="D39" s="19"/>
      <c r="E39" s="19"/>
      <c r="J39" t="s">
        <v>391</v>
      </c>
    </row>
    <row r="40" spans="2:13" x14ac:dyDescent="0.2">
      <c r="B40" t="s">
        <v>504</v>
      </c>
      <c r="C40" s="19">
        <v>-2783.6190000000001</v>
      </c>
      <c r="D40" s="19">
        <f>C40-C42</f>
        <v>0.11449999999967986</v>
      </c>
      <c r="E40" s="19"/>
      <c r="J40" t="s">
        <v>392</v>
      </c>
    </row>
    <row r="41" spans="2:13" x14ac:dyDescent="0.2">
      <c r="B41" t="s">
        <v>505</v>
      </c>
      <c r="C41" s="12">
        <v>-2783.2701999999999</v>
      </c>
      <c r="D41" s="19">
        <f>C41-249*E3-M4-M26</f>
        <v>1.820519583333386</v>
      </c>
      <c r="E41" s="19">
        <f>D41-D18-D14-D7</f>
        <v>0.16020000000116852</v>
      </c>
    </row>
    <row r="42" spans="2:13" x14ac:dyDescent="0.2">
      <c r="B42" t="s">
        <v>506</v>
      </c>
      <c r="C42" s="19">
        <v>-2783.7334999999998</v>
      </c>
      <c r="D42" s="19">
        <f>C42-249*E3-M4-M26</f>
        <v>1.3572195833334959</v>
      </c>
      <c r="E42" s="19">
        <f>D42-D18-D14-D7</f>
        <v>-0.30309999999872161</v>
      </c>
    </row>
    <row r="43" spans="2:13" x14ac:dyDescent="0.2">
      <c r="B43" t="s">
        <v>511</v>
      </c>
      <c r="C43" s="19">
        <v>-2789.3741</v>
      </c>
      <c r="D43" s="19">
        <f>C43-$C$15</f>
        <v>0.12460000000010041</v>
      </c>
      <c r="E43" s="19"/>
    </row>
    <row r="44" spans="2:13" x14ac:dyDescent="0.2">
      <c r="C44" s="19"/>
      <c r="D44" s="19"/>
      <c r="E44" s="19"/>
    </row>
    <row r="45" spans="2:13" x14ac:dyDescent="0.2">
      <c r="B45" t="s">
        <v>532</v>
      </c>
      <c r="C45" s="19">
        <v>-2803.4047</v>
      </c>
      <c r="D45" s="19"/>
      <c r="E45" s="19"/>
    </row>
    <row r="46" spans="2:13" x14ac:dyDescent="0.2">
      <c r="B46" t="s">
        <v>533</v>
      </c>
      <c r="C46" s="12"/>
      <c r="D46" s="19"/>
      <c r="E46" s="19"/>
    </row>
    <row r="47" spans="2:13" x14ac:dyDescent="0.2">
      <c r="C47" s="19"/>
      <c r="D47" s="19"/>
      <c r="E47" s="19"/>
    </row>
    <row r="48" spans="2:13" x14ac:dyDescent="0.2">
      <c r="B48" t="s">
        <v>386</v>
      </c>
      <c r="D48" t="s">
        <v>397</v>
      </c>
    </row>
    <row r="49" spans="2:16" x14ac:dyDescent="0.2">
      <c r="B49" t="s">
        <v>387</v>
      </c>
      <c r="C49" s="20">
        <v>-1510.9468999999999</v>
      </c>
      <c r="D49" s="20">
        <f t="shared" ref="D49:D54" si="4">C49-C$7</f>
        <v>1283.0727000000002</v>
      </c>
      <c r="I49" t="s">
        <v>402</v>
      </c>
    </row>
    <row r="50" spans="2:16" x14ac:dyDescent="0.2">
      <c r="B50" t="s">
        <v>398</v>
      </c>
      <c r="C50" s="20">
        <v>-2465.3969000000002</v>
      </c>
      <c r="D50" s="20">
        <f t="shared" si="4"/>
        <v>328.6226999999999</v>
      </c>
      <c r="F50" t="s">
        <v>399</v>
      </c>
      <c r="I50" t="s">
        <v>410</v>
      </c>
    </row>
    <row r="51" spans="2:16" x14ac:dyDescent="0.2">
      <c r="B51" t="s">
        <v>400</v>
      </c>
      <c r="C51" s="20">
        <v>-2793.7035999999998</v>
      </c>
      <c r="D51" s="20">
        <f t="shared" si="4"/>
        <v>0.3160000000002583</v>
      </c>
      <c r="F51" t="s">
        <v>401</v>
      </c>
      <c r="I51" t="s">
        <v>409</v>
      </c>
    </row>
    <row r="52" spans="2:16" x14ac:dyDescent="0.2">
      <c r="B52" t="s">
        <v>403</v>
      </c>
      <c r="C52" s="20">
        <v>4777.5730999999996</v>
      </c>
      <c r="D52" s="20">
        <f t="shared" si="4"/>
        <v>7571.5926999999992</v>
      </c>
      <c r="F52" t="s">
        <v>404</v>
      </c>
      <c r="I52" t="s">
        <v>410</v>
      </c>
    </row>
    <row r="53" spans="2:16" x14ac:dyDescent="0.2">
      <c r="B53" t="s">
        <v>407</v>
      </c>
      <c r="C53" s="20">
        <v>2976.7745</v>
      </c>
      <c r="D53" s="20">
        <f t="shared" si="4"/>
        <v>5770.7941000000001</v>
      </c>
      <c r="F53" t="s">
        <v>408</v>
      </c>
      <c r="I53" t="s">
        <v>410</v>
      </c>
    </row>
    <row r="54" spans="2:16" x14ac:dyDescent="0.2">
      <c r="B54" t="s">
        <v>407</v>
      </c>
      <c r="C54" s="20">
        <v>4324.5968000000003</v>
      </c>
      <c r="D54" s="20">
        <f t="shared" si="4"/>
        <v>7118.6164000000008</v>
      </c>
      <c r="F54" t="s">
        <v>411</v>
      </c>
      <c r="I54" t="s">
        <v>417</v>
      </c>
    </row>
    <row r="55" spans="2:16" x14ac:dyDescent="0.2">
      <c r="B55" t="s">
        <v>412</v>
      </c>
      <c r="C55" s="20">
        <v>-2453.5097000000001</v>
      </c>
      <c r="D55" s="20">
        <f t="shared" ref="D55:D63" si="5">C55-C$7</f>
        <v>340.50990000000002</v>
      </c>
      <c r="F55" t="s">
        <v>414</v>
      </c>
      <c r="I55" t="s">
        <v>419</v>
      </c>
    </row>
    <row r="56" spans="2:16" x14ac:dyDescent="0.2">
      <c r="B56" t="s">
        <v>413</v>
      </c>
      <c r="C56" s="20">
        <v>10270.585999999999</v>
      </c>
      <c r="D56" s="20">
        <f t="shared" si="5"/>
        <v>13064.605599999999</v>
      </c>
      <c r="F56" t="s">
        <v>415</v>
      </c>
      <c r="I56" t="s">
        <v>419</v>
      </c>
    </row>
    <row r="57" spans="2:16" x14ac:dyDescent="0.2">
      <c r="B57" t="s">
        <v>416</v>
      </c>
      <c r="C57" s="20">
        <v>1010.259</v>
      </c>
      <c r="D57" s="20">
        <f t="shared" si="5"/>
        <v>3804.2786000000001</v>
      </c>
      <c r="F57" t="s">
        <v>418</v>
      </c>
      <c r="I57" t="s">
        <v>424</v>
      </c>
    </row>
    <row r="58" spans="2:16" x14ac:dyDescent="0.2">
      <c r="B58" t="s">
        <v>425</v>
      </c>
      <c r="C58" s="20">
        <v>-2549.2689</v>
      </c>
      <c r="D58" s="20">
        <f t="shared" si="5"/>
        <v>244.75070000000005</v>
      </c>
      <c r="F58" t="s">
        <v>427</v>
      </c>
    </row>
    <row r="59" spans="2:16" x14ac:dyDescent="0.2">
      <c r="B59" t="s">
        <v>428</v>
      </c>
      <c r="C59" s="20">
        <v>-2351.9387999999999</v>
      </c>
      <c r="D59" s="20">
        <f t="shared" si="5"/>
        <v>442.08080000000018</v>
      </c>
      <c r="F59" t="s">
        <v>430</v>
      </c>
    </row>
    <row r="60" spans="2:16" x14ac:dyDescent="0.2">
      <c r="B60" t="s">
        <v>435</v>
      </c>
      <c r="C60" s="20">
        <v>-1515.0545999999999</v>
      </c>
      <c r="D60" s="20">
        <f>C60-C$7</f>
        <v>1278.9650000000001</v>
      </c>
      <c r="I60" t="s">
        <v>436</v>
      </c>
    </row>
    <row r="61" spans="2:16" x14ac:dyDescent="0.2">
      <c r="B61" s="30" t="s">
        <v>438</v>
      </c>
      <c r="C61" s="43">
        <v>-2793.7328000000002</v>
      </c>
      <c r="D61" s="43">
        <f>C61-C$7</f>
        <v>0.28679999999985739</v>
      </c>
      <c r="E61" s="30"/>
      <c r="F61" s="30" t="s">
        <v>401</v>
      </c>
      <c r="G61" s="30"/>
      <c r="H61" s="30"/>
      <c r="I61" s="30" t="s">
        <v>446</v>
      </c>
      <c r="K61" t="s">
        <v>486</v>
      </c>
    </row>
    <row r="62" spans="2:16" x14ac:dyDescent="0.2">
      <c r="B62" t="s">
        <v>388</v>
      </c>
      <c r="C62" s="20">
        <v>-2793.6990999999998</v>
      </c>
      <c r="D62" s="20">
        <f t="shared" si="5"/>
        <v>0.32050000000026557</v>
      </c>
      <c r="I62" t="s">
        <v>409</v>
      </c>
    </row>
    <row r="63" spans="2:16" x14ac:dyDescent="0.2">
      <c r="B63" t="s">
        <v>420</v>
      </c>
      <c r="C63" s="20">
        <v>-2793.3065999999999</v>
      </c>
      <c r="D63" s="20">
        <f t="shared" si="5"/>
        <v>0.71300000000019281</v>
      </c>
      <c r="F63" t="s">
        <v>421</v>
      </c>
      <c r="I63" t="s">
        <v>423</v>
      </c>
    </row>
    <row r="64" spans="2:16" x14ac:dyDescent="0.2">
      <c r="B64" t="s">
        <v>426</v>
      </c>
      <c r="C64" s="20">
        <v>-2693.6677</v>
      </c>
      <c r="D64" s="20">
        <f t="shared" ref="D64:D69" si="6">C64-C$7</f>
        <v>100.35190000000011</v>
      </c>
      <c r="F64" t="s">
        <v>427</v>
      </c>
      <c r="O64" s="2">
        <v>-2792.808</v>
      </c>
      <c r="P64" s="2">
        <f>O64-O$64</f>
        <v>0</v>
      </c>
    </row>
    <row r="65" spans="2:16" x14ac:dyDescent="0.2">
      <c r="B65" t="s">
        <v>431</v>
      </c>
      <c r="C65" s="20">
        <v>-2717.3703999999998</v>
      </c>
      <c r="D65" s="20">
        <f t="shared" si="6"/>
        <v>76.649200000000292</v>
      </c>
      <c r="F65" t="s">
        <v>429</v>
      </c>
      <c r="O65" s="2">
        <v>-2792.8510000000001</v>
      </c>
      <c r="P65" s="2">
        <f>O65-O$64</f>
        <v>-4.3000000000120053E-2</v>
      </c>
    </row>
    <row r="66" spans="2:16" x14ac:dyDescent="0.2">
      <c r="B66" t="s">
        <v>432</v>
      </c>
      <c r="C66" s="20">
        <v>-2647.0992000000001</v>
      </c>
      <c r="D66" s="20">
        <f t="shared" si="6"/>
        <v>146.92039999999997</v>
      </c>
      <c r="I66" t="s">
        <v>436</v>
      </c>
      <c r="O66" s="2">
        <v>-2792.8256999999999</v>
      </c>
      <c r="P66" s="2">
        <f>O66-O$64</f>
        <v>-1.7699999999877036E-2</v>
      </c>
    </row>
    <row r="67" spans="2:16" x14ac:dyDescent="0.2">
      <c r="B67" t="s">
        <v>433</v>
      </c>
      <c r="C67" s="20">
        <v>-2693.5345000000002</v>
      </c>
      <c r="D67" s="20">
        <f t="shared" si="6"/>
        <v>100.48509999999987</v>
      </c>
      <c r="F67" t="s">
        <v>434</v>
      </c>
      <c r="I67" t="s">
        <v>440</v>
      </c>
    </row>
    <row r="68" spans="2:16" x14ac:dyDescent="0.2">
      <c r="B68" t="s">
        <v>437</v>
      </c>
      <c r="C68" s="20">
        <v>-2793.6729</v>
      </c>
      <c r="D68" s="20">
        <f t="shared" si="6"/>
        <v>0.3467000000000553</v>
      </c>
      <c r="I68" t="s">
        <v>409</v>
      </c>
    </row>
    <row r="69" spans="2:16" x14ac:dyDescent="0.2">
      <c r="B69" t="s">
        <v>439</v>
      </c>
      <c r="C69" s="20">
        <v>-2793.6826999999998</v>
      </c>
      <c r="D69" s="20">
        <f t="shared" si="6"/>
        <v>0.33690000000024156</v>
      </c>
      <c r="F69" t="s">
        <v>401</v>
      </c>
      <c r="I69" t="s">
        <v>409</v>
      </c>
    </row>
    <row r="70" spans="2:16" x14ac:dyDescent="0.2">
      <c r="B70" t="s">
        <v>441</v>
      </c>
      <c r="C70" s="20">
        <v>-2082.6768999999999</v>
      </c>
      <c r="D70" s="20">
        <f t="shared" ref="D70:D80" si="7">C70-C$7</f>
        <v>711.34270000000015</v>
      </c>
      <c r="F70" t="s">
        <v>447</v>
      </c>
      <c r="I70" t="s">
        <v>449</v>
      </c>
    </row>
    <row r="71" spans="2:16" x14ac:dyDescent="0.2">
      <c r="B71" t="s">
        <v>442</v>
      </c>
      <c r="C71" s="20">
        <v>-2791.8685999999998</v>
      </c>
      <c r="D71" s="20">
        <f t="shared" si="7"/>
        <v>2.1510000000002947</v>
      </c>
      <c r="F71" t="s">
        <v>448</v>
      </c>
      <c r="I71" t="s">
        <v>409</v>
      </c>
    </row>
    <row r="72" spans="2:16" x14ac:dyDescent="0.2">
      <c r="B72" t="s">
        <v>443</v>
      </c>
      <c r="C72" s="20">
        <v>-2335.4639000000002</v>
      </c>
      <c r="D72" s="20">
        <f t="shared" si="7"/>
        <v>458.55569999999989</v>
      </c>
      <c r="F72" t="s">
        <v>445</v>
      </c>
      <c r="K72" t="s">
        <v>451</v>
      </c>
    </row>
    <row r="73" spans="2:16" x14ac:dyDescent="0.2">
      <c r="B73" t="s">
        <v>444</v>
      </c>
      <c r="C73" s="20">
        <v>-2789.0576000000001</v>
      </c>
      <c r="D73" s="20">
        <f t="shared" si="7"/>
        <v>4.9619999999999891</v>
      </c>
      <c r="F73" t="s">
        <v>445</v>
      </c>
      <c r="K73" t="s">
        <v>409</v>
      </c>
    </row>
    <row r="74" spans="2:16" x14ac:dyDescent="0.2">
      <c r="B74" t="s">
        <v>455</v>
      </c>
      <c r="C74" s="20">
        <v>-2411.0763999999999</v>
      </c>
      <c r="D74" s="20">
        <f t="shared" si="7"/>
        <v>382.94320000000016</v>
      </c>
      <c r="F74" t="s">
        <v>454</v>
      </c>
      <c r="K74" t="s">
        <v>451</v>
      </c>
    </row>
    <row r="75" spans="2:16" x14ac:dyDescent="0.2">
      <c r="B75" t="s">
        <v>456</v>
      </c>
      <c r="C75" s="20">
        <v>-2469.4708000000001</v>
      </c>
      <c r="D75" s="20">
        <f t="shared" si="7"/>
        <v>324.54880000000003</v>
      </c>
      <c r="F75" t="s">
        <v>462</v>
      </c>
      <c r="K75" t="s">
        <v>451</v>
      </c>
    </row>
    <row r="76" spans="2:16" x14ac:dyDescent="0.2">
      <c r="B76" t="s">
        <v>459</v>
      </c>
      <c r="C76" s="20">
        <v>-2792.8256999999999</v>
      </c>
      <c r="D76" s="20">
        <f t="shared" si="7"/>
        <v>1.1939000000002125</v>
      </c>
      <c r="F76" t="s">
        <v>460</v>
      </c>
      <c r="K76" t="s">
        <v>451</v>
      </c>
    </row>
    <row r="77" spans="2:16" x14ac:dyDescent="0.2">
      <c r="B77" t="s">
        <v>461</v>
      </c>
      <c r="C77" s="20">
        <v>-2792.8078999999998</v>
      </c>
      <c r="D77" s="20">
        <f t="shared" si="7"/>
        <v>1.2117000000002918</v>
      </c>
      <c r="F77" t="s">
        <v>463</v>
      </c>
      <c r="K77" t="s">
        <v>466</v>
      </c>
    </row>
    <row r="78" spans="2:16" x14ac:dyDescent="0.2">
      <c r="B78" t="s">
        <v>465</v>
      </c>
      <c r="C78" s="20">
        <v>-2793.3892999999998</v>
      </c>
      <c r="D78" s="20">
        <f t="shared" si="7"/>
        <v>0.63030000000026121</v>
      </c>
      <c r="F78" t="s">
        <v>467</v>
      </c>
      <c r="K78" t="s">
        <v>451</v>
      </c>
    </row>
    <row r="79" spans="2:16" x14ac:dyDescent="0.2">
      <c r="B79" t="s">
        <v>468</v>
      </c>
      <c r="C79" s="20">
        <v>-2791.3121999999998</v>
      </c>
      <c r="D79" s="20">
        <f t="shared" si="7"/>
        <v>2.7074000000002343</v>
      </c>
      <c r="F79" t="s">
        <v>469</v>
      </c>
      <c r="K79" t="s">
        <v>472</v>
      </c>
    </row>
    <row r="80" spans="2:16" x14ac:dyDescent="0.2">
      <c r="B80" t="s">
        <v>470</v>
      </c>
      <c r="C80" s="20">
        <v>-2793.4892</v>
      </c>
      <c r="D80" s="20">
        <f t="shared" si="7"/>
        <v>0.53040000000009968</v>
      </c>
      <c r="F80" t="s">
        <v>471</v>
      </c>
      <c r="K80" t="s">
        <v>473</v>
      </c>
    </row>
    <row r="81" spans="2:15" x14ac:dyDescent="0.2">
      <c r="B81" t="s">
        <v>474</v>
      </c>
      <c r="C81" s="20">
        <v>-2792.8771999999999</v>
      </c>
      <c r="D81" s="20">
        <f>C81-C$7</f>
        <v>1.1424000000001797</v>
      </c>
      <c r="F81" t="s">
        <v>475</v>
      </c>
      <c r="K81" t="s">
        <v>409</v>
      </c>
    </row>
    <row r="82" spans="2:15" x14ac:dyDescent="0.2">
      <c r="B82" t="s">
        <v>477</v>
      </c>
      <c r="C82" s="20"/>
      <c r="D82" s="20"/>
      <c r="F82" t="s">
        <v>476</v>
      </c>
    </row>
    <row r="83" spans="2:15" x14ac:dyDescent="0.2">
      <c r="B83" t="s">
        <v>478</v>
      </c>
      <c r="C83" s="20">
        <v>-2793.6320000000001</v>
      </c>
      <c r="D83" s="20">
        <f>C83-C$7</f>
        <v>0.38760000000002037</v>
      </c>
      <c r="F83" t="s">
        <v>479</v>
      </c>
      <c r="H83" t="s">
        <v>480</v>
      </c>
      <c r="O83" t="s">
        <v>481</v>
      </c>
    </row>
    <row r="84" spans="2:15" x14ac:dyDescent="0.2">
      <c r="B84" t="s">
        <v>389</v>
      </c>
    </row>
    <row r="85" spans="2:15" x14ac:dyDescent="0.2">
      <c r="B85" t="s">
        <v>390</v>
      </c>
    </row>
    <row r="97" spans="5:5" ht="17" x14ac:dyDescent="0.2">
      <c r="E97" s="41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R52"/>
  <sheetViews>
    <sheetView workbookViewId="0">
      <selection activeCell="N41" sqref="N41"/>
    </sheetView>
  </sheetViews>
  <sheetFormatPr baseColWidth="10" defaultRowHeight="16" x14ac:dyDescent="0.2"/>
  <sheetData>
    <row r="1" spans="1:18" x14ac:dyDescent="0.2">
      <c r="B1" t="s">
        <v>374</v>
      </c>
    </row>
    <row r="2" spans="1:18" x14ac:dyDescent="0.2">
      <c r="D2" s="1"/>
      <c r="E2" t="s">
        <v>367</v>
      </c>
      <c r="F2" t="s">
        <v>3</v>
      </c>
      <c r="G2" t="s">
        <v>4</v>
      </c>
      <c r="H2" t="s">
        <v>5</v>
      </c>
      <c r="I2" t="s">
        <v>6</v>
      </c>
      <c r="L2" t="s">
        <v>1</v>
      </c>
      <c r="M2" t="s">
        <v>2</v>
      </c>
      <c r="N2" t="s">
        <v>3</v>
      </c>
      <c r="O2" t="s">
        <v>5</v>
      </c>
      <c r="P2" t="s">
        <v>37</v>
      </c>
      <c r="Q2" t="s">
        <v>38</v>
      </c>
      <c r="R2" t="s">
        <v>39</v>
      </c>
    </row>
    <row r="3" spans="1:18" x14ac:dyDescent="0.2">
      <c r="A3" t="s">
        <v>453</v>
      </c>
      <c r="C3">
        <v>400</v>
      </c>
      <c r="D3" s="19">
        <v>-2806.5497999999998</v>
      </c>
      <c r="E3" s="19">
        <f>D3/252</f>
        <v>-11.137102380952379</v>
      </c>
      <c r="F3" s="1">
        <f>19.616416016/7</f>
        <v>2.8023451451428572</v>
      </c>
      <c r="G3" s="1">
        <f>17.538509891/3</f>
        <v>5.8461699636666671</v>
      </c>
      <c r="H3" s="1">
        <f>14.698082105/3</f>
        <v>4.8993607016666667</v>
      </c>
      <c r="I3" t="s">
        <v>452</v>
      </c>
      <c r="K3" t="s">
        <v>66</v>
      </c>
      <c r="L3" s="8">
        <v>-18.898021</v>
      </c>
      <c r="M3" s="9">
        <f>L3/4</f>
        <v>-4.72450525</v>
      </c>
      <c r="N3" s="10">
        <v>3.7070283910000001</v>
      </c>
      <c r="O3" s="10">
        <v>11.902219469</v>
      </c>
      <c r="P3" s="10">
        <v>141.65</v>
      </c>
      <c r="Q3" s="10">
        <f>P3/4</f>
        <v>35.412500000000001</v>
      </c>
      <c r="R3" s="10" t="s">
        <v>42</v>
      </c>
    </row>
    <row r="4" spans="1:18" x14ac:dyDescent="0.2">
      <c r="A4" t="s">
        <v>450</v>
      </c>
      <c r="D4" s="19"/>
      <c r="K4" t="s">
        <v>240</v>
      </c>
      <c r="L4" s="1">
        <v>-20.868545000000001</v>
      </c>
      <c r="M4" s="9">
        <f>L4/4</f>
        <v>-5.2171362500000003</v>
      </c>
      <c r="N4">
        <v>3.937945595</v>
      </c>
      <c r="P4">
        <v>61.07</v>
      </c>
      <c r="Q4">
        <f>P4/4</f>
        <v>15.2675</v>
      </c>
      <c r="R4" t="s">
        <v>60</v>
      </c>
    </row>
    <row r="5" spans="1:18" x14ac:dyDescent="0.2">
      <c r="D5" s="19" t="s">
        <v>197</v>
      </c>
      <c r="E5" t="s">
        <v>209</v>
      </c>
    </row>
    <row r="6" spans="1:18" x14ac:dyDescent="0.2">
      <c r="B6" t="s">
        <v>422</v>
      </c>
      <c r="D6" s="2">
        <f>C6-253*E3</f>
        <v>2817.6869023809522</v>
      </c>
    </row>
    <row r="7" spans="1:18" x14ac:dyDescent="0.2">
      <c r="B7" t="s">
        <v>375</v>
      </c>
      <c r="C7" s="19">
        <v>-2793.7406000000001</v>
      </c>
      <c r="D7" s="20">
        <f>C7-251*E3</f>
        <v>1.6720976190472356</v>
      </c>
    </row>
    <row r="8" spans="1:18" x14ac:dyDescent="0.2">
      <c r="B8" t="s">
        <v>272</v>
      </c>
      <c r="C8" s="19"/>
      <c r="D8" s="2">
        <f t="shared" ref="D8:D13" si="0">C8-250*$E$3</f>
        <v>2784.2755952380949</v>
      </c>
      <c r="E8">
        <f t="shared" ref="E8:E13" si="1">D8-2*D$7</f>
        <v>2780.9314000000004</v>
      </c>
    </row>
    <row r="9" spans="1:18" x14ac:dyDescent="0.2">
      <c r="B9" t="s">
        <v>273</v>
      </c>
      <c r="C9" s="19"/>
      <c r="D9" s="2">
        <f t="shared" si="0"/>
        <v>2784.2755952380949</v>
      </c>
      <c r="E9">
        <f t="shared" si="1"/>
        <v>2780.9314000000004</v>
      </c>
    </row>
    <row r="10" spans="1:18" x14ac:dyDescent="0.2">
      <c r="B10" t="s">
        <v>376</v>
      </c>
      <c r="C10" s="19"/>
      <c r="D10" s="2">
        <f t="shared" si="0"/>
        <v>2784.2755952380949</v>
      </c>
      <c r="E10">
        <f t="shared" si="1"/>
        <v>2780.9314000000004</v>
      </c>
    </row>
    <row r="11" spans="1:18" x14ac:dyDescent="0.2">
      <c r="B11" t="s">
        <v>393</v>
      </c>
      <c r="C11" s="19"/>
      <c r="D11" s="2">
        <f t="shared" si="0"/>
        <v>2784.2755952380949</v>
      </c>
      <c r="E11">
        <f t="shared" si="1"/>
        <v>2780.9314000000004</v>
      </c>
    </row>
    <row r="12" spans="1:18" x14ac:dyDescent="0.2">
      <c r="B12" t="s">
        <v>394</v>
      </c>
      <c r="C12" s="19"/>
      <c r="D12" s="20">
        <f t="shared" si="0"/>
        <v>2784.2755952380949</v>
      </c>
      <c r="E12" s="18">
        <f t="shared" si="1"/>
        <v>2780.9314000000004</v>
      </c>
    </row>
    <row r="13" spans="1:18" x14ac:dyDescent="0.2">
      <c r="B13" t="s">
        <v>395</v>
      </c>
      <c r="C13" s="19"/>
      <c r="D13" s="20">
        <f t="shared" si="0"/>
        <v>2784.2755952380949</v>
      </c>
      <c r="E13" s="18">
        <f t="shared" si="1"/>
        <v>2780.9314000000004</v>
      </c>
    </row>
    <row r="14" spans="1:18" x14ac:dyDescent="0.2">
      <c r="B14" t="s">
        <v>379</v>
      </c>
      <c r="C14" s="12"/>
      <c r="D14" s="20">
        <f>C14-251*$E$3-M3</f>
        <v>2800.1372028690475</v>
      </c>
    </row>
    <row r="15" spans="1:18" x14ac:dyDescent="0.2">
      <c r="B15" t="s">
        <v>381</v>
      </c>
      <c r="C15" s="19"/>
      <c r="D15" s="19">
        <f>C15-250*E$3-M$3</f>
        <v>2789.0001004880951</v>
      </c>
      <c r="E15" s="20">
        <f>D15-D$14-$D$7</f>
        <v>-12.809199999999691</v>
      </c>
    </row>
    <row r="16" spans="1:18" x14ac:dyDescent="0.2">
      <c r="B16" t="s">
        <v>382</v>
      </c>
      <c r="C16" s="19"/>
      <c r="D16" s="19">
        <f>C16-250*E$3-M$3</f>
        <v>2789.0001004880951</v>
      </c>
      <c r="E16" s="20">
        <f>D16-D$14-$D$7</f>
        <v>-12.809199999999691</v>
      </c>
    </row>
    <row r="17" spans="1:18" x14ac:dyDescent="0.2">
      <c r="B17" t="s">
        <v>405</v>
      </c>
      <c r="C17" s="19"/>
      <c r="D17" s="19">
        <f>C17-250*E$3-M$3</f>
        <v>2789.0001004880951</v>
      </c>
      <c r="E17" s="20">
        <f>D17-D$14-$D$7</f>
        <v>-12.809199999999691</v>
      </c>
    </row>
    <row r="18" spans="1:18" x14ac:dyDescent="0.2">
      <c r="B18" t="s">
        <v>383</v>
      </c>
      <c r="C18" s="19"/>
      <c r="D18" s="19">
        <f>C18-251*E$3-M$4</f>
        <v>2800.6298338690472</v>
      </c>
    </row>
    <row r="19" spans="1:18" x14ac:dyDescent="0.2">
      <c r="B19" t="s">
        <v>384</v>
      </c>
      <c r="C19" s="19"/>
      <c r="D19" s="19">
        <f>C19-250*$E$3-$M$4</f>
        <v>2789.4927314880947</v>
      </c>
      <c r="E19" s="19">
        <f>D19-D$18-D$7</f>
        <v>-12.809199999999691</v>
      </c>
    </row>
    <row r="20" spans="1:18" x14ac:dyDescent="0.2">
      <c r="B20" t="s">
        <v>385</v>
      </c>
      <c r="C20" s="19"/>
      <c r="D20" s="19">
        <f>C20-250*$E$3-$M$4</f>
        <v>2789.4927314880947</v>
      </c>
      <c r="E20" s="19">
        <f>D20-D$18-D$7</f>
        <v>-12.809199999999691</v>
      </c>
    </row>
    <row r="21" spans="1:18" x14ac:dyDescent="0.2">
      <c r="B21" t="s">
        <v>406</v>
      </c>
      <c r="C21" s="19"/>
      <c r="D21" s="19">
        <f>C21-250*$E$3-$M$4</f>
        <v>2789.4927314880947</v>
      </c>
      <c r="E21" s="19">
        <f>D21-D$18-D$7</f>
        <v>-12.809199999999691</v>
      </c>
    </row>
    <row r="22" spans="1:18" x14ac:dyDescent="0.2">
      <c r="B22" t="s">
        <v>281</v>
      </c>
      <c r="C22" s="19"/>
      <c r="D22" s="19">
        <f>C22-250*$E$3-$M$3-$M$4</f>
        <v>2794.2172367380949</v>
      </c>
      <c r="E22" s="19">
        <f>D22-D$18-D$14</f>
        <v>-2806.5497999999998</v>
      </c>
    </row>
    <row r="23" spans="1:18" x14ac:dyDescent="0.2">
      <c r="B23" t="s">
        <v>280</v>
      </c>
      <c r="C23" s="19"/>
      <c r="D23" s="19">
        <f>C23-250*$E$3-$M$3-$M$4</f>
        <v>2794.2172367380949</v>
      </c>
      <c r="E23" s="19">
        <f>D23-D$18-D$14</f>
        <v>-2806.5497999999998</v>
      </c>
    </row>
    <row r="26" spans="1:18" x14ac:dyDescent="0.2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</row>
    <row r="29" spans="1:18" x14ac:dyDescent="0.2">
      <c r="B29" t="s">
        <v>457</v>
      </c>
    </row>
    <row r="31" spans="1:18" x14ac:dyDescent="0.2">
      <c r="D31" s="1"/>
      <c r="E31" t="s">
        <v>458</v>
      </c>
      <c r="F31" t="s">
        <v>3</v>
      </c>
      <c r="G31" t="s">
        <v>4</v>
      </c>
      <c r="H31" t="s">
        <v>5</v>
      </c>
      <c r="I31" t="s">
        <v>6</v>
      </c>
      <c r="L31" t="s">
        <v>1</v>
      </c>
      <c r="M31" t="s">
        <v>2</v>
      </c>
      <c r="N31" t="s">
        <v>3</v>
      </c>
      <c r="O31" t="s">
        <v>5</v>
      </c>
      <c r="P31" t="s">
        <v>37</v>
      </c>
      <c r="Q31" t="s">
        <v>38</v>
      </c>
      <c r="R31" t="s">
        <v>39</v>
      </c>
    </row>
    <row r="32" spans="1:18" x14ac:dyDescent="0.2">
      <c r="A32" t="s">
        <v>453</v>
      </c>
      <c r="C32">
        <v>400</v>
      </c>
      <c r="D32" s="19">
        <v>-2806.6983</v>
      </c>
      <c r="E32" s="19">
        <f>D32/252</f>
        <v>-11.137691666666667</v>
      </c>
      <c r="F32" s="1">
        <f>19.626251245/7</f>
        <v>2.8037501778571428</v>
      </c>
      <c r="G32" s="1">
        <f>17.520483663/3</f>
        <v>5.8401612209999998</v>
      </c>
      <c r="H32" s="1">
        <f>14.709040589  /3</f>
        <v>4.9030135296666666</v>
      </c>
      <c r="I32" t="s">
        <v>452</v>
      </c>
      <c r="K32" t="s">
        <v>66</v>
      </c>
      <c r="L32" s="8">
        <v>-18.898021</v>
      </c>
      <c r="M32" s="9">
        <f>L32/4</f>
        <v>-4.72450525</v>
      </c>
      <c r="N32" s="10">
        <v>3.7070283910000001</v>
      </c>
      <c r="O32" s="10">
        <v>11.902219469</v>
      </c>
      <c r="P32" s="10">
        <v>141.65</v>
      </c>
      <c r="Q32" s="10">
        <f>P32/4</f>
        <v>35.412500000000001</v>
      </c>
      <c r="R32" s="10" t="s">
        <v>42</v>
      </c>
    </row>
    <row r="33" spans="1:18" x14ac:dyDescent="0.2">
      <c r="A33" t="s">
        <v>450</v>
      </c>
      <c r="D33" s="19"/>
      <c r="K33" t="s">
        <v>240</v>
      </c>
      <c r="L33" s="1">
        <v>-20.868545000000001</v>
      </c>
      <c r="M33" s="9">
        <f>L33/4</f>
        <v>-5.2171362500000003</v>
      </c>
      <c r="N33">
        <v>3.937945595</v>
      </c>
      <c r="P33">
        <v>61.07</v>
      </c>
      <c r="Q33">
        <f>P33/4</f>
        <v>15.2675</v>
      </c>
      <c r="R33" t="s">
        <v>60</v>
      </c>
    </row>
    <row r="34" spans="1:18" x14ac:dyDescent="0.2">
      <c r="D34" s="19" t="s">
        <v>197</v>
      </c>
      <c r="E34" t="s">
        <v>209</v>
      </c>
    </row>
    <row r="35" spans="1:18" x14ac:dyDescent="0.2">
      <c r="B35" t="s">
        <v>422</v>
      </c>
      <c r="D35" s="2">
        <f>C35-253*E32</f>
        <v>2817.8359916666668</v>
      </c>
    </row>
    <row r="36" spans="1:18" x14ac:dyDescent="0.2">
      <c r="B36" t="s">
        <v>375</v>
      </c>
      <c r="C36" s="19">
        <v>-2793.8328000000001</v>
      </c>
      <c r="D36" s="20">
        <f>C36-251*E32</f>
        <v>1.7278083333330869</v>
      </c>
      <c r="F36" t="s">
        <v>464</v>
      </c>
    </row>
    <row r="37" spans="1:18" x14ac:dyDescent="0.2">
      <c r="B37" t="s">
        <v>272</v>
      </c>
      <c r="C37" s="19"/>
      <c r="D37" s="2">
        <f t="shared" ref="D37:D42" si="2">C37-250*$E$3</f>
        <v>2784.2755952380949</v>
      </c>
      <c r="E37">
        <f t="shared" ref="E37:E42" si="3">D37-2*D$7</f>
        <v>2780.9314000000004</v>
      </c>
    </row>
    <row r="38" spans="1:18" x14ac:dyDescent="0.2">
      <c r="B38" t="s">
        <v>273</v>
      </c>
      <c r="C38" s="19"/>
      <c r="D38" s="2">
        <f t="shared" si="2"/>
        <v>2784.2755952380949</v>
      </c>
      <c r="E38">
        <f t="shared" si="3"/>
        <v>2780.9314000000004</v>
      </c>
    </row>
    <row r="39" spans="1:18" x14ac:dyDescent="0.2">
      <c r="B39" t="s">
        <v>376</v>
      </c>
      <c r="C39" s="19"/>
      <c r="D39" s="2">
        <f t="shared" si="2"/>
        <v>2784.2755952380949</v>
      </c>
      <c r="E39">
        <f t="shared" si="3"/>
        <v>2780.9314000000004</v>
      </c>
    </row>
    <row r="40" spans="1:18" x14ac:dyDescent="0.2">
      <c r="B40" t="s">
        <v>393</v>
      </c>
      <c r="C40" s="19"/>
      <c r="D40" s="2">
        <f t="shared" si="2"/>
        <v>2784.2755952380949</v>
      </c>
      <c r="E40">
        <f t="shared" si="3"/>
        <v>2780.9314000000004</v>
      </c>
    </row>
    <row r="41" spans="1:18" x14ac:dyDescent="0.2">
      <c r="B41" t="s">
        <v>394</v>
      </c>
      <c r="C41" s="19"/>
      <c r="D41" s="20">
        <f t="shared" si="2"/>
        <v>2784.2755952380949</v>
      </c>
      <c r="E41" s="18">
        <f t="shared" si="3"/>
        <v>2780.9314000000004</v>
      </c>
    </row>
    <row r="42" spans="1:18" x14ac:dyDescent="0.2">
      <c r="B42" t="s">
        <v>395</v>
      </c>
      <c r="C42" s="19"/>
      <c r="D42" s="20">
        <f t="shared" si="2"/>
        <v>2784.2755952380949</v>
      </c>
      <c r="E42" s="18">
        <f t="shared" si="3"/>
        <v>2780.9314000000004</v>
      </c>
    </row>
    <row r="43" spans="1:18" x14ac:dyDescent="0.2">
      <c r="B43" t="s">
        <v>379</v>
      </c>
      <c r="C43" s="19"/>
      <c r="D43" s="20">
        <f>C43-251*$E$3-M33</f>
        <v>2800.6298338690472</v>
      </c>
    </row>
    <row r="44" spans="1:18" x14ac:dyDescent="0.2">
      <c r="B44" t="s">
        <v>381</v>
      </c>
      <c r="C44" s="19"/>
      <c r="D44" s="19">
        <f>C44-250*E$3-M$3</f>
        <v>2789.0001004880951</v>
      </c>
      <c r="E44" s="20">
        <f>D44-D$14-$D$7</f>
        <v>-12.809199999999691</v>
      </c>
    </row>
    <row r="45" spans="1:18" x14ac:dyDescent="0.2">
      <c r="B45" t="s">
        <v>382</v>
      </c>
      <c r="C45" s="19"/>
      <c r="D45" s="19">
        <f>C45-250*E$3-M$3</f>
        <v>2789.0001004880951</v>
      </c>
      <c r="E45" s="20">
        <f>D45-D$14-$D$7</f>
        <v>-12.809199999999691</v>
      </c>
    </row>
    <row r="46" spans="1:18" x14ac:dyDescent="0.2">
      <c r="B46" t="s">
        <v>405</v>
      </c>
      <c r="C46" s="19"/>
      <c r="D46" s="19">
        <f>C46-250*E$3-M$3</f>
        <v>2789.0001004880951</v>
      </c>
      <c r="E46" s="20">
        <f>D46-D$14-$D$7</f>
        <v>-12.809199999999691</v>
      </c>
    </row>
    <row r="47" spans="1:18" x14ac:dyDescent="0.2">
      <c r="B47" t="s">
        <v>383</v>
      </c>
      <c r="C47" s="19"/>
      <c r="D47" s="19">
        <f>C47-251*E$3-M$4</f>
        <v>2800.6298338690472</v>
      </c>
    </row>
    <row r="48" spans="1:18" x14ac:dyDescent="0.2">
      <c r="B48" t="s">
        <v>384</v>
      </c>
      <c r="C48" s="19"/>
      <c r="D48" s="19">
        <f>C48-250*$E$3-$M$4</f>
        <v>2789.4927314880947</v>
      </c>
      <c r="E48" s="19">
        <f>D48-D$18-D$7</f>
        <v>-12.809199999999691</v>
      </c>
    </row>
    <row r="49" spans="2:5" x14ac:dyDescent="0.2">
      <c r="B49" t="s">
        <v>385</v>
      </c>
      <c r="C49" s="19"/>
      <c r="D49" s="19">
        <f>C49-250*$E$3-$M$4</f>
        <v>2789.4927314880947</v>
      </c>
      <c r="E49" s="19">
        <f>D49-D$18-D$7</f>
        <v>-12.809199999999691</v>
      </c>
    </row>
    <row r="50" spans="2:5" x14ac:dyDescent="0.2">
      <c r="B50" t="s">
        <v>406</v>
      </c>
      <c r="C50" s="19"/>
      <c r="D50" s="19">
        <f>C50-250*$E$3-$M$4</f>
        <v>2789.4927314880947</v>
      </c>
      <c r="E50" s="19">
        <f>D50-D$18-D$7</f>
        <v>-12.809199999999691</v>
      </c>
    </row>
    <row r="51" spans="2:5" x14ac:dyDescent="0.2">
      <c r="B51" t="s">
        <v>281</v>
      </c>
      <c r="C51" s="19"/>
      <c r="D51" s="19">
        <f>C51-250*$E$3-$M$3-$M$4</f>
        <v>2794.2172367380949</v>
      </c>
      <c r="E51" s="19">
        <f>D51-D$18-D$14</f>
        <v>-2806.5497999999998</v>
      </c>
    </row>
    <row r="52" spans="2:5" x14ac:dyDescent="0.2">
      <c r="B52" t="s">
        <v>280</v>
      </c>
      <c r="C52" s="19"/>
      <c r="D52" s="19">
        <f>C52-250*$E$3-$M$3-$M$4</f>
        <v>2794.2172367380949</v>
      </c>
      <c r="E52" s="19">
        <f>D52-D$18-D$14</f>
        <v>-2806.5497999999998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alpha U</vt:lpstr>
      <vt:lpstr>alphaU252</vt:lpstr>
      <vt:lpstr>alpha 252 convergence</vt:lpstr>
      <vt:lpstr>Nd</vt:lpstr>
      <vt:lpstr>U-Nd</vt:lpstr>
      <vt:lpstr>updated work!</vt:lpstr>
      <vt:lpstr>updated further!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 Beeler</cp:lastModifiedBy>
  <dcterms:created xsi:type="dcterms:W3CDTF">2015-10-27T19:21:21Z</dcterms:created>
  <dcterms:modified xsi:type="dcterms:W3CDTF">2019-12-06T15:06:16Z</dcterms:modified>
</cp:coreProperties>
</file>