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eelbw/Documents/UZr/"/>
    </mc:Choice>
  </mc:AlternateContent>
  <xr:revisionPtr revIDLastSave="0" documentId="13_ncr:1_{C5756ECB-E078-7143-98A3-E893E0A861E1}" xr6:coauthVersionLast="38" xr6:coauthVersionMax="38" xr10:uidLastSave="{00000000-0000-0000-0000-000000000000}"/>
  <bookViews>
    <workbookView xWindow="4880" yWindow="2860" windowWidth="22620" windowHeight="20780" activeTab="1" xr2:uid="{00000000-000D-0000-FFFF-FFFF00000000}"/>
  </bookViews>
  <sheets>
    <sheet name="elastic constants" sheetId="1" r:id="rId1"/>
    <sheet name="updated, refined, standardized" sheetId="2" r:id="rId2"/>
    <sheet name="debye T" sheetId="3" r:id="rId3"/>
  </sheet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2" l="1"/>
  <c r="A45" i="2"/>
  <c r="B40" i="2"/>
  <c r="B39" i="2"/>
  <c r="B31" i="2"/>
  <c r="B30" i="2"/>
  <c r="B36" i="2"/>
  <c r="J31" i="2"/>
  <c r="P17" i="2"/>
  <c r="P18" i="2"/>
  <c r="P19" i="2"/>
  <c r="P20" i="2"/>
  <c r="J19" i="2"/>
  <c r="G19" i="2"/>
  <c r="F19" i="2"/>
  <c r="C19" i="2"/>
  <c r="D19" i="2"/>
  <c r="B19" i="2"/>
  <c r="J15" i="2"/>
  <c r="N12" i="3"/>
  <c r="N11" i="3"/>
  <c r="O5" i="3"/>
  <c r="O4" i="3"/>
  <c r="O3" i="3"/>
  <c r="P16" i="2"/>
  <c r="P15" i="2"/>
  <c r="R11" i="2"/>
  <c r="R8" i="2"/>
  <c r="R6" i="2"/>
  <c r="P4" i="2"/>
  <c r="N24" i="3"/>
  <c r="N23" i="3"/>
  <c r="O17" i="3"/>
  <c r="O16" i="3"/>
  <c r="O15" i="3"/>
  <c r="L24" i="3"/>
  <c r="L23" i="3"/>
  <c r="M17" i="3"/>
  <c r="M16" i="3"/>
  <c r="M15" i="3"/>
  <c r="M31" i="2"/>
  <c r="M36" i="2"/>
  <c r="M37" i="2"/>
  <c r="L31" i="2"/>
  <c r="K31" i="2"/>
  <c r="K36" i="2"/>
  <c r="K37" i="2"/>
  <c r="C31" i="2"/>
  <c r="C36" i="2"/>
  <c r="C37" i="2"/>
  <c r="F12" i="3"/>
  <c r="F11" i="3"/>
  <c r="G5" i="3"/>
  <c r="G4" i="3"/>
  <c r="G3" i="3"/>
  <c r="F6" i="3"/>
  <c r="F8" i="3"/>
  <c r="B36" i="3"/>
  <c r="B35" i="3"/>
  <c r="C27" i="3"/>
  <c r="B30" i="3"/>
  <c r="C29" i="3"/>
  <c r="C28" i="3"/>
  <c r="B31" i="3"/>
  <c r="E34" i="2"/>
  <c r="C33" i="2"/>
  <c r="C32" i="2"/>
  <c r="E31" i="2"/>
  <c r="E36" i="2"/>
  <c r="E37" i="2"/>
  <c r="G18" i="2"/>
  <c r="G17" i="2"/>
  <c r="C18" i="2"/>
  <c r="D18" i="2"/>
  <c r="F18" i="2"/>
  <c r="C17" i="2"/>
  <c r="D17" i="2"/>
  <c r="F17" i="2"/>
  <c r="C34" i="2"/>
  <c r="D34" i="2"/>
  <c r="P21" i="2"/>
  <c r="P22" i="2"/>
  <c r="N6" i="3"/>
  <c r="N7" i="3"/>
  <c r="D20" i="2"/>
  <c r="D21" i="2"/>
  <c r="D22" i="2"/>
  <c r="N8" i="3"/>
  <c r="N9" i="3"/>
  <c r="N10" i="3"/>
  <c r="N18" i="3"/>
  <c r="N19" i="3"/>
  <c r="N20" i="3"/>
  <c r="L18" i="3"/>
  <c r="L19" i="3"/>
  <c r="L20" i="3"/>
  <c r="F7" i="3"/>
  <c r="F9" i="3"/>
  <c r="F10" i="3"/>
  <c r="G20" i="2"/>
  <c r="G21" i="2"/>
  <c r="G22" i="2"/>
  <c r="B32" i="3"/>
  <c r="B33" i="3"/>
  <c r="B34" i="3"/>
  <c r="F20" i="2"/>
  <c r="F21" i="2"/>
  <c r="F22" i="2"/>
  <c r="N21" i="3"/>
  <c r="N22" i="3"/>
  <c r="L21" i="3"/>
  <c r="L22" i="3"/>
  <c r="I35" i="2"/>
  <c r="A35" i="2"/>
  <c r="J34" i="2"/>
  <c r="B34" i="2"/>
  <c r="K17" i="3"/>
  <c r="K16" i="3"/>
  <c r="C17" i="3"/>
  <c r="C16" i="3"/>
  <c r="K5" i="3"/>
  <c r="K4" i="3"/>
  <c r="C5" i="3"/>
  <c r="C4" i="3"/>
  <c r="B24" i="3"/>
  <c r="B23" i="3"/>
  <c r="J24" i="3"/>
  <c r="J23" i="3"/>
  <c r="J12" i="3"/>
  <c r="J11" i="3"/>
  <c r="B11" i="3"/>
  <c r="B12" i="3"/>
  <c r="C15" i="3"/>
  <c r="B18" i="3"/>
  <c r="K15" i="3"/>
  <c r="J18" i="3"/>
  <c r="K3" i="3"/>
  <c r="J6" i="3"/>
  <c r="C3" i="3"/>
  <c r="B6" i="3"/>
  <c r="M4" i="2"/>
  <c r="K25" i="2"/>
  <c r="C25" i="2"/>
  <c r="E4" i="2"/>
  <c r="J18" i="2"/>
  <c r="J17" i="2"/>
  <c r="B18" i="2"/>
  <c r="B17" i="2"/>
  <c r="B33" i="2"/>
  <c r="J33" i="2"/>
  <c r="J32" i="2"/>
  <c r="B32" i="2"/>
  <c r="J16" i="2"/>
  <c r="C16" i="2"/>
  <c r="B16" i="2"/>
  <c r="B7" i="3"/>
  <c r="J7" i="3"/>
  <c r="B19" i="3"/>
  <c r="B8" i="3"/>
  <c r="B9" i="3"/>
  <c r="J8" i="3"/>
  <c r="J9" i="3"/>
  <c r="J10" i="3"/>
  <c r="B20" i="3"/>
  <c r="B21" i="3"/>
  <c r="B22" i="3"/>
  <c r="B10" i="3"/>
  <c r="J19" i="3"/>
  <c r="J20" i="3"/>
  <c r="L4" i="2"/>
  <c r="B20" i="2"/>
  <c r="B21" i="2"/>
  <c r="B22" i="2"/>
  <c r="J21" i="3"/>
  <c r="J22" i="3"/>
  <c r="J20" i="2"/>
  <c r="J21" i="2"/>
  <c r="J22" i="2"/>
  <c r="J30" i="2"/>
  <c r="C15" i="2"/>
  <c r="C20" i="2"/>
  <c r="J36" i="2"/>
  <c r="J37" i="2"/>
  <c r="B37" i="2"/>
  <c r="C14" i="1"/>
  <c r="B14" i="1"/>
</calcChain>
</file>

<file path=xl/sharedStrings.xml><?xml version="1.0" encoding="utf-8"?>
<sst xmlns="http://schemas.openxmlformats.org/spreadsheetml/2006/main" count="227" uniqueCount="52">
  <si>
    <t>c11</t>
  </si>
  <si>
    <t>c22</t>
  </si>
  <si>
    <t>c33</t>
  </si>
  <si>
    <t>c12</t>
  </si>
  <si>
    <t>c13</t>
  </si>
  <si>
    <t>c23</t>
  </si>
  <si>
    <t>c44</t>
  </si>
  <si>
    <t>c55</t>
  </si>
  <si>
    <t>c66</t>
  </si>
  <si>
    <t>1 atom</t>
  </si>
  <si>
    <t>32 atoms</t>
  </si>
  <si>
    <t>taylor</t>
  </si>
  <si>
    <t>meam</t>
  </si>
  <si>
    <t>-</t>
  </si>
  <si>
    <t>alpha</t>
  </si>
  <si>
    <t>gamma</t>
  </si>
  <si>
    <t>B</t>
  </si>
  <si>
    <t>experiment</t>
  </si>
  <si>
    <t>all in Gpa</t>
  </si>
  <si>
    <t>fcc</t>
  </si>
  <si>
    <t>54 atoms</t>
  </si>
  <si>
    <t>4 atoms</t>
  </si>
  <si>
    <t>prec accurate, 500ev, ispin2, k202020,isym0</t>
  </si>
  <si>
    <t>bct</t>
  </si>
  <si>
    <t>I just need</t>
  </si>
  <si>
    <t>1 atom, w/ sym</t>
  </si>
  <si>
    <t>G</t>
  </si>
  <si>
    <t>c11 avg</t>
  </si>
  <si>
    <t>c12 avg</t>
  </si>
  <si>
    <t>c44 avg</t>
  </si>
  <si>
    <t>Gv</t>
  </si>
  <si>
    <t>Gr</t>
  </si>
  <si>
    <t>debye T</t>
  </si>
  <si>
    <t>bcc</t>
  </si>
  <si>
    <t>V</t>
  </si>
  <si>
    <t>rho</t>
  </si>
  <si>
    <t>v_l</t>
  </si>
  <si>
    <t>v_t</t>
  </si>
  <si>
    <t>v_m</t>
  </si>
  <si>
    <t>h</t>
  </si>
  <si>
    <t>kb</t>
  </si>
  <si>
    <t>C'</t>
  </si>
  <si>
    <t>hcp</t>
  </si>
  <si>
    <t>T_melt</t>
  </si>
  <si>
    <t>soderlind</t>
  </si>
  <si>
    <t>shang bcc</t>
  </si>
  <si>
    <t>E</t>
  </si>
  <si>
    <t>pois</t>
  </si>
  <si>
    <t>soderlind alpha</t>
  </si>
  <si>
    <t>shang</t>
  </si>
  <si>
    <t>beta</t>
  </si>
  <si>
    <t>30 atoms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</si>
</sst>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opLeftCell="A2" zoomScale="85" zoomScaleNormal="85" zoomScalePageLayoutView="85" workbookViewId="0">
      <selection activeCell="E22" sqref="E22"/>
    </sheetView>
  </sheetViews>
  <sheetFormatPr baseColWidth="10" defaultColWidth="8.83203125" defaultRowHeight="15" x14ac:dyDescent="0.2"/>
  <cols>
    <col min="1" max="16384" width="8.83203125" style="1"/>
  </cols>
  <sheetData>
    <row r="1" spans="1:6" x14ac:dyDescent="0.2">
      <c r="A1" s="1" t="s">
        <v>18</v>
      </c>
    </row>
    <row r="3" spans="1:6" x14ac:dyDescent="0.2">
      <c r="A3" s="1" t="s">
        <v>14</v>
      </c>
    </row>
    <row r="4" spans="1:6" x14ac:dyDescent="0.2">
      <c r="B4" s="1" t="s">
        <v>9</v>
      </c>
      <c r="C4" s="1" t="s">
        <v>10</v>
      </c>
      <c r="D4" s="1" t="s">
        <v>11</v>
      </c>
      <c r="E4" s="1" t="s">
        <v>12</v>
      </c>
      <c r="F4" s="2" t="s">
        <v>17</v>
      </c>
    </row>
    <row r="5" spans="1:6" x14ac:dyDescent="0.2">
      <c r="A5" s="1" t="s">
        <v>0</v>
      </c>
      <c r="B5" s="1">
        <v>284.10000000000002</v>
      </c>
      <c r="C5" s="1">
        <v>334.6</v>
      </c>
      <c r="D5" s="1">
        <v>296</v>
      </c>
      <c r="E5" s="1">
        <v>177</v>
      </c>
      <c r="F5" s="1">
        <v>215</v>
      </c>
    </row>
    <row r="6" spans="1:6" x14ac:dyDescent="0.2">
      <c r="A6" s="1" t="s">
        <v>1</v>
      </c>
      <c r="B6" s="1">
        <v>244.9</v>
      </c>
      <c r="C6" s="1">
        <v>226.9</v>
      </c>
      <c r="D6" s="1">
        <v>216</v>
      </c>
      <c r="E6" s="1">
        <v>131</v>
      </c>
      <c r="F6" s="1">
        <v>199</v>
      </c>
    </row>
    <row r="7" spans="1:6" x14ac:dyDescent="0.2">
      <c r="A7" s="1" t="s">
        <v>2</v>
      </c>
      <c r="B7" s="1">
        <v>349.6</v>
      </c>
      <c r="C7" s="1">
        <v>331</v>
      </c>
      <c r="D7" s="1">
        <v>367</v>
      </c>
      <c r="E7" s="1">
        <v>351</v>
      </c>
      <c r="F7" s="1">
        <v>267</v>
      </c>
    </row>
    <row r="8" spans="1:6" x14ac:dyDescent="0.2">
      <c r="A8" s="1" t="s">
        <v>3</v>
      </c>
      <c r="B8" s="1">
        <v>80.3</v>
      </c>
      <c r="C8" s="1">
        <v>58.83</v>
      </c>
      <c r="D8" s="1">
        <v>60</v>
      </c>
      <c r="E8" s="1">
        <v>130</v>
      </c>
      <c r="F8" s="1">
        <v>46</v>
      </c>
    </row>
    <row r="9" spans="1:6" x14ac:dyDescent="0.2">
      <c r="A9" s="1" t="s">
        <v>4</v>
      </c>
      <c r="B9" s="1">
        <v>53.65</v>
      </c>
      <c r="C9" s="1">
        <v>53.77</v>
      </c>
      <c r="D9" s="1">
        <v>29</v>
      </c>
      <c r="E9" s="1">
        <v>50</v>
      </c>
      <c r="F9" s="1">
        <v>22</v>
      </c>
    </row>
    <row r="10" spans="1:6" x14ac:dyDescent="0.2">
      <c r="A10" s="1" t="s">
        <v>5</v>
      </c>
      <c r="B10" s="1">
        <v>115.26</v>
      </c>
      <c r="C10" s="1">
        <v>133.9</v>
      </c>
      <c r="D10" s="1">
        <v>141</v>
      </c>
      <c r="E10" s="1">
        <v>85</v>
      </c>
      <c r="F10" s="1">
        <v>108</v>
      </c>
    </row>
    <row r="11" spans="1:6" x14ac:dyDescent="0.2">
      <c r="A11" s="1" t="s">
        <v>6</v>
      </c>
      <c r="B11" s="1">
        <v>140.37</v>
      </c>
      <c r="C11" s="1">
        <v>141.4</v>
      </c>
      <c r="D11" s="1">
        <v>153</v>
      </c>
      <c r="E11" s="1">
        <v>92</v>
      </c>
      <c r="F11" s="1">
        <v>124</v>
      </c>
    </row>
    <row r="12" spans="1:6" x14ac:dyDescent="0.2">
      <c r="A12" s="1" t="s">
        <v>7</v>
      </c>
      <c r="B12" s="1">
        <v>162.38</v>
      </c>
      <c r="C12" s="1">
        <v>145.30000000000001</v>
      </c>
      <c r="D12" s="1">
        <v>129</v>
      </c>
      <c r="E12" s="1" t="s">
        <v>13</v>
      </c>
      <c r="F12" s="1">
        <v>73</v>
      </c>
    </row>
    <row r="13" spans="1:6" x14ac:dyDescent="0.2">
      <c r="A13" s="1" t="s">
        <v>8</v>
      </c>
      <c r="B13" s="1">
        <v>100.7</v>
      </c>
      <c r="C13" s="1">
        <v>114.5</v>
      </c>
      <c r="D13" s="1">
        <v>99</v>
      </c>
      <c r="E13" s="1" t="s">
        <v>13</v>
      </c>
      <c r="F13" s="1">
        <v>74</v>
      </c>
    </row>
    <row r="14" spans="1:6" x14ac:dyDescent="0.2">
      <c r="A14" s="1" t="s">
        <v>16</v>
      </c>
      <c r="B14" s="1">
        <f>(1/9)*(B5+B6+B7+2*B8+2*B9+2*B10)</f>
        <v>153.0022222222222</v>
      </c>
      <c r="C14" s="1">
        <f>(1/9)*(C5+C6+C7+2*C8+2*C9+2*C10)</f>
        <v>153.94444444444443</v>
      </c>
      <c r="D14" s="1">
        <v>149</v>
      </c>
      <c r="E14" s="1">
        <v>112</v>
      </c>
      <c r="F14" s="1">
        <v>115</v>
      </c>
    </row>
    <row r="16" spans="1:6" x14ac:dyDescent="0.2">
      <c r="A16" s="1" t="s">
        <v>15</v>
      </c>
    </row>
    <row r="17" spans="1:4" x14ac:dyDescent="0.2">
      <c r="B17" s="1" t="s">
        <v>20</v>
      </c>
      <c r="C17" s="1" t="s">
        <v>11</v>
      </c>
      <c r="D17" s="1" t="s">
        <v>12</v>
      </c>
    </row>
    <row r="18" spans="1:4" x14ac:dyDescent="0.2">
      <c r="A18" s="1" t="s">
        <v>0</v>
      </c>
      <c r="B18" s="1">
        <v>100.45</v>
      </c>
      <c r="C18" s="1">
        <v>161</v>
      </c>
      <c r="D18" s="1">
        <v>171</v>
      </c>
    </row>
    <row r="19" spans="1:4" x14ac:dyDescent="0.2">
      <c r="A19" s="1" t="s">
        <v>3</v>
      </c>
      <c r="B19" s="1">
        <v>130.88999999999999</v>
      </c>
      <c r="C19" s="1">
        <v>184</v>
      </c>
      <c r="D19" s="1">
        <v>192</v>
      </c>
    </row>
    <row r="20" spans="1:4" x14ac:dyDescent="0.2">
      <c r="A20" s="1" t="s">
        <v>6</v>
      </c>
      <c r="B20" s="1">
        <v>37.76</v>
      </c>
      <c r="C20" s="1">
        <v>56</v>
      </c>
      <c r="D20" s="1">
        <v>114</v>
      </c>
    </row>
    <row r="21" spans="1:4" x14ac:dyDescent="0.2">
      <c r="A21" s="1" t="s">
        <v>16</v>
      </c>
      <c r="B21" s="1">
        <v>120.74299999999999</v>
      </c>
      <c r="C21" s="1">
        <v>176</v>
      </c>
      <c r="D21" s="1">
        <v>185</v>
      </c>
    </row>
    <row r="23" spans="1:4" x14ac:dyDescent="0.2">
      <c r="A23" s="1" t="s">
        <v>19</v>
      </c>
    </row>
    <row r="24" spans="1:4" x14ac:dyDescent="0.2">
      <c r="B24" s="1" t="s">
        <v>10</v>
      </c>
      <c r="C24" s="1" t="s">
        <v>11</v>
      </c>
      <c r="D24" s="1" t="s">
        <v>12</v>
      </c>
    </row>
    <row r="25" spans="1:4" x14ac:dyDescent="0.2">
      <c r="A25" s="1" t="s">
        <v>0</v>
      </c>
      <c r="B25" s="1">
        <v>13.71</v>
      </c>
      <c r="C25" s="1">
        <v>184</v>
      </c>
      <c r="D25" s="1">
        <v>118</v>
      </c>
    </row>
    <row r="26" spans="1:4" x14ac:dyDescent="0.2">
      <c r="A26" s="1" t="s">
        <v>3</v>
      </c>
      <c r="B26" s="1">
        <v>165.15</v>
      </c>
      <c r="C26" s="1">
        <v>267</v>
      </c>
      <c r="D26" s="1">
        <v>156</v>
      </c>
    </row>
    <row r="27" spans="1:4" x14ac:dyDescent="0.2">
      <c r="A27" s="1" t="s">
        <v>6</v>
      </c>
      <c r="B27" s="1">
        <v>10.42</v>
      </c>
      <c r="C27" s="1">
        <v>28</v>
      </c>
      <c r="D27" s="1">
        <v>32</v>
      </c>
    </row>
    <row r="28" spans="1:4" x14ac:dyDescent="0.2">
      <c r="A28" s="1" t="s">
        <v>16</v>
      </c>
      <c r="B28" s="1">
        <v>114.67</v>
      </c>
      <c r="C28" s="1">
        <v>239</v>
      </c>
      <c r="D28" s="1">
        <v>143.33000000000001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5"/>
  <sheetViews>
    <sheetView tabSelected="1" workbookViewId="0">
      <selection activeCell="C15" sqref="C15"/>
    </sheetView>
  </sheetViews>
  <sheetFormatPr baseColWidth="10" defaultColWidth="8.83203125" defaultRowHeight="15" x14ac:dyDescent="0.2"/>
  <cols>
    <col min="1" max="10" width="8.83203125" style="1"/>
    <col min="11" max="11" width="11" style="1" customWidth="1"/>
    <col min="12" max="14" width="8.83203125" style="1"/>
    <col min="15" max="15" width="11.5" style="1" customWidth="1"/>
    <col min="16" max="16" width="10.6640625" style="1" customWidth="1"/>
    <col min="17" max="16384" width="8.83203125" style="1"/>
  </cols>
  <sheetData>
    <row r="1" spans="1:18" x14ac:dyDescent="0.2">
      <c r="A1" s="1" t="s">
        <v>18</v>
      </c>
      <c r="C1" s="2" t="s">
        <v>22</v>
      </c>
    </row>
    <row r="3" spans="1:18" x14ac:dyDescent="0.2">
      <c r="A3" s="1" t="s">
        <v>14</v>
      </c>
      <c r="B3" s="4"/>
      <c r="C3" s="4"/>
      <c r="I3" s="1" t="s">
        <v>23</v>
      </c>
      <c r="O3" s="1" t="s">
        <v>50</v>
      </c>
    </row>
    <row r="4" spans="1:18" x14ac:dyDescent="0.2">
      <c r="A4" s="1">
        <v>-11.292256999999999</v>
      </c>
      <c r="B4" s="3">
        <v>2.7930000000000001</v>
      </c>
      <c r="C4" s="5">
        <v>5.8490000000000002</v>
      </c>
      <c r="D4" s="1">
        <v>4.8940000000000001</v>
      </c>
      <c r="E4" s="1">
        <f>B4*C4*D4/4</f>
        <v>19.9874104395</v>
      </c>
      <c r="I4" s="3">
        <v>-11.148875</v>
      </c>
      <c r="J4" s="1">
        <v>3.6954099999999999</v>
      </c>
      <c r="K4" s="1">
        <v>2.9693999999999998</v>
      </c>
      <c r="L4" s="1">
        <f>K4/J4</f>
        <v>0.80353736121296415</v>
      </c>
      <c r="M4" s="1">
        <f>J4*J4*K4/2</f>
        <v>20.275144959608067</v>
      </c>
      <c r="O4" s="4">
        <v>-335.60199</v>
      </c>
      <c r="P4" s="4">
        <f>O4/30</f>
        <v>-11.186733</v>
      </c>
      <c r="Q4" s="1">
        <v>10.454000000000001</v>
      </c>
      <c r="R4" s="1">
        <v>5.6340000000000003</v>
      </c>
    </row>
    <row r="5" spans="1:18" x14ac:dyDescent="0.2">
      <c r="B5" s="1" t="s">
        <v>9</v>
      </c>
      <c r="C5" s="1" t="s">
        <v>21</v>
      </c>
      <c r="D5" s="1" t="s">
        <v>11</v>
      </c>
      <c r="E5" s="1" t="s">
        <v>12</v>
      </c>
      <c r="F5" s="2" t="s">
        <v>17</v>
      </c>
      <c r="G5" s="2" t="s">
        <v>44</v>
      </c>
      <c r="J5" s="1" t="s">
        <v>9</v>
      </c>
      <c r="K5" s="2" t="s">
        <v>25</v>
      </c>
      <c r="M5" s="1" t="s">
        <v>24</v>
      </c>
      <c r="P5" s="1" t="s">
        <v>51</v>
      </c>
    </row>
    <row r="6" spans="1:18" x14ac:dyDescent="0.2">
      <c r="A6" s="1" t="s">
        <v>0</v>
      </c>
      <c r="B6" s="1">
        <v>298.95915000000002</v>
      </c>
      <c r="C6" s="1">
        <v>299.73804999999999</v>
      </c>
      <c r="D6" s="1">
        <v>296</v>
      </c>
      <c r="E6" s="1">
        <v>177</v>
      </c>
      <c r="F6" s="1">
        <v>215</v>
      </c>
      <c r="G6" s="1">
        <v>300</v>
      </c>
      <c r="I6" s="1" t="s">
        <v>0</v>
      </c>
      <c r="J6" s="1">
        <v>263.66125</v>
      </c>
      <c r="K6" s="1">
        <v>263.66167000000002</v>
      </c>
      <c r="L6" s="1" t="s">
        <v>0</v>
      </c>
      <c r="M6" s="1">
        <v>263.55</v>
      </c>
      <c r="O6" s="1" t="s">
        <v>0</v>
      </c>
      <c r="P6" s="1">
        <v>219.75566000000001</v>
      </c>
      <c r="Q6" s="1" t="s">
        <v>0</v>
      </c>
      <c r="R6" s="1">
        <f>AVERAGE(P6:P7)</f>
        <v>220.11228499999999</v>
      </c>
    </row>
    <row r="7" spans="1:18" x14ac:dyDescent="0.2">
      <c r="A7" s="1" t="s">
        <v>1</v>
      </c>
      <c r="B7" s="1">
        <v>230.75153</v>
      </c>
      <c r="C7" s="1">
        <v>225.67326</v>
      </c>
      <c r="D7" s="1">
        <v>216</v>
      </c>
      <c r="E7" s="1">
        <v>131</v>
      </c>
      <c r="F7" s="1">
        <v>199</v>
      </c>
      <c r="G7" s="1">
        <v>220</v>
      </c>
      <c r="I7" s="1" t="s">
        <v>1</v>
      </c>
      <c r="J7" s="1">
        <v>263.43858999999998</v>
      </c>
      <c r="L7" s="1" t="s">
        <v>3</v>
      </c>
      <c r="M7" s="1">
        <v>54.821869999999997</v>
      </c>
      <c r="O7" s="1" t="s">
        <v>1</v>
      </c>
      <c r="P7" s="1">
        <v>220.46890999999999</v>
      </c>
      <c r="Q7" s="1" t="s">
        <v>3</v>
      </c>
      <c r="R7" s="1">
        <v>106.78852999999999</v>
      </c>
    </row>
    <row r="8" spans="1:18" x14ac:dyDescent="0.2">
      <c r="A8" s="1" t="s">
        <v>2</v>
      </c>
      <c r="B8" s="1">
        <v>364.01443</v>
      </c>
      <c r="C8" s="1">
        <v>364.42054999999999</v>
      </c>
      <c r="D8" s="1">
        <v>367</v>
      </c>
      <c r="E8" s="1">
        <v>351</v>
      </c>
      <c r="F8" s="1">
        <v>267</v>
      </c>
      <c r="G8" s="1">
        <v>320</v>
      </c>
      <c r="I8" s="1" t="s">
        <v>2</v>
      </c>
      <c r="J8" s="1">
        <v>254.19732999999999</v>
      </c>
      <c r="K8" s="1">
        <v>253.56620000000001</v>
      </c>
      <c r="L8" s="1" t="s">
        <v>4</v>
      </c>
      <c r="M8" s="1">
        <v>67.941220000000001</v>
      </c>
      <c r="O8" s="1" t="s">
        <v>2</v>
      </c>
      <c r="P8" s="1">
        <v>200.62289000000001</v>
      </c>
      <c r="Q8" s="1" t="s">
        <v>4</v>
      </c>
      <c r="R8" s="1">
        <f>AVERAGE(P10:P11)</f>
        <v>78.861449999999991</v>
      </c>
    </row>
    <row r="9" spans="1:18" x14ac:dyDescent="0.2">
      <c r="A9" s="1" t="s">
        <v>3</v>
      </c>
      <c r="B9" s="1">
        <v>58.808529999999998</v>
      </c>
      <c r="C9" s="1">
        <v>57.222850000000001</v>
      </c>
      <c r="D9" s="1">
        <v>60</v>
      </c>
      <c r="E9" s="1">
        <v>130</v>
      </c>
      <c r="F9" s="1">
        <v>46</v>
      </c>
      <c r="G9" s="1">
        <v>50</v>
      </c>
      <c r="I9" s="1" t="s">
        <v>3</v>
      </c>
      <c r="J9" s="1">
        <v>54.821869999999997</v>
      </c>
      <c r="K9" s="1">
        <v>54.911090000000002</v>
      </c>
      <c r="L9" s="1" t="s">
        <v>2</v>
      </c>
      <c r="M9" s="1">
        <v>254.19732999999999</v>
      </c>
      <c r="O9" s="1" t="s">
        <v>3</v>
      </c>
      <c r="P9" s="1">
        <v>106.78852999999999</v>
      </c>
      <c r="Q9" s="1" t="s">
        <v>2</v>
      </c>
      <c r="R9" s="1">
        <v>200.62289000000001</v>
      </c>
    </row>
    <row r="10" spans="1:18" x14ac:dyDescent="0.2">
      <c r="A10" s="1" t="s">
        <v>4</v>
      </c>
      <c r="B10" s="1">
        <v>30.141770000000001</v>
      </c>
      <c r="C10" s="1">
        <v>30.06099</v>
      </c>
      <c r="D10" s="1">
        <v>29</v>
      </c>
      <c r="E10" s="1">
        <v>50</v>
      </c>
      <c r="F10" s="1">
        <v>22</v>
      </c>
      <c r="G10" s="1">
        <v>5</v>
      </c>
      <c r="I10" s="1" t="s">
        <v>4</v>
      </c>
      <c r="J10" s="1">
        <v>67.941220000000001</v>
      </c>
      <c r="K10" s="1">
        <v>67.513580000000005</v>
      </c>
      <c r="L10" s="1" t="s">
        <v>6</v>
      </c>
      <c r="M10" s="1">
        <v>56.401580000000003</v>
      </c>
      <c r="O10" s="1" t="s">
        <v>4</v>
      </c>
      <c r="P10" s="1">
        <v>78.92604</v>
      </c>
      <c r="Q10" s="1" t="s">
        <v>6</v>
      </c>
      <c r="R10" s="1">
        <v>65.140749999999997</v>
      </c>
    </row>
    <row r="11" spans="1:18" x14ac:dyDescent="0.2">
      <c r="A11" s="1" t="s">
        <v>5</v>
      </c>
      <c r="B11" s="1">
        <v>144.44370000000001</v>
      </c>
      <c r="C11" s="1">
        <v>141.90309999999999</v>
      </c>
      <c r="D11" s="1">
        <v>141</v>
      </c>
      <c r="E11" s="1">
        <v>85</v>
      </c>
      <c r="F11" s="1">
        <v>108</v>
      </c>
      <c r="G11" s="1">
        <v>110</v>
      </c>
      <c r="I11" s="1" t="s">
        <v>5</v>
      </c>
      <c r="J11" s="1">
        <v>68.124139999999997</v>
      </c>
      <c r="L11" s="1" t="s">
        <v>7</v>
      </c>
      <c r="M11" s="1">
        <v>56.392299999999999</v>
      </c>
      <c r="O11" s="1" t="s">
        <v>5</v>
      </c>
      <c r="P11" s="1">
        <v>78.796859999999995</v>
      </c>
      <c r="Q11" s="1" t="s">
        <v>7</v>
      </c>
      <c r="R11" s="1">
        <f>AVERAGE(P13:P14)</f>
        <v>36.309044999999998</v>
      </c>
    </row>
    <row r="12" spans="1:18" x14ac:dyDescent="0.2">
      <c r="A12" s="1" t="s">
        <v>6</v>
      </c>
      <c r="B12" s="1">
        <v>99.503529999999998</v>
      </c>
      <c r="C12" s="1">
        <v>100.28372</v>
      </c>
      <c r="D12" s="1">
        <v>153</v>
      </c>
      <c r="E12" s="1">
        <v>92</v>
      </c>
      <c r="F12" s="1">
        <v>124</v>
      </c>
      <c r="G12" s="1">
        <v>150</v>
      </c>
      <c r="I12" s="1" t="s">
        <v>6</v>
      </c>
      <c r="J12" s="1">
        <v>56.401580000000003</v>
      </c>
      <c r="K12" s="1">
        <v>55.661119999999997</v>
      </c>
      <c r="O12" s="1" t="s">
        <v>6</v>
      </c>
      <c r="P12" s="1">
        <v>65.140749999999997</v>
      </c>
    </row>
    <row r="13" spans="1:18" x14ac:dyDescent="0.2">
      <c r="A13" s="1" t="s">
        <v>7</v>
      </c>
      <c r="B13" s="1">
        <v>149.85345000000001</v>
      </c>
      <c r="C13" s="1">
        <v>151.37181000000001</v>
      </c>
      <c r="D13" s="1">
        <v>129</v>
      </c>
      <c r="E13" s="1" t="s">
        <v>13</v>
      </c>
      <c r="F13" s="1">
        <v>73</v>
      </c>
      <c r="G13" s="1">
        <v>93</v>
      </c>
      <c r="I13" s="1" t="s">
        <v>7</v>
      </c>
      <c r="J13" s="1">
        <v>56.287089999999999</v>
      </c>
      <c r="K13" s="1">
        <v>56.346690000000002</v>
      </c>
      <c r="O13" s="1" t="s">
        <v>7</v>
      </c>
      <c r="P13" s="1">
        <v>36.418239999999997</v>
      </c>
    </row>
    <row r="14" spans="1:18" x14ac:dyDescent="0.2">
      <c r="A14" s="1" t="s">
        <v>8</v>
      </c>
      <c r="B14" s="1">
        <v>131.78711999999999</v>
      </c>
      <c r="C14" s="1">
        <v>131.74529999999999</v>
      </c>
      <c r="D14" s="1">
        <v>99</v>
      </c>
      <c r="E14" s="1" t="s">
        <v>13</v>
      </c>
      <c r="F14" s="1">
        <v>74</v>
      </c>
      <c r="G14" s="1">
        <v>120</v>
      </c>
      <c r="I14" s="1" t="s">
        <v>8</v>
      </c>
      <c r="J14" s="1">
        <v>56.497570000000003</v>
      </c>
      <c r="O14" s="1" t="s">
        <v>8</v>
      </c>
      <c r="P14" s="1">
        <v>36.199849999999998</v>
      </c>
    </row>
    <row r="15" spans="1:18" x14ac:dyDescent="0.2">
      <c r="A15" s="1" t="s">
        <v>16</v>
      </c>
      <c r="B15" s="1">
        <f>(1/9)*(B6+B7+B8+2*B9+2*B10+2*B11)</f>
        <v>151.16812333333334</v>
      </c>
      <c r="C15" s="1">
        <f>(1/9)*(C6+C7+C8+2*C9+2*C10+2*C11)</f>
        <v>149.80063777777775</v>
      </c>
      <c r="D15" s="1">
        <v>149</v>
      </c>
      <c r="E15" s="1">
        <v>112</v>
      </c>
      <c r="F15" s="1">
        <v>115</v>
      </c>
      <c r="G15" s="1">
        <v>130</v>
      </c>
      <c r="I15" s="1" t="s">
        <v>16</v>
      </c>
      <c r="J15" s="1">
        <f>(1/9)*(J6+J7+J8+2*J9+2*J10+2*J11)</f>
        <v>129.23018111111111</v>
      </c>
      <c r="O15" s="1" t="s">
        <v>16</v>
      </c>
      <c r="P15" s="1">
        <f>(1/9)*(P6+P7+P8+2*P9+2*P10+2*P11)</f>
        <v>129.98559111111109</v>
      </c>
    </row>
    <row r="16" spans="1:18" x14ac:dyDescent="0.2">
      <c r="A16" s="1" t="s">
        <v>30</v>
      </c>
      <c r="B16" s="1">
        <f>(1/15)*(2*B6-B9+B8-2*B10+6*B12+3*B14)</f>
        <v>122.34821333333332</v>
      </c>
      <c r="C16" s="1">
        <f>(1/15)*(2*C6-C9+C8-2*C10+6*C12+3*C14)</f>
        <v>122.89933599999999</v>
      </c>
      <c r="I16" s="1" t="s">
        <v>30</v>
      </c>
      <c r="J16" s="1">
        <f>(1/15)*(2*J6-J9+J8-2*J10+6*J12+3*J14)</f>
        <v>73.24784733333334</v>
      </c>
      <c r="O16" s="1" t="s">
        <v>30</v>
      </c>
      <c r="P16" s="1">
        <f>(1/15)*(2*P6-P9+P8-2*P10+6*P12+3*P14)</f>
        <v>58.329176666666662</v>
      </c>
    </row>
    <row r="17" spans="1:16" x14ac:dyDescent="0.2">
      <c r="A17" s="1" t="s">
        <v>27</v>
      </c>
      <c r="B17" s="1">
        <f>(1/3)*(B6+B7+B8)</f>
        <v>297.90836999999999</v>
      </c>
      <c r="C17" s="1">
        <f>(1/3)*(C6+C7+C8)</f>
        <v>296.61061999999998</v>
      </c>
      <c r="D17" s="1">
        <f>(1/3)*(D6+D7+D8)</f>
        <v>293</v>
      </c>
      <c r="F17" s="1">
        <f>(1/3)*(F6+F7+F8)</f>
        <v>227</v>
      </c>
      <c r="G17" s="1">
        <f>(1/3)*(G6+G7+G8)</f>
        <v>280</v>
      </c>
      <c r="I17" s="1" t="s">
        <v>27</v>
      </c>
      <c r="J17" s="1">
        <f>(1/3)*(J6+J7+J8)</f>
        <v>260.43238999999994</v>
      </c>
      <c r="O17" s="1" t="s">
        <v>27</v>
      </c>
      <c r="P17" s="1">
        <f>(1/3)*(P6+P7+P8)</f>
        <v>213.61581999999999</v>
      </c>
    </row>
    <row r="18" spans="1:16" x14ac:dyDescent="0.2">
      <c r="A18" s="1" t="s">
        <v>28</v>
      </c>
      <c r="B18" s="1">
        <f>(1/3)*(B10+B9+B11)</f>
        <v>77.798000000000002</v>
      </c>
      <c r="C18" s="1">
        <f>(1/3)*(C10+C9+C11)</f>
        <v>76.395646666666664</v>
      </c>
      <c r="D18" s="1">
        <f>(1/3)*(D10+D9+D11)</f>
        <v>76.666666666666657</v>
      </c>
      <c r="F18" s="1">
        <f>(1/3)*(F10+F9+F11)</f>
        <v>58.666666666666664</v>
      </c>
      <c r="G18" s="1">
        <f>(1/3)*(G10+G9+G11)</f>
        <v>55</v>
      </c>
      <c r="I18" s="1" t="s">
        <v>28</v>
      </c>
      <c r="J18" s="1">
        <f>(1/3)*(J10+J9+J11)</f>
        <v>63.629076666666663</v>
      </c>
      <c r="O18" s="1" t="s">
        <v>28</v>
      </c>
      <c r="P18" s="1">
        <f>(1/3)*(P10+P9+P11)</f>
        <v>88.170476666666644</v>
      </c>
    </row>
    <row r="19" spans="1:16" x14ac:dyDescent="0.2">
      <c r="A19" s="1" t="s">
        <v>29</v>
      </c>
      <c r="B19" s="1">
        <f>AVERAGE(B12:B14)</f>
        <v>127.04803333333332</v>
      </c>
      <c r="C19" s="1">
        <f>AVERAGE(C12:C14)</f>
        <v>127.80027666666666</v>
      </c>
      <c r="D19" s="1">
        <f>AVERAGE(D12:D14)</f>
        <v>127</v>
      </c>
      <c r="F19" s="1">
        <f>AVERAGE(F12:F14)</f>
        <v>90.333333333333329</v>
      </c>
      <c r="G19" s="1">
        <f>AVERAGE(G12:G14)</f>
        <v>121</v>
      </c>
      <c r="I19" s="1" t="s">
        <v>29</v>
      </c>
      <c r="J19" s="1">
        <f>AVERAGE(J12:J14)</f>
        <v>56.39541333333333</v>
      </c>
      <c r="O19" s="1" t="s">
        <v>29</v>
      </c>
      <c r="P19" s="1">
        <f>AVERAGE(P12:P14)</f>
        <v>45.919613333333331</v>
      </c>
    </row>
    <row r="20" spans="1:16" x14ac:dyDescent="0.2">
      <c r="A20" s="1" t="s">
        <v>26</v>
      </c>
      <c r="B20" s="1">
        <f>0.5*((B17-B18+3*B19)/5+5*B19*(B17-B18)/(4*B19+3*(B17-B18)))</f>
        <v>119.95435880024894</v>
      </c>
      <c r="C20" s="1">
        <f>0.5*((C17-C18+3*C19)/5+5*C19*(C17-C18)/(4*C19+3*(C17-C18)))</f>
        <v>120.40260508766329</v>
      </c>
      <c r="D20" s="1">
        <f>0.5*((D17-D18+3*D19)/5+5*D19*(D17-D18)/(4*D19+3*(D17-D18)))</f>
        <v>119.09878997407088</v>
      </c>
      <c r="F20" s="1">
        <f>0.5*((F17-F18+3*F19)/5+5*F19*(F17-F18)/(4*F19+3*(F17-F18)))</f>
        <v>87.813992561241506</v>
      </c>
      <c r="G20" s="1">
        <f>0.5*((G17-G18+3*G19)/5+5*G19*(G17-G18)/(4*G19+3*(G17-G18)))</f>
        <v>117.52519413287317</v>
      </c>
      <c r="I20" s="1" t="s">
        <v>26</v>
      </c>
      <c r="J20" s="1">
        <f>0.5*((J17-J18+3*J19)/5+5*J19*(J17-J18)/(4*J19+3*(J17-J18)))</f>
        <v>70.602994993423835</v>
      </c>
      <c r="O20" s="1" t="s">
        <v>26</v>
      </c>
      <c r="P20" s="1">
        <f>0.5*((P17-P18+3*P19)/5+5*P19*(P17-P18)/(4*P19+3*(P17-P18)))</f>
        <v>52.035832093914543</v>
      </c>
    </row>
    <row r="21" spans="1:16" x14ac:dyDescent="0.2">
      <c r="A21" s="1" t="s">
        <v>46</v>
      </c>
      <c r="B21" s="1">
        <f>9*B20*B15/(3*B15+B20)</f>
        <v>284.58800878455071</v>
      </c>
      <c r="D21" s="1">
        <f>9*D20*D15/(3*D15+D20)</f>
        <v>282.12651251655973</v>
      </c>
      <c r="F21" s="1">
        <f>9*F20*F15/(3*F15+F20)</f>
        <v>209.99201472910963</v>
      </c>
      <c r="G21" s="1">
        <f>9*G20*G15/(3*G15+G20)</f>
        <v>270.93133252309462</v>
      </c>
      <c r="I21" s="1" t="s">
        <v>46</v>
      </c>
      <c r="J21" s="1">
        <f>9*J20*J15/(3*J15+J20)</f>
        <v>179.17848191727168</v>
      </c>
      <c r="O21" s="1" t="s">
        <v>46</v>
      </c>
      <c r="P21" s="1">
        <f>9*P20*P15/(3*P15+P20)</f>
        <v>137.72894567846825</v>
      </c>
    </row>
    <row r="22" spans="1:16" x14ac:dyDescent="0.2">
      <c r="A22" s="1" t="s">
        <v>47</v>
      </c>
      <c r="B22" s="1">
        <f>(3*B15-B21)/(6*B15)</f>
        <v>0.1862345463346354</v>
      </c>
      <c r="D22" s="1">
        <f>(3*D15-D21)/(6*D15)</f>
        <v>0.18442224550720387</v>
      </c>
      <c r="F22" s="1">
        <f>(3*F15-F21)/(6*F15)</f>
        <v>0.19566374676940634</v>
      </c>
      <c r="G22" s="1">
        <f>(3*G15-G21)/(6*G15)</f>
        <v>0.15265213779090434</v>
      </c>
      <c r="I22" s="1" t="s">
        <v>47</v>
      </c>
      <c r="J22" s="1">
        <f>(3*J15-J21)/(6*J15)</f>
        <v>0.26891558873643273</v>
      </c>
      <c r="O22" s="1" t="s">
        <v>47</v>
      </c>
      <c r="P22" s="1">
        <f>(3*P15-P21)/(6*P15)</f>
        <v>0.32340485523412338</v>
      </c>
    </row>
    <row r="24" spans="1:16" x14ac:dyDescent="0.2">
      <c r="A24" s="1" t="s">
        <v>15</v>
      </c>
      <c r="I24" s="1" t="s">
        <v>19</v>
      </c>
    </row>
    <row r="25" spans="1:16" x14ac:dyDescent="0.2">
      <c r="A25" s="3">
        <v>-11.016279000000001</v>
      </c>
      <c r="B25" s="1">
        <v>3.4270399999999999</v>
      </c>
      <c r="C25" s="1">
        <f>B25^3/2</f>
        <v>20.124612409464831</v>
      </c>
      <c r="F25" s="3"/>
      <c r="G25" s="3"/>
      <c r="I25" s="3">
        <v>-10.917279000000001</v>
      </c>
      <c r="J25" s="1">
        <v>4.4326800000000004</v>
      </c>
      <c r="K25" s="1">
        <f>J25^3/4</f>
        <v>21.774046667336215</v>
      </c>
    </row>
    <row r="26" spans="1:16" x14ac:dyDescent="0.2">
      <c r="B26" s="1" t="s">
        <v>9</v>
      </c>
      <c r="C26" s="1" t="s">
        <v>11</v>
      </c>
      <c r="D26" s="1" t="s">
        <v>12</v>
      </c>
      <c r="E26" s="1" t="s">
        <v>49</v>
      </c>
      <c r="J26" s="1" t="s">
        <v>9</v>
      </c>
      <c r="K26" s="1" t="s">
        <v>11</v>
      </c>
      <c r="L26" s="1" t="s">
        <v>12</v>
      </c>
      <c r="M26" s="1" t="s">
        <v>49</v>
      </c>
    </row>
    <row r="27" spans="1:16" x14ac:dyDescent="0.2">
      <c r="A27" s="1" t="s">
        <v>0</v>
      </c>
      <c r="B27" s="1">
        <v>86.392200000000003</v>
      </c>
      <c r="C27" s="1">
        <v>161</v>
      </c>
      <c r="D27" s="1">
        <v>171</v>
      </c>
      <c r="E27" s="6">
        <v>84</v>
      </c>
      <c r="I27" s="1" t="s">
        <v>0</v>
      </c>
      <c r="J27" s="1">
        <v>45.8095</v>
      </c>
      <c r="K27" s="1">
        <v>184</v>
      </c>
      <c r="L27" s="1">
        <v>118</v>
      </c>
      <c r="M27" s="6">
        <v>14</v>
      </c>
    </row>
    <row r="28" spans="1:16" x14ac:dyDescent="0.2">
      <c r="A28" s="1" t="s">
        <v>3</v>
      </c>
      <c r="B28" s="1">
        <v>155.46600000000001</v>
      </c>
      <c r="C28" s="1">
        <v>184</v>
      </c>
      <c r="D28" s="1">
        <v>192</v>
      </c>
      <c r="E28" s="6">
        <v>159</v>
      </c>
      <c r="I28" s="1" t="s">
        <v>3</v>
      </c>
      <c r="J28" s="1">
        <v>143.70599999999999</v>
      </c>
      <c r="K28" s="1">
        <v>267</v>
      </c>
      <c r="L28" s="1">
        <v>156</v>
      </c>
      <c r="M28" s="6">
        <v>166</v>
      </c>
    </row>
    <row r="29" spans="1:16" x14ac:dyDescent="0.2">
      <c r="A29" s="1" t="s">
        <v>6</v>
      </c>
      <c r="B29" s="1">
        <v>37.125900000000001</v>
      </c>
      <c r="C29" s="1">
        <v>56</v>
      </c>
      <c r="D29" s="1">
        <v>114</v>
      </c>
      <c r="E29" s="6">
        <v>38</v>
      </c>
      <c r="I29" s="1" t="s">
        <v>6</v>
      </c>
      <c r="J29" s="1">
        <v>40.076799999999999</v>
      </c>
      <c r="K29" s="1">
        <v>28</v>
      </c>
      <c r="L29" s="1">
        <v>32</v>
      </c>
      <c r="M29" s="6">
        <v>20</v>
      </c>
    </row>
    <row r="30" spans="1:16" x14ac:dyDescent="0.2">
      <c r="A30" s="1" t="s">
        <v>16</v>
      </c>
      <c r="B30" s="1">
        <f>(1/3)*(B27+2*B28)</f>
        <v>132.44139999999999</v>
      </c>
      <c r="C30" s="1">
        <v>176</v>
      </c>
      <c r="D30" s="1">
        <v>185</v>
      </c>
      <c r="E30" s="6">
        <v>133</v>
      </c>
      <c r="I30" s="1" t="s">
        <v>16</v>
      </c>
      <c r="J30" s="1">
        <f>(1/3)*(J27+2*J28)</f>
        <v>111.07383333333333</v>
      </c>
      <c r="K30" s="1">
        <v>239</v>
      </c>
      <c r="L30" s="1">
        <v>143.33000000000001</v>
      </c>
      <c r="M30" s="6">
        <v>114</v>
      </c>
    </row>
    <row r="31" spans="1:16" x14ac:dyDescent="0.2">
      <c r="A31" s="1" t="s">
        <v>26</v>
      </c>
      <c r="B31" s="1">
        <f>0.5*((B27-B28+3*B29)/5+5*B29*(B27-B28)/(4*B29+3*(B27-B28)))</f>
        <v>113.41478516722356</v>
      </c>
      <c r="C31" s="1">
        <f>0.5*((C27-C28+3*C29)/5+5*C29*(C27-C28)/(4*C29+3*(C27-C28)))</f>
        <v>-6.2741935483870961</v>
      </c>
      <c r="E31" s="1">
        <f>0.5*((E27-E28+3*E29)/5+5*E29*(E27-E28)/(4*E29+3*(E27-E28)))</f>
        <v>101.5027397260274</v>
      </c>
      <c r="I31" s="1" t="s">
        <v>26</v>
      </c>
      <c r="J31" s="1">
        <f>0.5*((J27-J28+3*J29)/5+5*J29*(J27-J28)/(4*J29+3*(J27-J28)))</f>
        <v>75.769729739230769</v>
      </c>
      <c r="K31" s="1">
        <f>0.5*((K27-K28+3*K29)/5+5*K29*(K27-K28)/(4*K29+3*(K27-K28)))</f>
        <v>42.508759124087589</v>
      </c>
      <c r="L31" s="1">
        <f>0.5*((L27-L28+3*L29)/5+5*L29*(L27-L28)/(4*L29+3*(L27-L28)))</f>
        <v>-211.34285714285713</v>
      </c>
      <c r="M31" s="1">
        <f>0.5*((M27-M28+3*M29)/5+5*M29*(M27-M28)/(4*M29+3*(M27-M28)))</f>
        <v>11.01276595744681</v>
      </c>
    </row>
    <row r="32" spans="1:16" x14ac:dyDescent="0.2">
      <c r="A32" s="1" t="s">
        <v>30</v>
      </c>
      <c r="B32" s="1">
        <f>(1/5)*(B27-B28+3*B29)</f>
        <v>8.4607799999999997</v>
      </c>
      <c r="C32" s="1">
        <f>(1/5)*(C27-C28+3*C29)</f>
        <v>29</v>
      </c>
      <c r="I32" s="1" t="s">
        <v>30</v>
      </c>
      <c r="J32" s="1">
        <f>(1/5)*(J27-J28+3*J29)</f>
        <v>4.4667800000000026</v>
      </c>
    </row>
    <row r="33" spans="1:13" x14ac:dyDescent="0.2">
      <c r="A33" s="1" t="s">
        <v>31</v>
      </c>
      <c r="B33" s="1">
        <f>5*B29*(B27-B28)/(4*B29+3*(B27-B28))</f>
        <v>218.36879033444711</v>
      </c>
      <c r="C33" s="1">
        <f>5*C29*(C27-C28)/(4*C29+3*(C27-C28))</f>
        <v>-41.548387096774192</v>
      </c>
      <c r="I33" s="1" t="s">
        <v>31</v>
      </c>
      <c r="J33" s="1">
        <f>5*J29*(J27-J28)/(4*J29+3*(J27-J28))</f>
        <v>147.07267947846154</v>
      </c>
    </row>
    <row r="34" spans="1:13" x14ac:dyDescent="0.2">
      <c r="A34" s="1" t="s">
        <v>41</v>
      </c>
      <c r="B34" s="1">
        <f>(1/2)*(B27-B28)</f>
        <v>-34.536900000000003</v>
      </c>
      <c r="C34" s="1">
        <f>(1/2)*(C27-C28)</f>
        <v>-11.5</v>
      </c>
      <c r="D34" s="1">
        <f>(1/2)*(D27-D28)</f>
        <v>-10.5</v>
      </c>
      <c r="E34" s="1">
        <f>(1/2)*(E27-E28)</f>
        <v>-37.5</v>
      </c>
      <c r="I34" s="1" t="s">
        <v>41</v>
      </c>
      <c r="J34" s="1">
        <f>(1/2)*(J27-J28)</f>
        <v>-48.948249999999994</v>
      </c>
    </row>
    <row r="35" spans="1:13" x14ac:dyDescent="0.2">
      <c r="A35" s="3">
        <f>A25-A4</f>
        <v>0.2759779999999985</v>
      </c>
      <c r="I35" s="3">
        <f>I25-A4</f>
        <v>0.3749779999999987</v>
      </c>
    </row>
    <row r="36" spans="1:13" x14ac:dyDescent="0.2">
      <c r="A36" s="3" t="s">
        <v>46</v>
      </c>
      <c r="B36" s="1">
        <f>9*B31*B30/(3*B30+B31)</f>
        <v>264.68963654684501</v>
      </c>
      <c r="C36" s="1">
        <f>9*C31*C30/(3*C30+C31)</f>
        <v>-19.048938077719725</v>
      </c>
      <c r="E36" s="1">
        <f>9*E31*E30/(3*E30+E31)</f>
        <v>242.75347527280786</v>
      </c>
      <c r="I36" s="3" t="s">
        <v>46</v>
      </c>
      <c r="J36" s="1">
        <f>9*J31*J30/(3*J30+J31)</f>
        <v>185.19788075455105</v>
      </c>
      <c r="K36" s="1">
        <f>9*K31*K30/(3*K30+K31)</f>
        <v>120.38879048789698</v>
      </c>
      <c r="M36" s="1">
        <f>9*M31*M30/(3*M30+M31)</f>
        <v>32.007618312881227</v>
      </c>
    </row>
    <row r="37" spans="1:13" x14ac:dyDescent="0.2">
      <c r="A37" s="3" t="s">
        <v>47</v>
      </c>
      <c r="B37" s="1">
        <f>(3*B30-B36)/(6*B30)</f>
        <v>0.1669097470694649</v>
      </c>
      <c r="C37" s="1">
        <f>(3*C30-C36)/(6*C30)</f>
        <v>0.51803876711905283</v>
      </c>
      <c r="E37" s="1">
        <f>(3*E30-E36)/(6*E30)</f>
        <v>0.19579765003407537</v>
      </c>
      <c r="I37" s="3" t="s">
        <v>47</v>
      </c>
      <c r="J37" s="1">
        <f>(3*J30-J36)/(6*J30)</f>
        <v>0.22210994675530982</v>
      </c>
      <c r="K37" s="1">
        <f>(3*K30-K36)/(6*K30)</f>
        <v>0.41604686855795187</v>
      </c>
      <c r="M37" s="1">
        <f>(3*M30-M36)/(6*M30)</f>
        <v>0.45320523638467658</v>
      </c>
    </row>
    <row r="38" spans="1:13" x14ac:dyDescent="0.2">
      <c r="A38" s="3"/>
      <c r="I38" s="3"/>
    </row>
    <row r="39" spans="1:13" x14ac:dyDescent="0.2">
      <c r="A39" s="3" t="s">
        <v>43</v>
      </c>
      <c r="B39" s="1">
        <f>354+4.5*((B27+B6)+0.5*(B8+B27))/3</f>
        <v>1269.8319974999999</v>
      </c>
      <c r="I39" s="3"/>
    </row>
    <row r="40" spans="1:13" x14ac:dyDescent="0.2">
      <c r="A40" s="3" t="s">
        <v>43</v>
      </c>
      <c r="B40" s="1">
        <f>354+4.5*(2*(B27+B6+J6)/3+(B8+J8+B27)/3)/3</f>
        <v>1355.3145799999998</v>
      </c>
      <c r="I40" s="3"/>
    </row>
    <row r="42" spans="1:13" x14ac:dyDescent="0.2">
      <c r="A42" s="1" t="s">
        <v>42</v>
      </c>
    </row>
    <row r="43" spans="1:13" x14ac:dyDescent="0.2">
      <c r="A43" s="1">
        <v>-11.067500000000001</v>
      </c>
      <c r="B43" s="1">
        <v>2.9769999999999999</v>
      </c>
      <c r="C43" s="1">
        <v>5.4710000000000001</v>
      </c>
      <c r="D43" s="1">
        <v>20.9954</v>
      </c>
    </row>
    <row r="45" spans="1:13" x14ac:dyDescent="0.2">
      <c r="A45" s="1">
        <f>A43-A4</f>
        <v>0.22475699999999854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36"/>
  <sheetViews>
    <sheetView topLeftCell="C1" zoomScale="70" zoomScaleNormal="70" zoomScalePageLayoutView="70" workbookViewId="0">
      <selection activeCell="O10" sqref="O10"/>
    </sheetView>
  </sheetViews>
  <sheetFormatPr baseColWidth="10" defaultColWidth="8.83203125" defaultRowHeight="15" x14ac:dyDescent="0.2"/>
  <cols>
    <col min="2" max="3" width="12.33203125" bestFit="1" customWidth="1"/>
    <col min="4" max="4" width="12.33203125" customWidth="1"/>
  </cols>
  <sheetData>
    <row r="2" spans="1:15" x14ac:dyDescent="0.2">
      <c r="A2" t="s">
        <v>14</v>
      </c>
      <c r="E2" t="s">
        <v>48</v>
      </c>
      <c r="I2" t="s">
        <v>23</v>
      </c>
      <c r="M2" t="s">
        <v>50</v>
      </c>
    </row>
    <row r="3" spans="1:15" x14ac:dyDescent="0.2">
      <c r="A3" t="s">
        <v>34</v>
      </c>
      <c r="B3">
        <v>19.9874104395</v>
      </c>
      <c r="C3">
        <f>B3*(10^-10)^3</f>
        <v>1.9987410439500001E-29</v>
      </c>
      <c r="E3" t="s">
        <v>34</v>
      </c>
      <c r="F3">
        <v>20.673999999999999</v>
      </c>
      <c r="G3">
        <f>F3*(10^-10)^3</f>
        <v>2.0674000000000001E-29</v>
      </c>
      <c r="I3" t="s">
        <v>34</v>
      </c>
      <c r="J3">
        <v>20.275144959608067</v>
      </c>
      <c r="K3">
        <f>J3*(10^-10)^3</f>
        <v>2.0275144959608069E-29</v>
      </c>
      <c r="M3" t="s">
        <v>34</v>
      </c>
      <c r="N3">
        <v>20.524000000000001</v>
      </c>
      <c r="O3">
        <f>N3*(10^-10)^3</f>
        <v>2.0524000000000002E-29</v>
      </c>
    </row>
    <row r="4" spans="1:15" x14ac:dyDescent="0.2">
      <c r="A4" t="s">
        <v>16</v>
      </c>
      <c r="B4">
        <v>151.16812333333334</v>
      </c>
      <c r="C4">
        <f>B4*10^9</f>
        <v>151168123333.33334</v>
      </c>
      <c r="E4" t="s">
        <v>16</v>
      </c>
      <c r="F4">
        <v>130</v>
      </c>
      <c r="G4">
        <f>F4*10^9</f>
        <v>130000000000</v>
      </c>
      <c r="I4" t="s">
        <v>16</v>
      </c>
      <c r="J4">
        <v>129.23018111111111</v>
      </c>
      <c r="K4">
        <f>J4*10^9</f>
        <v>129230181111.11111</v>
      </c>
      <c r="M4" t="s">
        <v>16</v>
      </c>
      <c r="N4">
        <v>129.98559111111109</v>
      </c>
      <c r="O4">
        <f>N4*10^9</f>
        <v>129985591111.11108</v>
      </c>
    </row>
    <row r="5" spans="1:15" x14ac:dyDescent="0.2">
      <c r="A5" t="s">
        <v>26</v>
      </c>
      <c r="B5">
        <v>110.56465505162218</v>
      </c>
      <c r="C5">
        <f>B5*10^9</f>
        <v>110564655051.62218</v>
      </c>
      <c r="E5" t="s">
        <v>26</v>
      </c>
      <c r="F5">
        <v>68</v>
      </c>
      <c r="G5">
        <f>F5*10^9</f>
        <v>68000000000</v>
      </c>
      <c r="I5" t="s">
        <v>26</v>
      </c>
      <c r="J5">
        <v>101.93714151931798</v>
      </c>
      <c r="K5">
        <f>J5*10^9</f>
        <v>101937141519.31798</v>
      </c>
      <c r="M5" t="s">
        <v>26</v>
      </c>
      <c r="N5">
        <v>85.400784745661582</v>
      </c>
      <c r="O5">
        <f>N5*10^9</f>
        <v>85400784745.661575</v>
      </c>
    </row>
    <row r="6" spans="1:15" x14ac:dyDescent="0.2">
      <c r="A6" t="s">
        <v>35</v>
      </c>
      <c r="B6">
        <f>238*(1.66054*10^-27)/C3</f>
        <v>19772.872588785765</v>
      </c>
      <c r="E6" t="s">
        <v>35</v>
      </c>
      <c r="F6">
        <f>238*(1.66054*10^-27)/G3</f>
        <v>19116.209732030569</v>
      </c>
      <c r="I6" t="s">
        <v>35</v>
      </c>
      <c r="J6">
        <f>238*(1.66054*10^-27)/K3</f>
        <v>19492.266062083909</v>
      </c>
      <c r="M6" t="s">
        <v>35</v>
      </c>
      <c r="N6">
        <f>238*(1.66054*10^-27)/O3</f>
        <v>19255.920873124145</v>
      </c>
    </row>
    <row r="7" spans="1:15" x14ac:dyDescent="0.2">
      <c r="A7" t="s">
        <v>36</v>
      </c>
      <c r="B7">
        <f>((3*C4+4*C5)/(3*B6))^0.5</f>
        <v>3885.9843404710109</v>
      </c>
      <c r="E7" t="s">
        <v>36</v>
      </c>
      <c r="F7">
        <f>((3*G4+4*G5)/(3*F6))^0.5</f>
        <v>3397.5626521476865</v>
      </c>
      <c r="I7" t="s">
        <v>36</v>
      </c>
      <c r="J7">
        <f>((3*K4+4*K5)/(3*J6))^0.5</f>
        <v>3688.1763391098111</v>
      </c>
      <c r="M7" t="s">
        <v>36</v>
      </c>
      <c r="N7">
        <f>((3*O4+4*O5)/(3*N6))^0.5</f>
        <v>3558.6245942137625</v>
      </c>
    </row>
    <row r="8" spans="1:15" x14ac:dyDescent="0.2">
      <c r="A8" t="s">
        <v>37</v>
      </c>
      <c r="B8">
        <f>(C5/B6)^0.5</f>
        <v>2364.6848759080513</v>
      </c>
      <c r="E8" t="s">
        <v>37</v>
      </c>
      <c r="F8">
        <f>(G5/F6)^0.5</f>
        <v>1886.0515682394978</v>
      </c>
      <c r="I8" t="s">
        <v>37</v>
      </c>
      <c r="J8">
        <f>(K5/J6)^0.5</f>
        <v>2286.8362096961737</v>
      </c>
      <c r="M8" t="s">
        <v>37</v>
      </c>
      <c r="N8">
        <f>(O5/N6)^0.5</f>
        <v>2105.9535328040456</v>
      </c>
    </row>
    <row r="9" spans="1:15" x14ac:dyDescent="0.2">
      <c r="A9" t="s">
        <v>38</v>
      </c>
      <c r="B9">
        <f>((1/3)*((2/(B8^3))+(1/(B7^3))))^(-1/3)</f>
        <v>2612.2553650970744</v>
      </c>
      <c r="E9" t="s">
        <v>38</v>
      </c>
      <c r="F9">
        <f>((1/3)*((2/(F8^3))+(1/(F7^3))))^(-1/3)</f>
        <v>2100.7277960807446</v>
      </c>
      <c r="I9" t="s">
        <v>38</v>
      </c>
      <c r="J9">
        <f>((1/3)*((2/(J8^3))+(1/(J7^3))))^(-1/3)</f>
        <v>2521.3367910792958</v>
      </c>
      <c r="M9" t="s">
        <v>38</v>
      </c>
      <c r="N9">
        <f>((1/3)*((2/(N8^3))+(1/(N7^3))))^(-1/3)</f>
        <v>2332.7696802474902</v>
      </c>
    </row>
    <row r="10" spans="1:15" x14ac:dyDescent="0.2">
      <c r="A10" t="s">
        <v>32</v>
      </c>
      <c r="B10">
        <f>(B11/B12)*((3/(4*3.14159265358*C3))^(1/3))*B9</f>
        <v>286.57738453236345</v>
      </c>
      <c r="E10" t="s">
        <v>32</v>
      </c>
      <c r="F10">
        <f>(F11/F12)*((3/(4*3.14159265358*G3))^(1/3))*F9</f>
        <v>227.88027756757171</v>
      </c>
      <c r="I10" t="s">
        <v>32</v>
      </c>
      <c r="J10">
        <f>(J11/J12)*((3/(4*3.14159265358*K3))^(1/3))*J9</f>
        <v>275.28845616356125</v>
      </c>
      <c r="M10" t="s">
        <v>32</v>
      </c>
      <c r="N10">
        <f>(N11/N12)*((3/(4*3.14159265358*O3))^(1/3))*N9</f>
        <v>253.66642513294448</v>
      </c>
    </row>
    <row r="11" spans="1:15" x14ac:dyDescent="0.2">
      <c r="A11" t="s">
        <v>39</v>
      </c>
      <c r="B11">
        <f>4.13567*10^-15</f>
        <v>4.1356700000000004E-15</v>
      </c>
      <c r="E11" t="s">
        <v>39</v>
      </c>
      <c r="F11">
        <f>4.13567*10^-15</f>
        <v>4.1356700000000004E-15</v>
      </c>
      <c r="I11" t="s">
        <v>39</v>
      </c>
      <c r="J11">
        <f>4.13567*10^-15</f>
        <v>4.1356700000000004E-15</v>
      </c>
      <c r="M11" t="s">
        <v>39</v>
      </c>
      <c r="N11">
        <f>4.13567*10^-15</f>
        <v>4.1356700000000004E-15</v>
      </c>
    </row>
    <row r="12" spans="1:15" x14ac:dyDescent="0.2">
      <c r="A12" t="s">
        <v>40</v>
      </c>
      <c r="B12">
        <f>8.6173*10^-5</f>
        <v>8.6173000000000003E-5</v>
      </c>
      <c r="E12" t="s">
        <v>40</v>
      </c>
      <c r="F12">
        <f>8.6173*10^-5</f>
        <v>8.6173000000000003E-5</v>
      </c>
      <c r="I12" t="s">
        <v>40</v>
      </c>
      <c r="J12">
        <f>8.6173*10^-5</f>
        <v>8.6173000000000003E-5</v>
      </c>
      <c r="M12" t="s">
        <v>40</v>
      </c>
      <c r="N12">
        <f>8.6173*10^-5</f>
        <v>8.6173000000000003E-5</v>
      </c>
    </row>
    <row r="14" spans="1:15" x14ac:dyDescent="0.2">
      <c r="A14" t="s">
        <v>33</v>
      </c>
      <c r="I14" t="s">
        <v>19</v>
      </c>
      <c r="L14" t="s">
        <v>11</v>
      </c>
      <c r="N14" t="s">
        <v>49</v>
      </c>
    </row>
    <row r="15" spans="1:15" x14ac:dyDescent="0.2">
      <c r="A15" t="s">
        <v>34</v>
      </c>
      <c r="B15">
        <v>20.124612409464831</v>
      </c>
      <c r="C15">
        <f>B15*(10^-10)^3</f>
        <v>2.0124612409464834E-29</v>
      </c>
      <c r="I15" t="s">
        <v>34</v>
      </c>
      <c r="J15">
        <v>21.774046667336215</v>
      </c>
      <c r="K15">
        <f>J15*(10^-10)^3</f>
        <v>2.1774046667336218E-29</v>
      </c>
      <c r="L15">
        <v>22.48</v>
      </c>
      <c r="M15">
        <f>L15*(10^-10)^3</f>
        <v>2.2480000000000001E-29</v>
      </c>
      <c r="N15">
        <v>21.856999999999999</v>
      </c>
      <c r="O15">
        <f>N15*(10^-10)^3</f>
        <v>2.1857000000000002E-29</v>
      </c>
    </row>
    <row r="16" spans="1:15" x14ac:dyDescent="0.2">
      <c r="A16" t="s">
        <v>16</v>
      </c>
      <c r="B16">
        <v>132.44139999999999</v>
      </c>
      <c r="C16">
        <f>B16*10^9</f>
        <v>132441399999.99998</v>
      </c>
      <c r="I16" t="s">
        <v>16</v>
      </c>
      <c r="J16">
        <v>111.07383333333333</v>
      </c>
      <c r="K16">
        <f>J16*10^9</f>
        <v>111073833333.33333</v>
      </c>
      <c r="L16">
        <v>239</v>
      </c>
      <c r="M16">
        <f>L16*10^9</f>
        <v>239000000000</v>
      </c>
      <c r="N16">
        <v>114</v>
      </c>
      <c r="O16">
        <f>N16*10^9</f>
        <v>114000000000</v>
      </c>
    </row>
    <row r="17" spans="1:15" x14ac:dyDescent="0.2">
      <c r="A17" t="s">
        <v>26</v>
      </c>
      <c r="B17">
        <v>113.41478516722356</v>
      </c>
      <c r="C17">
        <f>B17*10^9</f>
        <v>113414785167.22356</v>
      </c>
      <c r="I17" t="s">
        <v>26</v>
      </c>
      <c r="J17">
        <v>75.769729739230769</v>
      </c>
      <c r="K17">
        <f>J17*10^9</f>
        <v>75769729739.230774</v>
      </c>
      <c r="L17">
        <v>43</v>
      </c>
      <c r="M17">
        <f>L17*10^9</f>
        <v>43000000000</v>
      </c>
      <c r="N17">
        <v>11</v>
      </c>
      <c r="O17">
        <f>N17*10^9</f>
        <v>11000000000</v>
      </c>
    </row>
    <row r="18" spans="1:15" x14ac:dyDescent="0.2">
      <c r="A18" t="s">
        <v>35</v>
      </c>
      <c r="B18">
        <f>238*(1.66054*10^-27)/C15</f>
        <v>19638.068647430395</v>
      </c>
      <c r="I18" t="s">
        <v>35</v>
      </c>
      <c r="J18">
        <f>238*(1.66054*10^-27)/K15</f>
        <v>18150.439651296514</v>
      </c>
      <c r="L18">
        <f>238*(1.66054*10^-27)/M15</f>
        <v>17580.450177935942</v>
      </c>
      <c r="N18">
        <f>238*(1.66054*10^-27)/O15</f>
        <v>18081.553735645328</v>
      </c>
    </row>
    <row r="19" spans="1:15" x14ac:dyDescent="0.2">
      <c r="A19" t="s">
        <v>36</v>
      </c>
      <c r="B19">
        <f>((3*C16+4*C17)/(3*B18))^0.5</f>
        <v>3800.5855675102034</v>
      </c>
      <c r="I19" t="s">
        <v>36</v>
      </c>
      <c r="J19">
        <f>((3*K16+4*K17)/(3*J18))^0.5</f>
        <v>3418.4316642258718</v>
      </c>
      <c r="L19">
        <f>((3*M16+4*M17)/(3*L18))^0.5</f>
        <v>4105.586978385908</v>
      </c>
      <c r="N19">
        <f>((3*O16+4*O17)/(3*N18))^0.5</f>
        <v>2667.5658672986456</v>
      </c>
    </row>
    <row r="20" spans="1:15" x14ac:dyDescent="0.2">
      <c r="A20" t="s">
        <v>37</v>
      </c>
      <c r="B20">
        <f>(C17/B18)^0.5</f>
        <v>2403.175292706665</v>
      </c>
      <c r="I20" t="s">
        <v>37</v>
      </c>
      <c r="J20">
        <f>(K17/J18)^0.5</f>
        <v>2043.1690180266773</v>
      </c>
      <c r="L20">
        <f>(M17/L18)^0.5</f>
        <v>1563.9369189955014</v>
      </c>
      <c r="N20">
        <f>(O17/N18)^0.5</f>
        <v>779.97102487107111</v>
      </c>
    </row>
    <row r="21" spans="1:15" x14ac:dyDescent="0.2">
      <c r="A21" t="s">
        <v>38</v>
      </c>
      <c r="B21">
        <f>((1/3)*((2/(B20^3))+(1/(B19^3))))^(-1/3)</f>
        <v>2643.9340535383649</v>
      </c>
      <c r="I21" t="s">
        <v>38</v>
      </c>
      <c r="J21">
        <f>((1/3)*((2/(J20^3))+(1/(J19^3))))^(-1/3)</f>
        <v>2261.0861054644038</v>
      </c>
      <c r="L21">
        <f>((1/3)*((2/(L20^3))+(1/(L19^3))))^(-1/3)</f>
        <v>1774.0654654403247</v>
      </c>
      <c r="N21">
        <f>((1/3)*((2/(N20^3))+(1/(N19^3))))^(-1/3)</f>
        <v>889.15488280251043</v>
      </c>
    </row>
    <row r="22" spans="1:15" x14ac:dyDescent="0.2">
      <c r="A22" t="s">
        <v>32</v>
      </c>
      <c r="B22">
        <f>(B23/B24)*((3/(4*3.14159265358*C15))^(1/3))*B21</f>
        <v>289.39203389715544</v>
      </c>
      <c r="I22" t="s">
        <v>32</v>
      </c>
      <c r="J22">
        <f>(J23/J24)*((3/(4*3.14159265358*K15))^(1/3))*J21</f>
        <v>241.07333722313081</v>
      </c>
      <c r="L22">
        <f>(L23/L24)*((3/(4*3.14159265358*M15))^(1/3))*L21</f>
        <v>187.14691311634425</v>
      </c>
      <c r="N22">
        <f>(N23/N24)*((3/(4*3.14159265358*O15))^(1/3))*N21</f>
        <v>94.680169958609696</v>
      </c>
    </row>
    <row r="23" spans="1:15" x14ac:dyDescent="0.2">
      <c r="A23" t="s">
        <v>39</v>
      </c>
      <c r="B23">
        <f>4.13567*10^-15</f>
        <v>4.1356700000000004E-15</v>
      </c>
      <c r="I23" t="s">
        <v>39</v>
      </c>
      <c r="J23">
        <f>4.13567*10^-15</f>
        <v>4.1356700000000004E-15</v>
      </c>
      <c r="L23">
        <f>4.13567*10^-15</f>
        <v>4.1356700000000004E-15</v>
      </c>
      <c r="N23">
        <f>4.13567*10^-15</f>
        <v>4.1356700000000004E-15</v>
      </c>
    </row>
    <row r="24" spans="1:15" x14ac:dyDescent="0.2">
      <c r="A24" t="s">
        <v>40</v>
      </c>
      <c r="B24">
        <f>8.6173*10^-5</f>
        <v>8.6173000000000003E-5</v>
      </c>
      <c r="I24" t="s">
        <v>40</v>
      </c>
      <c r="J24">
        <f>8.6173*10^-5</f>
        <v>8.6173000000000003E-5</v>
      </c>
      <c r="L24">
        <f>8.6173*10^-5</f>
        <v>8.6173000000000003E-5</v>
      </c>
      <c r="N24">
        <f>8.6173*10^-5</f>
        <v>8.6173000000000003E-5</v>
      </c>
    </row>
    <row r="26" spans="1:15" x14ac:dyDescent="0.2">
      <c r="A26" t="s">
        <v>45</v>
      </c>
    </row>
    <row r="27" spans="1:15" x14ac:dyDescent="0.2">
      <c r="A27" t="s">
        <v>34</v>
      </c>
      <c r="B27">
        <v>20.124612409464831</v>
      </c>
      <c r="C27">
        <f>B27*(10^-10)^3</f>
        <v>2.0124612409464834E-29</v>
      </c>
    </row>
    <row r="28" spans="1:15" x14ac:dyDescent="0.2">
      <c r="A28" t="s">
        <v>16</v>
      </c>
      <c r="B28">
        <v>133</v>
      </c>
      <c r="C28">
        <f>B28*10^9</f>
        <v>133000000000</v>
      </c>
    </row>
    <row r="29" spans="1:15" x14ac:dyDescent="0.2">
      <c r="A29" t="s">
        <v>26</v>
      </c>
      <c r="B29">
        <v>101.5027397260274</v>
      </c>
      <c r="C29">
        <f>B29*10^9</f>
        <v>101502739726.0274</v>
      </c>
    </row>
    <row r="30" spans="1:15" x14ac:dyDescent="0.2">
      <c r="A30" t="s">
        <v>35</v>
      </c>
      <c r="B30">
        <f>238*(1.66054*10^-27)/C27</f>
        <v>19638.068647430395</v>
      </c>
    </row>
    <row r="31" spans="1:15" x14ac:dyDescent="0.2">
      <c r="A31" t="s">
        <v>36</v>
      </c>
      <c r="B31">
        <f>((3*C28+4*C29)/(3*B30))^0.5</f>
        <v>3696.5014597289019</v>
      </c>
    </row>
    <row r="32" spans="1:15" x14ac:dyDescent="0.2">
      <c r="A32" t="s">
        <v>37</v>
      </c>
      <c r="B32">
        <f>(C29/B30)^0.5</f>
        <v>2273.4714013035527</v>
      </c>
    </row>
    <row r="33" spans="1:2" x14ac:dyDescent="0.2">
      <c r="A33" t="s">
        <v>38</v>
      </c>
      <c r="B33">
        <f>((1/3)*((2/(B32^3))+(1/(B31^3))))^(-1/3)</f>
        <v>2508.7455521646862</v>
      </c>
    </row>
    <row r="34" spans="1:2" x14ac:dyDescent="0.2">
      <c r="A34" t="s">
        <v>32</v>
      </c>
      <c r="B34">
        <f>(B35/B36)*((3/(4*3.14159265358*C27))^(1/3))*B33</f>
        <v>274.59496461334339</v>
      </c>
    </row>
    <row r="35" spans="1:2" x14ac:dyDescent="0.2">
      <c r="A35" t="s">
        <v>39</v>
      </c>
      <c r="B35">
        <f>4.13567*10^-15</f>
        <v>4.1356700000000004E-15</v>
      </c>
    </row>
    <row r="36" spans="1:2" x14ac:dyDescent="0.2">
      <c r="A36" t="s">
        <v>40</v>
      </c>
      <c r="B36">
        <f>8.6173*10^-5</f>
        <v>8.6173000000000003E-5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elastic constants</vt:lpstr>
      <vt:lpstr>updated, refined, standardized</vt:lpstr>
      <vt:lpstr>debye T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beeler</dc:creator>
  <cp:lastModifiedBy>Benjamin W. Beeler</cp:lastModifiedBy>
  <dcterms:created xsi:type="dcterms:W3CDTF">2010-07-07T01:40:38Z</dcterms:created>
  <dcterms:modified xsi:type="dcterms:W3CDTF">2018-10-31T21:24:52Z</dcterms:modified>
</cp:coreProperties>
</file>