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davis_work/"/>
    </mc:Choice>
  </mc:AlternateContent>
  <xr:revisionPtr revIDLastSave="0" documentId="13_ncr:1_{B64A111A-DD14-7C46-87D2-CCC744E92F88}" xr6:coauthVersionLast="47" xr6:coauthVersionMax="47" xr10:uidLastSave="{00000000-0000-0000-0000-000000000000}"/>
  <bookViews>
    <workbookView xWindow="1200" yWindow="2280" windowWidth="29060" windowHeight="16440" xr2:uid="{9337B59B-94E8-6A43-AF9A-2652C7F43BC5}"/>
  </bookViews>
  <sheets>
    <sheet name="VASP" sheetId="2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5" i="2" l="1"/>
  <c r="R16" i="2"/>
  <c r="R10" i="2"/>
  <c r="R11" i="2"/>
  <c r="M12" i="2"/>
  <c r="M13" i="2"/>
  <c r="N13" i="2"/>
  <c r="N12" i="2"/>
  <c r="M20" i="2"/>
  <c r="N20" i="2"/>
  <c r="K23" i="2"/>
  <c r="K10" i="2"/>
  <c r="M10" i="2"/>
  <c r="M11" i="2"/>
  <c r="K6" i="2"/>
  <c r="M6" i="2"/>
  <c r="M5" i="2"/>
  <c r="K5" i="2"/>
  <c r="M4" i="2"/>
  <c r="K4" i="2"/>
  <c r="K13" i="2" l="1"/>
  <c r="K11" i="2"/>
  <c r="K21" i="2"/>
  <c r="K18" i="2" l="1"/>
  <c r="K16" i="2"/>
  <c r="K17" i="2" l="1"/>
  <c r="K12" i="2"/>
  <c r="K22" i="2"/>
  <c r="K20" i="2"/>
  <c r="K15" i="2"/>
  <c r="F20" i="2"/>
  <c r="D20" i="2"/>
  <c r="F21" i="2"/>
  <c r="D21" i="2"/>
  <c r="N21" i="2" l="1"/>
  <c r="M21" i="2"/>
  <c r="N23" i="2"/>
  <c r="M23" i="2"/>
  <c r="I29" i="3"/>
  <c r="J29" i="3"/>
  <c r="J28" i="3"/>
  <c r="I28" i="3"/>
  <c r="I27" i="3"/>
  <c r="J27" i="3"/>
  <c r="J10" i="3" l="1"/>
  <c r="I10" i="3"/>
  <c r="J9" i="3"/>
  <c r="I9" i="3"/>
  <c r="J8" i="3"/>
  <c r="I8" i="3"/>
  <c r="V5" i="3"/>
  <c r="U5" i="3"/>
  <c r="V4" i="3"/>
  <c r="U4" i="3"/>
  <c r="V3" i="3"/>
  <c r="U3" i="3"/>
  <c r="J3" i="3"/>
  <c r="J4" i="3"/>
  <c r="J5" i="3"/>
  <c r="I3" i="3"/>
  <c r="I5" i="3"/>
  <c r="I4" i="3"/>
  <c r="K8" i="3" l="1"/>
  <c r="D17" i="2"/>
  <c r="D11" i="2"/>
  <c r="F17" i="2"/>
  <c r="F11" i="2"/>
  <c r="F12" i="2"/>
  <c r="F18" i="2"/>
  <c r="D18" i="2"/>
  <c r="D12" i="2"/>
  <c r="D16" i="2" l="1"/>
  <c r="D15" i="2"/>
  <c r="D14" i="2"/>
  <c r="F16" i="2"/>
  <c r="F15" i="2"/>
  <c r="F14" i="2"/>
  <c r="F10" i="2"/>
  <c r="D10" i="2"/>
  <c r="F9" i="2"/>
  <c r="D9" i="2"/>
  <c r="F8" i="2"/>
  <c r="D8" i="2"/>
  <c r="D5" i="2"/>
  <c r="D4" i="2"/>
  <c r="D3" i="2"/>
  <c r="D41" i="2" l="1"/>
  <c r="G15" i="2"/>
  <c r="G16" i="2"/>
  <c r="N11" i="2"/>
  <c r="M16" i="2"/>
  <c r="N16" i="2"/>
  <c r="M18" i="2"/>
  <c r="N18" i="2"/>
  <c r="G21" i="2"/>
  <c r="G20" i="2"/>
  <c r="G38" i="2"/>
  <c r="G10" i="2"/>
  <c r="G17" i="2"/>
  <c r="G11" i="2"/>
  <c r="G18" i="2"/>
  <c r="G12" i="2"/>
  <c r="D32" i="2"/>
  <c r="D25" i="2"/>
  <c r="D44" i="2"/>
  <c r="G8" i="2"/>
  <c r="G9" i="2"/>
  <c r="D26" i="2"/>
  <c r="D29" i="2"/>
  <c r="D28" i="2"/>
  <c r="D27" i="2"/>
  <c r="D38" i="2"/>
  <c r="G14" i="2"/>
  <c r="D35" i="2"/>
  <c r="D33" i="2"/>
  <c r="D34" i="2"/>
  <c r="N10" i="2" l="1"/>
  <c r="N17" i="2"/>
  <c r="M17" i="2"/>
  <c r="M15" i="2"/>
  <c r="N15" i="2"/>
  <c r="N22" i="2"/>
  <c r="M22" i="2"/>
</calcChain>
</file>

<file path=xl/sharedStrings.xml><?xml version="1.0" encoding="utf-8"?>
<sst xmlns="http://schemas.openxmlformats.org/spreadsheetml/2006/main" count="131" uniqueCount="60">
  <si>
    <t>B2-FeNi</t>
  </si>
  <si>
    <t>a0</t>
  </si>
  <si>
    <t>L12-Fe3Ni</t>
  </si>
  <si>
    <t>D03-Fe3Ni</t>
  </si>
  <si>
    <t>B2-FeAl</t>
  </si>
  <si>
    <t>L12-Fe3Al</t>
  </si>
  <si>
    <t>D03-Fe3Al</t>
  </si>
  <si>
    <t>Ef/at</t>
  </si>
  <si>
    <t>FeNiAl testing</t>
  </si>
  <si>
    <t>E</t>
  </si>
  <si>
    <t>E/at</t>
  </si>
  <si>
    <t>V</t>
  </si>
  <si>
    <t>Lx</t>
  </si>
  <si>
    <t>bcc Fe</t>
  </si>
  <si>
    <t>fcc Ni</t>
  </si>
  <si>
    <t>fcc Al</t>
  </si>
  <si>
    <t>bccFe</t>
  </si>
  <si>
    <t>fccAl</t>
  </si>
  <si>
    <t>fccNi</t>
  </si>
  <si>
    <t>B2 FeNi</t>
  </si>
  <si>
    <t>L12 Fe3Ni</t>
  </si>
  <si>
    <t>D03 Fe3Ni</t>
  </si>
  <si>
    <t>fraction error</t>
  </si>
  <si>
    <t>abs error</t>
  </si>
  <si>
    <t>B2 FeAl</t>
  </si>
  <si>
    <t>L12 Fe3Al</t>
  </si>
  <si>
    <t>D03 Fe3Al</t>
  </si>
  <si>
    <t>FeNiAl Layer</t>
  </si>
  <si>
    <t>LAMMPS</t>
  </si>
  <si>
    <t>liquid feni</t>
  </si>
  <si>
    <t>liquid feal</t>
  </si>
  <si>
    <t>D03-FeNi3</t>
  </si>
  <si>
    <t>L12-FeNi3</t>
  </si>
  <si>
    <t>L12-FeAl3</t>
  </si>
  <si>
    <t>D03-FeAl3</t>
  </si>
  <si>
    <t>bccfe</t>
  </si>
  <si>
    <t>100 K</t>
  </si>
  <si>
    <t>P</t>
  </si>
  <si>
    <t>Ly</t>
  </si>
  <si>
    <t>Lz</t>
  </si>
  <si>
    <t>ISO</t>
  </si>
  <si>
    <t>ANSIO</t>
  </si>
  <si>
    <t>fccni</t>
  </si>
  <si>
    <t>fccal</t>
  </si>
  <si>
    <t>FeNi</t>
  </si>
  <si>
    <t>FeAl</t>
  </si>
  <si>
    <t>L12 FeNi3</t>
  </si>
  <si>
    <t>D03 FeNi3</t>
  </si>
  <si>
    <t>L12 FeAl3</t>
  </si>
  <si>
    <t>D03 FeAl3</t>
  </si>
  <si>
    <t>10-&gt;1 K</t>
  </si>
  <si>
    <t>0 K</t>
  </si>
  <si>
    <t>B2-NiAl</t>
  </si>
  <si>
    <t>L12-Ni3Al</t>
  </si>
  <si>
    <t>B2 NiAl</t>
  </si>
  <si>
    <t>L12 Ni3Al</t>
  </si>
  <si>
    <t>Primary Targets</t>
  </si>
  <si>
    <t>Secondary Targets</t>
  </si>
  <si>
    <t>D03 Ni3Al</t>
  </si>
  <si>
    <t>L12 NiAl3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</si>
</sst>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11" fontId="0" fillId="0" borderId="0" xfId="0" applyNumberFormat="1"/>
    <xf numFmtId="0" fontId="2" fillId="0" borderId="0" xfId="0" applyFont="1"/>
    <xf numFmtId="11" fontId="2" fillId="0" borderId="0" xfId="0" applyNumberFormat="1" applyFont="1"/>
    <xf numFmtId="164" fontId="2" fillId="0" borderId="0" xfId="0" applyNumberFormat="1" applyFont="1"/>
    <xf numFmtId="0" fontId="1" fillId="0" borderId="0" xfId="0" applyFont="1"/>
    <xf numFmtId="164" fontId="1" fillId="0" borderId="0" xfId="0" applyNumberFormat="1" applyFont="1"/>
    <xf numFmtId="165" fontId="0" fillId="0" borderId="0" xfId="0" applyNumberFormat="1"/>
    <xf numFmtId="165" fontId="1" fillId="0" borderId="0" xfId="0" applyNumberFormat="1" applyFont="1"/>
    <xf numFmtId="11" fontId="1" fillId="0" borderId="0" xfId="0" applyNumberFormat="1" applyFont="1"/>
    <xf numFmtId="0" fontId="0" fillId="0" borderId="0" xfId="0" applyFont="1"/>
    <xf numFmtId="11" fontId="0" fillId="0" borderId="0" xfId="0" applyNumberFormat="1" applyFont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VASP!$B$26:$B$29</c:f>
              <c:numCache>
                <c:formatCode>General</c:formatCode>
                <c:ptCount val="4"/>
                <c:pt idx="0">
                  <c:v>2.4</c:v>
                </c:pt>
                <c:pt idx="1">
                  <c:v>2.6</c:v>
                </c:pt>
                <c:pt idx="2">
                  <c:v>3</c:v>
                </c:pt>
                <c:pt idx="3">
                  <c:v>3.2</c:v>
                </c:pt>
              </c:numCache>
            </c:numRef>
          </c:xVal>
          <c:yVal>
            <c:numRef>
              <c:f>VASP!$D$26:$D$29</c:f>
              <c:numCache>
                <c:formatCode>0.000</c:formatCode>
                <c:ptCount val="4"/>
                <c:pt idx="0">
                  <c:v>2.5753748500000007</c:v>
                </c:pt>
                <c:pt idx="1">
                  <c:v>0.71445425000000062</c:v>
                </c:pt>
                <c:pt idx="2">
                  <c:v>0.20891825000000042</c:v>
                </c:pt>
                <c:pt idx="3">
                  <c:v>0.63403075000000042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7B-324A-9923-B8D75DC0C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722223"/>
        <c:axId val="1953723903"/>
      </c:scatterChart>
      <c:valAx>
        <c:axId val="195372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723903"/>
        <c:crosses val="autoZero"/>
        <c:crossBetween val="midCat"/>
      </c:valAx>
      <c:valAx>
        <c:axId val="1953723903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72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VASP!$B$26:$B$29</c:f>
              <c:numCache>
                <c:formatCode>General</c:formatCode>
                <c:ptCount val="4"/>
                <c:pt idx="0">
                  <c:v>2.4</c:v>
                </c:pt>
                <c:pt idx="1">
                  <c:v>2.6</c:v>
                </c:pt>
                <c:pt idx="2">
                  <c:v>3</c:v>
                </c:pt>
                <c:pt idx="3">
                  <c:v>3.2</c:v>
                </c:pt>
              </c:numCache>
            </c:numRef>
          </c:xVal>
          <c:yVal>
            <c:numRef>
              <c:f>VASP!$D$32:$D$35</c:f>
              <c:numCache>
                <c:formatCode>0.000</c:formatCode>
                <c:ptCount val="4"/>
                <c:pt idx="0">
                  <c:v>2.5285308250000007</c:v>
                </c:pt>
                <c:pt idx="1">
                  <c:v>0.40345762500000037</c:v>
                </c:pt>
                <c:pt idx="2">
                  <c:v>-0.24735187499999989</c:v>
                </c:pt>
                <c:pt idx="3">
                  <c:v>9.4767625000000022E-2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D5-5E47-A573-F650381ABB6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VASP!$I$23:$I$27</c:f>
              <c:numCache>
                <c:formatCode>General</c:formatCode>
                <c:ptCount val="5"/>
              </c:numCache>
            </c:numRef>
          </c:xVal>
          <c:yVal>
            <c:numRef>
              <c:f>VASP!$R$24:$R$27</c:f>
              <c:numCache>
                <c:formatCode>0.000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D5-5E47-A573-F650381AB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722223"/>
        <c:axId val="1953723903"/>
      </c:scatterChart>
      <c:valAx>
        <c:axId val="195372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723903"/>
        <c:crosses val="autoZero"/>
        <c:crossBetween val="midCat"/>
      </c:valAx>
      <c:valAx>
        <c:axId val="1953723903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72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29</xdr:row>
      <xdr:rowOff>196850</xdr:rowOff>
    </xdr:from>
    <xdr:to>
      <xdr:col>14</xdr:col>
      <xdr:colOff>577850</xdr:colOff>
      <xdr:row>43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0A0A45-0F7C-EB41-8C2D-9E2E1483B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787400</xdr:colOff>
      <xdr:row>30</xdr:row>
      <xdr:rowOff>50800</xdr:rowOff>
    </xdr:from>
    <xdr:to>
      <xdr:col>21</xdr:col>
      <xdr:colOff>406400</xdr:colOff>
      <xdr:row>43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28A441-2429-6B43-9210-289F28886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3736C-373F-3241-97CC-64F85E1DAEE3}">
  <dimension ref="B2:R44"/>
  <sheetViews>
    <sheetView tabSelected="1" zoomScaleNormal="100" workbookViewId="0">
      <selection activeCell="B3" sqref="B3:B22"/>
    </sheetView>
  </sheetViews>
  <sheetFormatPr baseColWidth="10" defaultRowHeight="16" x14ac:dyDescent="0.2"/>
  <sheetData>
    <row r="2" spans="2:18" x14ac:dyDescent="0.2">
      <c r="C2" t="s">
        <v>9</v>
      </c>
      <c r="D2" t="s">
        <v>10</v>
      </c>
      <c r="E2" t="s">
        <v>1</v>
      </c>
      <c r="I2" t="s">
        <v>8</v>
      </c>
    </row>
    <row r="3" spans="2:18" x14ac:dyDescent="0.2">
      <c r="B3" t="s">
        <v>16</v>
      </c>
      <c r="C3" s="2">
        <v>-16.497081000000001</v>
      </c>
      <c r="D3" s="1">
        <f>C3/2</f>
        <v>-8.2485405000000007</v>
      </c>
      <c r="E3">
        <v>2.8300481080000002</v>
      </c>
      <c r="J3" t="s">
        <v>9</v>
      </c>
      <c r="K3" t="s">
        <v>10</v>
      </c>
      <c r="L3" t="s">
        <v>12</v>
      </c>
      <c r="M3" t="s">
        <v>1</v>
      </c>
    </row>
    <row r="4" spans="2:18" x14ac:dyDescent="0.2">
      <c r="B4" t="s">
        <v>18</v>
      </c>
      <c r="C4" s="2">
        <v>-21.95054</v>
      </c>
      <c r="D4" s="1">
        <f>C4/4</f>
        <v>-5.487635</v>
      </c>
      <c r="E4">
        <v>3.518021294</v>
      </c>
      <c r="I4" t="s">
        <v>13</v>
      </c>
      <c r="J4">
        <v>-1782.4268999999999</v>
      </c>
      <c r="K4" s="1">
        <f>J4/432</f>
        <v>-4.1259881944444441</v>
      </c>
      <c r="L4">
        <v>17.116565000000001</v>
      </c>
      <c r="M4" s="1">
        <f>L4/6</f>
        <v>2.8527608333333334</v>
      </c>
    </row>
    <row r="5" spans="2:18" x14ac:dyDescent="0.2">
      <c r="B5" t="s">
        <v>17</v>
      </c>
      <c r="C5" s="2">
        <v>-14.842150999999999</v>
      </c>
      <c r="D5" s="1">
        <f>C5/4</f>
        <v>-3.7105377499999999</v>
      </c>
      <c r="E5">
        <v>4.0393081559999997</v>
      </c>
      <c r="I5" t="s">
        <v>14</v>
      </c>
      <c r="J5">
        <v>-3845.3388</v>
      </c>
      <c r="K5" s="1">
        <f>J5/864</f>
        <v>-4.4506236111111113</v>
      </c>
      <c r="L5">
        <v>21.115145999999999</v>
      </c>
      <c r="M5" s="1">
        <f>L5/6</f>
        <v>3.5191909999999997</v>
      </c>
    </row>
    <row r="6" spans="2:18" x14ac:dyDescent="0.2">
      <c r="I6" t="s">
        <v>15</v>
      </c>
      <c r="J6">
        <v>-2903.5234</v>
      </c>
      <c r="K6" s="1">
        <f>J6/864</f>
        <v>-3.3605594907407408</v>
      </c>
      <c r="L6">
        <v>24.296468000000001</v>
      </c>
      <c r="M6" s="1">
        <f>L6/6</f>
        <v>4.0494113333333335</v>
      </c>
    </row>
    <row r="7" spans="2:18" x14ac:dyDescent="0.2">
      <c r="C7" t="s">
        <v>9</v>
      </c>
      <c r="D7" t="s">
        <v>10</v>
      </c>
      <c r="E7" t="s">
        <v>11</v>
      </c>
      <c r="F7" t="s">
        <v>1</v>
      </c>
      <c r="G7" t="s">
        <v>7</v>
      </c>
    </row>
    <row r="8" spans="2:18" x14ac:dyDescent="0.2">
      <c r="B8" s="11" t="s">
        <v>0</v>
      </c>
      <c r="C8" s="12">
        <v>-13.569121000000001</v>
      </c>
      <c r="D8" s="12">
        <f>C8/2</f>
        <v>-6.7845605000000004</v>
      </c>
      <c r="E8" s="11">
        <v>23.2</v>
      </c>
      <c r="F8" s="13">
        <f t="shared" ref="F8:F18" si="0">E8^(1/3)</f>
        <v>2.8520862942848173</v>
      </c>
      <c r="G8" s="13">
        <f>(C8-D$3-D$4)/2</f>
        <v>8.3527249999999942E-2</v>
      </c>
      <c r="I8" t="s">
        <v>56</v>
      </c>
      <c r="P8" t="s">
        <v>57</v>
      </c>
    </row>
    <row r="9" spans="2:18" x14ac:dyDescent="0.2">
      <c r="B9" s="6" t="s">
        <v>2</v>
      </c>
      <c r="C9" s="10">
        <v>-29.782983999999999</v>
      </c>
      <c r="D9" s="10">
        <f>C9/4</f>
        <v>-7.4457459999999998</v>
      </c>
      <c r="E9" s="6">
        <v>43.61</v>
      </c>
      <c r="F9" s="7">
        <f t="shared" si="0"/>
        <v>3.5198867904361495</v>
      </c>
      <c r="G9" s="7">
        <f>(C9-3*D$3-D$4)/4</f>
        <v>0.1125681250000008</v>
      </c>
      <c r="M9" t="s">
        <v>22</v>
      </c>
      <c r="N9" t="s">
        <v>23</v>
      </c>
    </row>
    <row r="10" spans="2:18" x14ac:dyDescent="0.2">
      <c r="B10" s="6" t="s">
        <v>3</v>
      </c>
      <c r="C10" s="10">
        <v>-120.37047</v>
      </c>
      <c r="D10" s="10">
        <f>C10/16</f>
        <v>-7.5231543749999998</v>
      </c>
      <c r="E10" s="6">
        <v>186.89</v>
      </c>
      <c r="F10" s="7">
        <f t="shared" si="0"/>
        <v>5.7173575745376199</v>
      </c>
      <c r="G10" s="7">
        <f>(C10-12*D$3-4*D$4)/16</f>
        <v>3.5159750000000711E-2</v>
      </c>
      <c r="I10" t="s">
        <v>20</v>
      </c>
      <c r="J10">
        <v>-447.02850987088101</v>
      </c>
      <c r="K10" s="1">
        <f>(J10-81*K4-27*K5)/108</f>
        <v>6.7994179436286564E-2</v>
      </c>
      <c r="L10" t="s">
        <v>7</v>
      </c>
      <c r="M10">
        <f>ABS(K10-G9)/G9</f>
        <v>0.39597306576541019</v>
      </c>
      <c r="N10">
        <f>ABS(K10-G9)</f>
        <v>4.4573945563714232E-2</v>
      </c>
      <c r="P10" t="s">
        <v>19</v>
      </c>
      <c r="Q10">
        <v>-585.42501856094805</v>
      </c>
      <c r="R10" s="1">
        <f>(Q10-64*K4-64*K5)/128</f>
        <v>-0.28532705472962894</v>
      </c>
    </row>
    <row r="11" spans="2:18" x14ac:dyDescent="0.2">
      <c r="B11" t="s">
        <v>32</v>
      </c>
      <c r="C11" s="2">
        <v>-24.841161</v>
      </c>
      <c r="D11" s="2">
        <f>C11/4</f>
        <v>-6.2102902499999999</v>
      </c>
      <c r="E11">
        <v>42.89</v>
      </c>
      <c r="F11" s="1">
        <f t="shared" si="0"/>
        <v>3.5004081156753402</v>
      </c>
      <c r="G11" s="1">
        <f>(C11-D$3-3*D$4)/4</f>
        <v>-3.2428874999999913E-2</v>
      </c>
      <c r="J11">
        <v>1237.7951</v>
      </c>
      <c r="K11" s="1">
        <f>(J11^(1/3))/3</f>
        <v>3.5789997247810423</v>
      </c>
      <c r="L11" t="s">
        <v>1</v>
      </c>
      <c r="M11">
        <f>ABS(K11-F9)/F9</f>
        <v>1.6793987382068089E-2</v>
      </c>
      <c r="N11">
        <f>ABS(K11-F9)</f>
        <v>5.9112934344892842E-2</v>
      </c>
      <c r="Q11">
        <v>1341.3765722084599</v>
      </c>
      <c r="R11" s="1">
        <f>(Q11^(1/3))/4</f>
        <v>2.7571279083293656</v>
      </c>
    </row>
    <row r="12" spans="2:18" x14ac:dyDescent="0.2">
      <c r="B12" t="s">
        <v>31</v>
      </c>
      <c r="C12" s="2">
        <v>-98.397644999999997</v>
      </c>
      <c r="D12" s="2">
        <f>C12/16</f>
        <v>-6.1498528124999998</v>
      </c>
      <c r="E12">
        <v>179.2</v>
      </c>
      <c r="F12" s="1">
        <f t="shared" si="0"/>
        <v>5.6378389856519133</v>
      </c>
      <c r="G12" s="1">
        <f>(C12-4*D$3-12*D$4)/16</f>
        <v>2.8008562500000167E-2</v>
      </c>
      <c r="I12" t="s">
        <v>21</v>
      </c>
      <c r="J12">
        <v>-545.61140999999998</v>
      </c>
      <c r="K12" s="1">
        <f>(J12-96*K5-32*K6)/128</f>
        <v>-8.4481559606481405E-2</v>
      </c>
      <c r="L12" t="s">
        <v>7</v>
      </c>
      <c r="M12">
        <f>ABS(K12-G10)/G10</f>
        <v>3.4027918175322549</v>
      </c>
      <c r="N12">
        <f>ABS(K12-G10)</f>
        <v>0.11964130960648212</v>
      </c>
      <c r="P12" t="s">
        <v>46</v>
      </c>
      <c r="R12" s="1"/>
    </row>
    <row r="13" spans="2:18" x14ac:dyDescent="0.2">
      <c r="C13" s="2"/>
      <c r="D13" s="2"/>
      <c r="F13" s="1"/>
      <c r="G13" s="1"/>
      <c r="J13">
        <v>1448.5805</v>
      </c>
      <c r="K13" s="1">
        <f>(J13^(1/3))/2</f>
        <v>5.6574086380364186</v>
      </c>
      <c r="L13" t="s">
        <v>1</v>
      </c>
      <c r="M13">
        <f>ABS(K13-F10)/F10</f>
        <v>1.0485427178489815E-2</v>
      </c>
      <c r="N13">
        <f>ABS(K13-F10)</f>
        <v>5.9948936501201366E-2</v>
      </c>
      <c r="R13" s="1"/>
    </row>
    <row r="14" spans="2:18" x14ac:dyDescent="0.2">
      <c r="B14" s="11" t="s">
        <v>4</v>
      </c>
      <c r="C14" s="12">
        <v>-12.642923</v>
      </c>
      <c r="D14" s="12">
        <f>C14/2</f>
        <v>-6.3214614999999998</v>
      </c>
      <c r="E14" s="11">
        <v>23.8</v>
      </c>
      <c r="F14" s="13">
        <f t="shared" si="0"/>
        <v>2.8764642824468321</v>
      </c>
      <c r="G14" s="13">
        <f>(C14-D$3-D$5)/2</f>
        <v>-0.34192237499999956</v>
      </c>
      <c r="K14" s="1"/>
      <c r="R14" s="1"/>
    </row>
    <row r="15" spans="2:18" x14ac:dyDescent="0.2">
      <c r="B15" s="6" t="s">
        <v>5</v>
      </c>
      <c r="C15" s="10">
        <v>-29.273737000000001</v>
      </c>
      <c r="D15" s="10">
        <f>C15/4</f>
        <v>-7.3184342500000001</v>
      </c>
      <c r="E15" s="6">
        <v>48.66</v>
      </c>
      <c r="F15" s="7">
        <f t="shared" si="0"/>
        <v>3.6508223580223329</v>
      </c>
      <c r="G15" s="7">
        <f>(C15-3*D$3-D$5)/4</f>
        <v>-0.20439443749999964</v>
      </c>
      <c r="I15" t="s">
        <v>25</v>
      </c>
      <c r="J15">
        <v>-444.69284173460301</v>
      </c>
      <c r="K15" s="1">
        <f>(J15-81*K4-27*K6)/108</f>
        <v>-0.18289529383891712</v>
      </c>
      <c r="L15" t="s">
        <v>7</v>
      </c>
      <c r="M15">
        <f>ABS(K15-G15)/G15</f>
        <v>-0.10518458292722647</v>
      </c>
      <c r="N15">
        <f>ABS(K15-G15)</f>
        <v>2.149914366108252E-2</v>
      </c>
      <c r="P15" t="s">
        <v>24</v>
      </c>
      <c r="Q15">
        <v>-518.74049707942299</v>
      </c>
      <c r="R15" s="1">
        <f>(Q15-64*K4-64*K6)/128</f>
        <v>-0.3093862908403997</v>
      </c>
    </row>
    <row r="16" spans="2:18" x14ac:dyDescent="0.2">
      <c r="B16" s="6" t="s">
        <v>6</v>
      </c>
      <c r="C16" s="10">
        <v>-117.08292</v>
      </c>
      <c r="D16" s="10">
        <f>C16/16</f>
        <v>-7.3176825000000001</v>
      </c>
      <c r="E16" s="6">
        <v>188.51</v>
      </c>
      <c r="F16" s="7">
        <f t="shared" si="0"/>
        <v>5.7338298049732161</v>
      </c>
      <c r="G16" s="7">
        <f>(C16-12*D$3-4*D$5)/16</f>
        <v>-0.20364268749999959</v>
      </c>
      <c r="J16">
        <v>1330.6536113955699</v>
      </c>
      <c r="K16" s="1">
        <f>(J16^(1/3))/3</f>
        <v>3.6663485595430418</v>
      </c>
      <c r="L16" t="s">
        <v>1</v>
      </c>
      <c r="M16">
        <f>ABS(K16-F15)/F15</f>
        <v>4.2527956712524219E-3</v>
      </c>
      <c r="N16">
        <f>ABS(K16-F15)</f>
        <v>1.5526201520708938E-2</v>
      </c>
      <c r="Q16">
        <v>1463.60017196227</v>
      </c>
      <c r="R16" s="1">
        <f>(Q16^(1/3))/4</f>
        <v>2.8384472388233615</v>
      </c>
    </row>
    <row r="17" spans="2:18" x14ac:dyDescent="0.2">
      <c r="B17" s="11" t="s">
        <v>33</v>
      </c>
      <c r="C17" s="12">
        <v>-19.916687</v>
      </c>
      <c r="D17" s="12">
        <f>C17/4</f>
        <v>-4.9791717499999999</v>
      </c>
      <c r="E17" s="11">
        <v>54.69</v>
      </c>
      <c r="F17" s="13">
        <f t="shared" si="0"/>
        <v>3.7957940537531725</v>
      </c>
      <c r="G17" s="13">
        <f>(C17-D$3-3*D$5)/4</f>
        <v>-0.13413331249999993</v>
      </c>
      <c r="I17" t="s">
        <v>26</v>
      </c>
      <c r="J17">
        <v>-529.32285000000002</v>
      </c>
      <c r="K17" s="1">
        <f>(J17-96*K4-32*K6)/128</f>
        <v>-0.20070374710648187</v>
      </c>
      <c r="L17" t="s">
        <v>7</v>
      </c>
      <c r="M17">
        <f>ABS(K17-G16)/G16</f>
        <v>-1.4431848398768187E-2</v>
      </c>
      <c r="N17">
        <f>ABS(K17-G16)</f>
        <v>2.9389403935177194E-3</v>
      </c>
      <c r="P17" t="s">
        <v>48</v>
      </c>
      <c r="R17" s="1"/>
    </row>
    <row r="18" spans="2:18" x14ac:dyDescent="0.2">
      <c r="B18" s="11" t="s">
        <v>34</v>
      </c>
      <c r="C18" s="12">
        <v>-78.097783000000007</v>
      </c>
      <c r="D18" s="12">
        <f>C18/16</f>
        <v>-4.8811114375000004</v>
      </c>
      <c r="E18" s="11">
        <v>213.69</v>
      </c>
      <c r="F18" s="13">
        <f t="shared" si="0"/>
        <v>5.9785344074144984</v>
      </c>
      <c r="G18" s="13">
        <f>(C18-4*D$3-12*D$5)/16</f>
        <v>-3.6073000000000466E-2</v>
      </c>
      <c r="J18">
        <v>1434.25962830612</v>
      </c>
      <c r="K18" s="1">
        <f>(J18^(1/3))/2</f>
        <v>5.6387035475820326</v>
      </c>
      <c r="L18" t="s">
        <v>1</v>
      </c>
      <c r="M18">
        <f>ABS(K18-F16)/F16</f>
        <v>1.659035245669066E-2</v>
      </c>
      <c r="N18">
        <f>ABS(K18-F16)</f>
        <v>9.5126257391183522E-2</v>
      </c>
      <c r="R18" s="1"/>
    </row>
    <row r="19" spans="2:18" x14ac:dyDescent="0.2">
      <c r="B19" s="11"/>
      <c r="C19" s="12"/>
      <c r="D19" s="12"/>
      <c r="E19" s="11"/>
      <c r="F19" s="13"/>
      <c r="G19" s="13"/>
      <c r="K19" s="1"/>
      <c r="R19" s="1"/>
    </row>
    <row r="20" spans="2:18" x14ac:dyDescent="0.2">
      <c r="B20" s="6" t="s">
        <v>52</v>
      </c>
      <c r="C20" s="10">
        <v>-10.549776</v>
      </c>
      <c r="D20" s="10">
        <f>C20/2</f>
        <v>-5.2748879999999998</v>
      </c>
      <c r="E20" s="6">
        <v>24.25</v>
      </c>
      <c r="F20" s="7">
        <f t="shared" ref="F20" si="1">E20^(1/3)</f>
        <v>2.8944801860312017</v>
      </c>
      <c r="G20" s="7">
        <f>(C20-D$4-D$5)/2</f>
        <v>-0.67580162499999985</v>
      </c>
      <c r="I20" t="s">
        <v>54</v>
      </c>
      <c r="J20">
        <v>-577.48874000000001</v>
      </c>
      <c r="K20" s="1">
        <f>(J20-64*K5-64*K6)/128</f>
        <v>-0.60603923032407403</v>
      </c>
      <c r="L20" t="s">
        <v>7</v>
      </c>
      <c r="M20">
        <f>ABS(K20-G20)/G20</f>
        <v>-0.10322910169966791</v>
      </c>
      <c r="N20">
        <f>ABS(K20-G20)</f>
        <v>6.9762394675925821E-2</v>
      </c>
      <c r="P20" t="s">
        <v>58</v>
      </c>
      <c r="R20" s="1"/>
    </row>
    <row r="21" spans="2:18" x14ac:dyDescent="0.2">
      <c r="B21" s="6" t="s">
        <v>53</v>
      </c>
      <c r="C21" s="10">
        <v>-21.887675000000002</v>
      </c>
      <c r="D21" s="10">
        <f>C21/4</f>
        <v>-5.4719187500000004</v>
      </c>
      <c r="E21" s="6">
        <v>45.15</v>
      </c>
      <c r="F21" s="7">
        <f t="shared" ref="F21" si="2">E21^(1/3)</f>
        <v>3.5608410250492901</v>
      </c>
      <c r="G21" s="7">
        <f>(C21-D$4*3- D$5)/4</f>
        <v>-0.42855806250000061</v>
      </c>
      <c r="J21">
        <v>1452.6567</v>
      </c>
      <c r="K21" s="1">
        <f>(J21^(1/3))/4</f>
        <v>2.8313550901740414</v>
      </c>
      <c r="L21" t="s">
        <v>1</v>
      </c>
      <c r="M21">
        <f>ABS(K21-F20)/F20</f>
        <v>2.1808784928569497E-2</v>
      </c>
      <c r="N21">
        <f>ABS(K21-F20)</f>
        <v>6.3125095857160307E-2</v>
      </c>
    </row>
    <row r="22" spans="2:18" x14ac:dyDescent="0.2">
      <c r="B22" s="11"/>
      <c r="C22" s="12"/>
      <c r="D22" s="12"/>
      <c r="E22" s="11"/>
      <c r="F22" s="13"/>
      <c r="G22" s="13"/>
      <c r="I22" t="s">
        <v>55</v>
      </c>
      <c r="J22">
        <v>-500.27785</v>
      </c>
      <c r="K22" s="1">
        <f>(J22-81*K5-27*K6)/108</f>
        <v>-0.45409473379629617</v>
      </c>
      <c r="L22" t="s">
        <v>7</v>
      </c>
      <c r="M22">
        <f>ABS(K22-G21)/G21</f>
        <v>-5.9587424740831979E-2</v>
      </c>
      <c r="N22">
        <f>ABS(K22-G21)</f>
        <v>2.5536671296295554E-2</v>
      </c>
      <c r="P22" t="s">
        <v>59</v>
      </c>
    </row>
    <row r="23" spans="2:18" x14ac:dyDescent="0.2">
      <c r="J23">
        <v>1190.0833</v>
      </c>
      <c r="K23" s="1">
        <f>(J23^(1/3))/3</f>
        <v>3.532410759487576</v>
      </c>
      <c r="L23" t="s">
        <v>1</v>
      </c>
      <c r="M23">
        <f>ABS(K23-F21)/F21</f>
        <v>7.9841434542337053E-3</v>
      </c>
      <c r="N23">
        <f>ABS(K23-F21)</f>
        <v>2.843026556171413E-2</v>
      </c>
    </row>
    <row r="24" spans="2:18" x14ac:dyDescent="0.2">
      <c r="B24" t="s">
        <v>19</v>
      </c>
      <c r="D24" t="s">
        <v>7</v>
      </c>
      <c r="R24" s="1"/>
    </row>
    <row r="25" spans="2:18" x14ac:dyDescent="0.2">
      <c r="B25" s="3">
        <v>2.2000000000000002</v>
      </c>
      <c r="C25" s="4">
        <v>1.2433955999999999</v>
      </c>
      <c r="D25" s="5">
        <f>(C25-D$3-D$4)/2</f>
        <v>7.4897855500000006</v>
      </c>
      <c r="K25" s="1"/>
      <c r="R25" s="1"/>
    </row>
    <row r="26" spans="2:18" x14ac:dyDescent="0.2">
      <c r="B26">
        <v>2.4</v>
      </c>
      <c r="C26" s="2">
        <v>-8.5854257999999994</v>
      </c>
      <c r="D26" s="1">
        <f>(C26-D$3-D$4)/2</f>
        <v>2.5753748500000007</v>
      </c>
      <c r="K26" s="1"/>
      <c r="R26" s="1"/>
    </row>
    <row r="27" spans="2:18" x14ac:dyDescent="0.2">
      <c r="B27">
        <v>2.6</v>
      </c>
      <c r="C27" s="2">
        <v>-12.307267</v>
      </c>
      <c r="D27" s="1">
        <f t="shared" ref="D27:D29" si="3">(C27-D$3-D$4)/2</f>
        <v>0.71445425000000062</v>
      </c>
      <c r="K27" s="1"/>
      <c r="R27" s="1"/>
    </row>
    <row r="28" spans="2:18" x14ac:dyDescent="0.2">
      <c r="B28">
        <v>3</v>
      </c>
      <c r="C28" s="2">
        <v>-13.318339</v>
      </c>
      <c r="D28" s="1">
        <f t="shared" si="3"/>
        <v>0.20891825000000042</v>
      </c>
    </row>
    <row r="29" spans="2:18" x14ac:dyDescent="0.2">
      <c r="B29">
        <v>3.2</v>
      </c>
      <c r="C29" s="2">
        <v>-12.468114</v>
      </c>
      <c r="D29" s="1">
        <f t="shared" si="3"/>
        <v>0.63403075000000042</v>
      </c>
      <c r="K29" s="1"/>
    </row>
    <row r="31" spans="2:18" x14ac:dyDescent="0.2">
      <c r="B31" t="s">
        <v>19</v>
      </c>
      <c r="D31" t="s">
        <v>7</v>
      </c>
    </row>
    <row r="32" spans="2:18" x14ac:dyDescent="0.2">
      <c r="B32">
        <v>2.4</v>
      </c>
      <c r="C32" s="2">
        <v>-6.9020165999999996</v>
      </c>
      <c r="D32" s="1">
        <f>(C32-D$3-D$5)/2</f>
        <v>2.5285308250000007</v>
      </c>
    </row>
    <row r="33" spans="2:7" x14ac:dyDescent="0.2">
      <c r="B33">
        <v>2.6</v>
      </c>
      <c r="C33" s="2">
        <v>-11.152163</v>
      </c>
      <c r="D33" s="1">
        <f t="shared" ref="D33:D35" si="4">(C33-D$3-D$5)/2</f>
        <v>0.40345762500000037</v>
      </c>
    </row>
    <row r="34" spans="2:7" x14ac:dyDescent="0.2">
      <c r="B34">
        <v>3</v>
      </c>
      <c r="C34" s="2">
        <v>-12.453782</v>
      </c>
      <c r="D34" s="1">
        <f t="shared" si="4"/>
        <v>-0.24735187499999989</v>
      </c>
    </row>
    <row r="35" spans="2:7" x14ac:dyDescent="0.2">
      <c r="B35">
        <v>3.2</v>
      </c>
      <c r="C35" s="2">
        <v>-11.769543000000001</v>
      </c>
      <c r="D35" s="1">
        <f t="shared" si="4"/>
        <v>9.4767625000000022E-2</v>
      </c>
    </row>
    <row r="37" spans="2:7" x14ac:dyDescent="0.2">
      <c r="B37" t="s">
        <v>27</v>
      </c>
      <c r="C37" t="s">
        <v>9</v>
      </c>
      <c r="D37" t="s">
        <v>7</v>
      </c>
      <c r="F37" t="s">
        <v>28</v>
      </c>
    </row>
    <row r="38" spans="2:7" x14ac:dyDescent="0.2">
      <c r="C38" s="2">
        <v>-329.61291</v>
      </c>
      <c r="D38">
        <f>(C38-18*D3-18*D4-18*D5)/54</f>
        <v>-0.28837169444444433</v>
      </c>
      <c r="F38">
        <v>-1823.5788863038799</v>
      </c>
      <c r="G38">
        <f>(F38-144*K4-144*K5-144*K6)/432</f>
        <v>-0.24219032323428991</v>
      </c>
    </row>
    <row r="40" spans="2:7" x14ac:dyDescent="0.2">
      <c r="B40" t="s">
        <v>29</v>
      </c>
      <c r="C40" t="s">
        <v>9</v>
      </c>
      <c r="D40" t="s">
        <v>7</v>
      </c>
    </row>
    <row r="41" spans="2:7" x14ac:dyDescent="0.2">
      <c r="C41" s="2">
        <v>-271.24421000000001</v>
      </c>
      <c r="D41" s="1">
        <f>(C41-27*D3-27*D4)/54</f>
        <v>1.8450468240740743</v>
      </c>
    </row>
    <row r="43" spans="2:7" x14ac:dyDescent="0.2">
      <c r="B43" t="s">
        <v>30</v>
      </c>
      <c r="C43" t="s">
        <v>9</v>
      </c>
      <c r="D43" t="s">
        <v>7</v>
      </c>
    </row>
    <row r="44" spans="2:7" x14ac:dyDescent="0.2">
      <c r="C44" s="2">
        <v>-295.42613</v>
      </c>
      <c r="D44" s="1">
        <f>(C44-27*D3-27*D5)/54</f>
        <v>0.5086848657407409</v>
      </c>
      <c r="F44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2FC20-C67B-5347-85D8-3691B7232B5F}">
  <dimension ref="B1:V29"/>
  <sheetViews>
    <sheetView workbookViewId="0">
      <selection activeCell="E32" sqref="E32"/>
    </sheetView>
  </sheetViews>
  <sheetFormatPr baseColWidth="10" defaultRowHeight="16" x14ac:dyDescent="0.2"/>
  <sheetData>
    <row r="1" spans="2:22" x14ac:dyDescent="0.2">
      <c r="B1" t="s">
        <v>40</v>
      </c>
      <c r="N1" t="s">
        <v>41</v>
      </c>
    </row>
    <row r="2" spans="2:22" x14ac:dyDescent="0.2">
      <c r="B2" t="s">
        <v>36</v>
      </c>
      <c r="C2" t="s">
        <v>9</v>
      </c>
      <c r="D2" t="s">
        <v>11</v>
      </c>
      <c r="E2" t="s">
        <v>37</v>
      </c>
      <c r="F2" t="s">
        <v>12</v>
      </c>
      <c r="G2" t="s">
        <v>38</v>
      </c>
      <c r="H2" t="s">
        <v>39</v>
      </c>
      <c r="I2" t="s">
        <v>10</v>
      </c>
      <c r="J2" t="s">
        <v>1</v>
      </c>
      <c r="N2" t="s">
        <v>36</v>
      </c>
      <c r="O2" t="s">
        <v>9</v>
      </c>
      <c r="P2" t="s">
        <v>11</v>
      </c>
      <c r="Q2" t="s">
        <v>37</v>
      </c>
      <c r="R2" t="s">
        <v>12</v>
      </c>
      <c r="S2" t="s">
        <v>38</v>
      </c>
      <c r="T2" t="s">
        <v>39</v>
      </c>
      <c r="U2" t="s">
        <v>10</v>
      </c>
      <c r="V2" t="s">
        <v>1</v>
      </c>
    </row>
    <row r="3" spans="2:22" x14ac:dyDescent="0.2">
      <c r="B3" t="s">
        <v>35</v>
      </c>
      <c r="C3">
        <v>-1028.19</v>
      </c>
      <c r="D3">
        <v>2906.05</v>
      </c>
      <c r="E3">
        <v>-14.529199999999999</v>
      </c>
      <c r="F3">
        <v>14.270300000000001</v>
      </c>
      <c r="G3">
        <v>14.270300000000001</v>
      </c>
      <c r="H3">
        <v>14.270300000000001</v>
      </c>
      <c r="I3">
        <f>C3/250</f>
        <v>-4.1127600000000006</v>
      </c>
      <c r="J3">
        <f>AVERAGE(F3:H3)/5</f>
        <v>2.85406</v>
      </c>
      <c r="N3" t="s">
        <v>35</v>
      </c>
      <c r="O3">
        <v>-1019.31</v>
      </c>
      <c r="P3">
        <v>2927.78</v>
      </c>
      <c r="Q3">
        <v>210.483</v>
      </c>
      <c r="R3">
        <v>14.3042</v>
      </c>
      <c r="S3">
        <v>14.305999999999999</v>
      </c>
      <c r="T3">
        <v>14.306699999999999</v>
      </c>
      <c r="U3">
        <f>O3/250</f>
        <v>-4.0772399999999998</v>
      </c>
      <c r="V3">
        <f>AVERAGE(R3:T3)/5</f>
        <v>2.8611266666666664</v>
      </c>
    </row>
    <row r="4" spans="2:22" x14ac:dyDescent="0.2">
      <c r="B4" t="s">
        <v>42</v>
      </c>
      <c r="C4">
        <v>-1136.01</v>
      </c>
      <c r="D4">
        <v>2795.74</v>
      </c>
      <c r="E4">
        <v>-1.49329</v>
      </c>
      <c r="F4">
        <v>14.088800000000001</v>
      </c>
      <c r="G4">
        <v>14.0883</v>
      </c>
      <c r="H4">
        <v>14.0853</v>
      </c>
      <c r="I4">
        <f>C4/256</f>
        <v>-4.4375390625</v>
      </c>
      <c r="J4">
        <f t="shared" ref="J4:J5" si="0">AVERAGE(F4:H4)/4</f>
        <v>3.5218666666666665</v>
      </c>
      <c r="N4" t="s">
        <v>42</v>
      </c>
      <c r="O4">
        <v>-1134.52</v>
      </c>
      <c r="P4">
        <v>2798.91</v>
      </c>
      <c r="Q4">
        <v>60.695999999999998</v>
      </c>
      <c r="R4">
        <v>14.0913</v>
      </c>
      <c r="S4">
        <v>14.092000000000001</v>
      </c>
      <c r="T4">
        <v>14.0951</v>
      </c>
      <c r="U4">
        <f>O4/256</f>
        <v>-4.4317187499999999</v>
      </c>
      <c r="V4">
        <f t="shared" ref="V4:V5" si="1">AVERAGE(R4:T4)/4</f>
        <v>3.5232000000000006</v>
      </c>
    </row>
    <row r="5" spans="2:22" x14ac:dyDescent="0.2">
      <c r="B5" t="s">
        <v>43</v>
      </c>
      <c r="C5">
        <v>-857.01499999999999</v>
      </c>
      <c r="D5">
        <v>4262.97</v>
      </c>
      <c r="E5">
        <v>5.0531300000000003</v>
      </c>
      <c r="F5">
        <v>16.2163</v>
      </c>
      <c r="G5">
        <v>16.214700000000001</v>
      </c>
      <c r="H5">
        <v>16.212499999999999</v>
      </c>
      <c r="I5">
        <f>C5/256</f>
        <v>-3.3477148437499999</v>
      </c>
      <c r="J5">
        <f t="shared" si="0"/>
        <v>4.0536249999999994</v>
      </c>
      <c r="N5" t="s">
        <v>43</v>
      </c>
      <c r="O5">
        <v>-856.351</v>
      </c>
      <c r="P5">
        <v>4265.7700000000004</v>
      </c>
      <c r="Q5">
        <v>24.557700000000001</v>
      </c>
      <c r="R5">
        <v>16.220099999999999</v>
      </c>
      <c r="S5">
        <v>16.217500000000001</v>
      </c>
      <c r="T5">
        <v>16.216699999999999</v>
      </c>
      <c r="U5">
        <f>O5/256</f>
        <v>-3.34512109375</v>
      </c>
      <c r="V5">
        <f t="shared" si="1"/>
        <v>4.0545250000000008</v>
      </c>
    </row>
    <row r="7" spans="2:22" x14ac:dyDescent="0.2">
      <c r="B7" t="s">
        <v>44</v>
      </c>
      <c r="C7" t="s">
        <v>9</v>
      </c>
      <c r="D7" t="s">
        <v>11</v>
      </c>
      <c r="E7" t="s">
        <v>37</v>
      </c>
      <c r="F7" t="s">
        <v>12</v>
      </c>
      <c r="G7" t="s">
        <v>38</v>
      </c>
      <c r="H7" t="s">
        <v>39</v>
      </c>
      <c r="I7" t="s">
        <v>10</v>
      </c>
      <c r="J7" t="s">
        <v>1</v>
      </c>
      <c r="K7" t="s">
        <v>7</v>
      </c>
    </row>
    <row r="8" spans="2:22" x14ac:dyDescent="0.2">
      <c r="B8" t="s">
        <v>19</v>
      </c>
      <c r="C8">
        <v>-1074.3</v>
      </c>
      <c r="D8">
        <v>2702.9</v>
      </c>
      <c r="E8">
        <v>1.27576</v>
      </c>
      <c r="F8">
        <v>13.9297</v>
      </c>
      <c r="G8">
        <v>13.9297</v>
      </c>
      <c r="H8">
        <v>13.9297</v>
      </c>
      <c r="I8">
        <f>C8/250</f>
        <v>-4.2972000000000001</v>
      </c>
      <c r="J8">
        <f>AVERAGE(F8:H8)/5</f>
        <v>2.7859400000000005</v>
      </c>
      <c r="K8">
        <f>I8-0.5*I3-0.5*I4</f>
        <v>-2.205046874999983E-2</v>
      </c>
    </row>
    <row r="9" spans="2:22" x14ac:dyDescent="0.2">
      <c r="B9" t="s">
        <v>20</v>
      </c>
      <c r="I9">
        <f>C9/256</f>
        <v>0</v>
      </c>
      <c r="J9" t="e">
        <f t="shared" ref="J9:J10" si="2">AVERAGE(F9:H9)/4</f>
        <v>#DIV/0!</v>
      </c>
    </row>
    <row r="10" spans="2:22" x14ac:dyDescent="0.2">
      <c r="B10" t="s">
        <v>21</v>
      </c>
      <c r="I10">
        <f>C10/256</f>
        <v>0</v>
      </c>
      <c r="J10" t="e">
        <f t="shared" si="2"/>
        <v>#DIV/0!</v>
      </c>
    </row>
    <row r="12" spans="2:22" x14ac:dyDescent="0.2">
      <c r="B12" t="s">
        <v>45</v>
      </c>
    </row>
    <row r="13" spans="2:22" x14ac:dyDescent="0.2">
      <c r="B13" t="s">
        <v>24</v>
      </c>
    </row>
    <row r="14" spans="2:22" x14ac:dyDescent="0.2">
      <c r="B14" t="s">
        <v>25</v>
      </c>
    </row>
    <row r="15" spans="2:22" x14ac:dyDescent="0.2">
      <c r="B15" t="s">
        <v>26</v>
      </c>
    </row>
    <row r="17" spans="2:13" x14ac:dyDescent="0.2">
      <c r="B17" t="s">
        <v>44</v>
      </c>
    </row>
    <row r="18" spans="2:13" x14ac:dyDescent="0.2">
      <c r="B18" t="s">
        <v>46</v>
      </c>
    </row>
    <row r="19" spans="2:13" x14ac:dyDescent="0.2">
      <c r="B19" t="s">
        <v>47</v>
      </c>
    </row>
    <row r="21" spans="2:13" x14ac:dyDescent="0.2">
      <c r="B21" t="s">
        <v>45</v>
      </c>
    </row>
    <row r="22" spans="2:13" x14ac:dyDescent="0.2">
      <c r="B22" t="s">
        <v>48</v>
      </c>
    </row>
    <row r="23" spans="2:13" x14ac:dyDescent="0.2">
      <c r="B23" t="s">
        <v>49</v>
      </c>
    </row>
    <row r="25" spans="2:13" x14ac:dyDescent="0.2">
      <c r="L25" t="s">
        <v>51</v>
      </c>
    </row>
    <row r="26" spans="2:13" x14ac:dyDescent="0.2">
      <c r="B26" t="s">
        <v>50</v>
      </c>
      <c r="I26" t="s">
        <v>10</v>
      </c>
      <c r="J26" t="s">
        <v>1</v>
      </c>
      <c r="L26" t="s">
        <v>10</v>
      </c>
      <c r="M26" t="s">
        <v>1</v>
      </c>
    </row>
    <row r="27" spans="2:13" x14ac:dyDescent="0.2">
      <c r="B27" t="s">
        <v>13</v>
      </c>
      <c r="C27">
        <v>-1031.46</v>
      </c>
      <c r="D27">
        <v>2905.27</v>
      </c>
      <c r="E27">
        <v>-0.36910900000000002</v>
      </c>
      <c r="F27">
        <v>14.2691</v>
      </c>
      <c r="G27">
        <v>14.2691</v>
      </c>
      <c r="H27">
        <v>14.2691</v>
      </c>
      <c r="I27" s="8">
        <f>C27/250</f>
        <v>-4.1258400000000002</v>
      </c>
      <c r="J27" s="8">
        <f>AVERAGE(F27:H27)/5</f>
        <v>2.8538199999999998</v>
      </c>
      <c r="L27" s="8">
        <v>-4.122389444444444</v>
      </c>
      <c r="M27" s="8">
        <v>2.856132647311993</v>
      </c>
    </row>
    <row r="28" spans="2:13" x14ac:dyDescent="0.2">
      <c r="B28" t="s">
        <v>14</v>
      </c>
      <c r="C28">
        <v>-480.654</v>
      </c>
      <c r="D28">
        <v>1176.8</v>
      </c>
      <c r="E28">
        <v>-0.13983699999999999</v>
      </c>
      <c r="F28">
        <v>10.557600000000001</v>
      </c>
      <c r="G28">
        <v>10.557600000000001</v>
      </c>
      <c r="H28">
        <v>10.557600000000001</v>
      </c>
      <c r="I28" s="8">
        <f>C28/108</f>
        <v>-4.4504999999999999</v>
      </c>
      <c r="J28" s="8">
        <f>AVERAGE(F28:H28)/3</f>
        <v>3.5192000000000001</v>
      </c>
      <c r="L28" s="9">
        <v>-4.45</v>
      </c>
      <c r="M28" s="8">
        <v>3.5200000836968148</v>
      </c>
    </row>
    <row r="29" spans="2:13" x14ac:dyDescent="0.2">
      <c r="B29" t="s">
        <v>15</v>
      </c>
      <c r="C29">
        <v>-362.92700000000002</v>
      </c>
      <c r="D29">
        <v>1792.88</v>
      </c>
      <c r="E29">
        <v>-5.9604400000000002E-2</v>
      </c>
      <c r="F29">
        <v>12.148300000000001</v>
      </c>
      <c r="G29">
        <v>12.148300000000001</v>
      </c>
      <c r="H29">
        <v>12.148300000000001</v>
      </c>
      <c r="I29" s="8">
        <f>C29/108</f>
        <v>-3.3604351851851852</v>
      </c>
      <c r="J29" s="8">
        <f>AVERAGE(F29:H29)/3</f>
        <v>4.0494333333333339</v>
      </c>
      <c r="L29" s="9">
        <v>-3.36</v>
      </c>
      <c r="M29" s="8">
        <v>4.050000018816764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VASP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2020-02-04T20:50:12Z</dcterms:created>
  <dcterms:modified xsi:type="dcterms:W3CDTF">2022-09-21T19:31:51Z</dcterms:modified>
</cp:coreProperties>
</file>