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CC0DB63E-9E2B-D047-90A2-830ED881FF71}" xr6:coauthVersionLast="47" xr6:coauthVersionMax="47" xr10:uidLastSave="{00000000-0000-0000-0000-000000000000}"/>
  <bookViews>
    <workbookView xWindow="2020" yWindow="1260" windowWidth="28920" windowHeight="18380" firstSheet="1" activeTab="3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summary dat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6" i="13" l="1"/>
  <c r="AZ15" i="13"/>
  <c r="AZ14" i="13"/>
  <c r="AZ13" i="13"/>
  <c r="AZ12" i="13"/>
  <c r="AZ11" i="13"/>
  <c r="AZ10" i="13"/>
  <c r="AZ9" i="13"/>
  <c r="AZ8" i="13"/>
  <c r="AZ7" i="13"/>
  <c r="AZ6" i="13"/>
  <c r="AZ5" i="13"/>
  <c r="AU13" i="13"/>
  <c r="AU5" i="13"/>
  <c r="AV5" i="13"/>
  <c r="AW5" i="13"/>
  <c r="AU6" i="13"/>
  <c r="AV6" i="13"/>
  <c r="AW6" i="13"/>
  <c r="AU7" i="13"/>
  <c r="AV7" i="13"/>
  <c r="AW7" i="13"/>
  <c r="AU8" i="13"/>
  <c r="AV8" i="13"/>
  <c r="AW8" i="13"/>
  <c r="AU9" i="13"/>
  <c r="AV9" i="13"/>
  <c r="AW9" i="13"/>
  <c r="AU10" i="13"/>
  <c r="AV10" i="13"/>
  <c r="AW10" i="13"/>
  <c r="AU11" i="13"/>
  <c r="AV11" i="13"/>
  <c r="AW11" i="13"/>
  <c r="AU12" i="13"/>
  <c r="AV12" i="13"/>
  <c r="AW12" i="13"/>
  <c r="AV13" i="13"/>
  <c r="AW13" i="13"/>
  <c r="AU14" i="13"/>
  <c r="AV14" i="13"/>
  <c r="AW14" i="13"/>
  <c r="AU15" i="13"/>
  <c r="AV15" i="13"/>
  <c r="AW15" i="13"/>
  <c r="AU16" i="13"/>
  <c r="AV16" i="13"/>
  <c r="AW16" i="13"/>
  <c r="AT7" i="13"/>
  <c r="AT8" i="13"/>
  <c r="AT9" i="13"/>
  <c r="AT10" i="13"/>
  <c r="AT11" i="13"/>
  <c r="L6" i="13"/>
  <c r="L7" i="13"/>
  <c r="L8" i="13"/>
  <c r="L9" i="13"/>
  <c r="L10" i="13"/>
  <c r="L11" i="13"/>
  <c r="L12" i="13"/>
  <c r="L13" i="13"/>
  <c r="L14" i="13"/>
  <c r="L15" i="13"/>
  <c r="L16" i="13"/>
  <c r="L5" i="13"/>
  <c r="AP23" i="13" l="1"/>
  <c r="AP24" i="13"/>
  <c r="AP25" i="13"/>
  <c r="AP26" i="13"/>
  <c r="AP27" i="13"/>
  <c r="AP28" i="13"/>
  <c r="AP29" i="13"/>
  <c r="AP30" i="13"/>
  <c r="AP31" i="13"/>
  <c r="AP32" i="13"/>
  <c r="AP33" i="13"/>
  <c r="AP22" i="13"/>
  <c r="L95" i="7"/>
  <c r="Q18" i="13"/>
  <c r="R18" i="13"/>
  <c r="P18" i="13"/>
  <c r="S6" i="13"/>
  <c r="S7" i="13"/>
  <c r="S8" i="13"/>
  <c r="S9" i="13"/>
  <c r="S10" i="13"/>
  <c r="S11" i="13"/>
  <c r="S12" i="13"/>
  <c r="S13" i="13"/>
  <c r="S14" i="13"/>
  <c r="S15" i="13"/>
  <c r="S16" i="13"/>
  <c r="S5" i="13"/>
  <c r="E16" i="13"/>
  <c r="E15" i="13"/>
  <c r="E14" i="13"/>
  <c r="E13" i="13"/>
  <c r="E12" i="13"/>
  <c r="E11" i="13"/>
  <c r="E10" i="13"/>
  <c r="E9" i="13"/>
  <c r="E8" i="13"/>
  <c r="E7" i="13"/>
  <c r="E6" i="13"/>
  <c r="E5" i="13"/>
  <c r="AH11" i="8"/>
  <c r="AH12" i="8"/>
  <c r="K99" i="8"/>
  <c r="F92" i="8"/>
  <c r="G92" i="8" s="1"/>
  <c r="I92" i="8" s="1"/>
  <c r="K89" i="8"/>
  <c r="F82" i="8"/>
  <c r="G82" i="8" s="1"/>
  <c r="I82" i="8" s="1"/>
  <c r="AH7" i="8" l="1"/>
  <c r="AH8" i="8"/>
  <c r="AH9" i="8"/>
  <c r="AH10" i="8"/>
  <c r="AH13" i="8"/>
  <c r="AH14" i="8"/>
  <c r="K132" i="8"/>
  <c r="K121" i="8"/>
  <c r="K110" i="8"/>
  <c r="F124" i="8"/>
  <c r="G124" i="8" s="1"/>
  <c r="I124" i="8" s="1"/>
  <c r="F113" i="8"/>
  <c r="G113" i="8" s="1"/>
  <c r="I113" i="8" s="1"/>
  <c r="K78" i="8"/>
  <c r="F71" i="8"/>
  <c r="G71" i="8" s="1"/>
  <c r="I71" i="8" s="1"/>
  <c r="K68" i="8"/>
  <c r="K58" i="8"/>
  <c r="L45" i="8"/>
  <c r="K47" i="8"/>
  <c r="F38" i="8"/>
  <c r="G38" i="8" s="1"/>
  <c r="I38" i="8" s="1"/>
  <c r="K35" i="8"/>
  <c r="F26" i="8"/>
  <c r="G26" i="8" s="1"/>
  <c r="I26" i="8" s="1"/>
  <c r="K23" i="9"/>
  <c r="K12" i="9"/>
  <c r="K56" i="9"/>
  <c r="K45" i="9"/>
  <c r="G48" i="9"/>
  <c r="I48" i="9" s="1"/>
  <c r="F48" i="9"/>
  <c r="F37" i="9"/>
  <c r="G37" i="9" s="1"/>
  <c r="I37" i="9" s="1"/>
  <c r="F5" i="9"/>
  <c r="G5" i="9" s="1"/>
  <c r="I5" i="9" s="1"/>
  <c r="K23" i="8" l="1"/>
  <c r="K13" i="8"/>
  <c r="K40" i="3"/>
  <c r="F31" i="3"/>
  <c r="G31" i="3" s="1"/>
  <c r="I31" i="3" s="1"/>
  <c r="F15" i="8"/>
  <c r="G15" i="8" s="1"/>
  <c r="I15" i="8" s="1"/>
  <c r="F5" i="8"/>
  <c r="G5" i="8" s="1"/>
  <c r="I5" i="8" s="1"/>
  <c r="F50" i="8"/>
  <c r="G50" i="8" s="1"/>
  <c r="I50" i="8" s="1"/>
  <c r="K42" i="7"/>
  <c r="F102" i="8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L131" i="8"/>
  <c r="L119" i="8"/>
  <c r="L120" i="8"/>
  <c r="L108" i="8"/>
  <c r="L109" i="8"/>
  <c r="L98" i="8"/>
  <c r="L97" i="8"/>
  <c r="L87" i="8"/>
  <c r="L88" i="8"/>
  <c r="F61" i="8"/>
  <c r="G61" i="8" s="1"/>
  <c r="I61" i="8" s="1"/>
  <c r="F106" i="8"/>
  <c r="G106" i="8" s="1"/>
  <c r="I106" i="8" s="1"/>
  <c r="F104" i="8"/>
  <c r="G104" i="8" s="1"/>
  <c r="I104" i="8" s="1"/>
  <c r="F115" i="8"/>
  <c r="G115" i="8"/>
  <c r="I115" i="8" s="1"/>
  <c r="L44" i="9"/>
  <c r="L43" i="9"/>
  <c r="L54" i="9"/>
  <c r="L55" i="9"/>
  <c r="K33" i="9"/>
  <c r="L31" i="9"/>
  <c r="L32" i="9"/>
  <c r="S7" i="9"/>
  <c r="S8" i="9"/>
  <c r="S9" i="9"/>
  <c r="S10" i="9"/>
  <c r="S6" i="9"/>
  <c r="L21" i="9"/>
  <c r="L22" i="9"/>
  <c r="W25" i="9"/>
  <c r="V25" i="9"/>
  <c r="R25" i="9"/>
  <c r="Q25" i="9"/>
  <c r="L11" i="9"/>
  <c r="L10" i="9"/>
  <c r="L77" i="8"/>
  <c r="L76" i="8"/>
  <c r="L67" i="8"/>
  <c r="L66" i="8"/>
  <c r="L56" i="8"/>
  <c r="L57" i="8"/>
  <c r="L46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15" i="8"/>
  <c r="AH4" i="8"/>
  <c r="AC4" i="8"/>
  <c r="W71" i="8"/>
  <c r="V71" i="8"/>
  <c r="R71" i="8"/>
  <c r="Q71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I11" i="9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K50" i="7" s="1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<sst xmlns="http://schemas.openxmlformats.org/spreadsheetml/2006/main" count="1319" uniqueCount="87">
  <si>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</si>
  <si>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</si>
  <si>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</si>
  <si>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</si>
  <si>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</si>
  <si>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</si>
  <si>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</si>
  <si>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</si>
  <si>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</si>
  <si>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</si>
  <si>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</si>
  <si>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</si>
  <si>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</si>
  <si>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</si>
  <si>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</si>
  <si>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</si>
  <si>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</si>
  <si>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</si>
  <si>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</si>
  <si>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</si>
  <si>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</si>
  <si>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</si>
  <si>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</si>
  <si>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</si>
  <si>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</si>
  <si>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</si>
  <si>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</si>
  <si>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</si>
  <si>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</si>
  <si>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</si>
  <si>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</si>
  <si>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</si>
  <si>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</si>
  <si>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</si>
  <si>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</si>
  <si>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</si>
  <si>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</si>
  <si>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</si>
  <si>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</si>
  <si>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</si>
  <si>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</si>
  <si>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</si>
  <si>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</si>
  <si>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</si>
  <si>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</si>
  <si>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</si>
  <si>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</si>
  <si>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</si>
  <si>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</si>
  <si>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</si>
  <si>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</si>
  <si>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</si>
  <si>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</si>
  <si>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</si>
  <si>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</si>
  <si>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</si>
  <si>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</si>
  <si>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</si>
  <si>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</si>
  <si>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</si>
  <si>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</si>
  <si>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</si>
  <si>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</si>
  <si>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</si>
  <si>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</si>
  <si>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</si>
  <si>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</si>
  <si>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</si>
  <si>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</si>
  <si>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</si>
  <si>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</si>
  <si>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</si>
  <si>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</si>
  <si>
    <t>1400 K</t>
  </si>
  <si>
    <t>1250 K</t>
  </si>
  <si>
    <t>1100 K</t>
  </si>
  <si>
    <t>900 K</t>
  </si>
  <si>
    <t>average</t>
  </si>
  <si>
    <t>avg</t>
  </si>
  <si>
    <t>Slope</t>
  </si>
  <si>
    <t>Cp (eV/T)</t>
  </si>
  <si>
    <t>per formula unit</t>
  </si>
  <si>
    <t>Cp (kJ/mol-K)</t>
  </si>
  <si>
    <t>PE fit</t>
  </si>
  <si>
    <t>TE</t>
  </si>
  <si>
    <t># of atoms</t>
  </si>
  <si>
    <t># 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</si>
</sst>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K'!$G$48:$G$54</c:f>
              <c:numCache>
                <c:formatCode>General</c:formatCode>
                <c:ptCount val="7"/>
                <c:pt idx="0">
                  <c:v>2803.221</c:v>
                </c:pt>
                <c:pt idx="1">
                  <c:v>2893.640625</c:v>
                </c:pt>
                <c:pt idx="2">
                  <c:v>2939.5705781249994</c:v>
                </c:pt>
                <c:pt idx="3">
                  <c:v>2985.983999999999</c:v>
                </c:pt>
                <c:pt idx="4">
                  <c:v>3032.8834218749998</c:v>
                </c:pt>
                <c:pt idx="5">
                  <c:v>3080.2713749999994</c:v>
                </c:pt>
                <c:pt idx="6">
                  <c:v>3176.5229999999997</c:v>
                </c:pt>
              </c:numCache>
            </c:numRef>
          </c:xVal>
          <c:yVal>
            <c:numRef>
              <c:f>'small cell 900 K'!$E$48:$E$54</c:f>
              <c:numCache>
                <c:formatCode>General</c:formatCode>
                <c:ptCount val="7"/>
                <c:pt idx="0">
                  <c:v>11.653969333333301</c:v>
                </c:pt>
                <c:pt idx="1">
                  <c:v>7.9397893333333398</c:v>
                </c:pt>
                <c:pt idx="2">
                  <c:v>5.0665213333333297</c:v>
                </c:pt>
                <c:pt idx="3">
                  <c:v>3.60574666666666</c:v>
                </c:pt>
                <c:pt idx="4">
                  <c:v>0.94554133333333401</c:v>
                </c:pt>
                <c:pt idx="5">
                  <c:v>-0.28405866666666602</c:v>
                </c:pt>
                <c:pt idx="6">
                  <c:v>-1.2473479999999999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302382013568771E-3"/>
                  <c:y val="-0.741662723773878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K'!$C$16:$C$22</c:f>
              <c:numCache>
                <c:formatCode>General</c:formatCode>
                <c:ptCount val="7"/>
                <c:pt idx="0">
                  <c:v>-213.188275686667</c:v>
                </c:pt>
                <c:pt idx="1">
                  <c:v>-212.96875244399999</c:v>
                </c:pt>
                <c:pt idx="2">
                  <c:v>-212.46104342266699</c:v>
                </c:pt>
                <c:pt idx="3">
                  <c:v>-212.44416685600001</c:v>
                </c:pt>
                <c:pt idx="4">
                  <c:v>-212.35768394666701</c:v>
                </c:pt>
                <c:pt idx="5">
                  <c:v>-212.07671022</c:v>
                </c:pt>
              </c:numCache>
            </c:numRef>
          </c:xVal>
          <c:yVal>
            <c:numRef>
              <c:f>'small cell 900 K'!$E$16:$E$22</c:f>
              <c:numCache>
                <c:formatCode>General</c:formatCode>
                <c:ptCount val="7"/>
                <c:pt idx="0">
                  <c:v>11.351572000000001</c:v>
                </c:pt>
                <c:pt idx="1">
                  <c:v>6.7669560000000004</c:v>
                </c:pt>
                <c:pt idx="2">
                  <c:v>2.2727759999999999</c:v>
                </c:pt>
                <c:pt idx="3">
                  <c:v>0.919512</c:v>
                </c:pt>
                <c:pt idx="4">
                  <c:v>-1.5240706666666699</c:v>
                </c:pt>
                <c:pt idx="5">
                  <c:v>-2.15406266666667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1100K'!$G$35:$G$41</c:f>
              <c:numCache>
                <c:formatCode>General</c:formatCode>
                <c:ptCount val="7"/>
                <c:pt idx="0">
                  <c:v>2543.3021250000002</c:v>
                </c:pt>
                <c:pt idx="1">
                  <c:v>2628.0720000000006</c:v>
                </c:pt>
                <c:pt idx="2">
                  <c:v>2671.154296875</c:v>
                </c:pt>
                <c:pt idx="3">
                  <c:v>2714.7048750000004</c:v>
                </c:pt>
                <c:pt idx="4">
                  <c:v>2758.726265625</c:v>
                </c:pt>
                <c:pt idx="5">
                  <c:v>2803.221</c:v>
                </c:pt>
                <c:pt idx="6">
                  <c:v>2893.640625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1100K'!$C$90:$C$96</c:f>
              <c:numCache>
                <c:formatCode>General</c:formatCode>
                <c:ptCount val="7"/>
                <c:pt idx="0">
                  <c:v>-312.34966577199998</c:v>
                </c:pt>
                <c:pt idx="1">
                  <c:v>-311.219107818667</c:v>
                </c:pt>
                <c:pt idx="2">
                  <c:v>-310.88335337866698</c:v>
                </c:pt>
                <c:pt idx="3">
                  <c:v>-310.31263256400001</c:v>
                </c:pt>
                <c:pt idx="4">
                  <c:v>-310.150813508</c:v>
                </c:pt>
                <c:pt idx="5">
                  <c:v>-309.99899700266701</c:v>
                </c:pt>
                <c:pt idx="6">
                  <c:v>-309.44455468799998</c:v>
                </c:pt>
              </c:numCache>
            </c:numRef>
          </c:xVal>
          <c:yVal>
            <c:numRef>
              <c:f>'small cell 1100K'!$E$90:$E$96</c:f>
              <c:numCache>
                <c:formatCode>General</c:formatCode>
                <c:ptCount val="7"/>
                <c:pt idx="0">
                  <c:v>8.9977146666666705</c:v>
                </c:pt>
                <c:pt idx="1">
                  <c:v>4.6047919999999998</c:v>
                </c:pt>
                <c:pt idx="2">
                  <c:v>2.1219199999999998</c:v>
                </c:pt>
                <c:pt idx="3">
                  <c:v>0.94985600000000003</c:v>
                </c:pt>
                <c:pt idx="4">
                  <c:v>0.55456000000000005</c:v>
                </c:pt>
                <c:pt idx="5">
                  <c:v>-1.74063066666667</c:v>
                </c:pt>
                <c:pt idx="6">
                  <c:v>-1.6549893333333301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21224742895251"/>
                  <c:y val="-0.759678192399863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1400K'!$G$92:$G$98</c:f>
              <c:numCache>
                <c:formatCode>General</c:formatCode>
                <c:ptCount val="7"/>
                <c:pt idx="0">
                  <c:v>3080.2713749999994</c:v>
                </c:pt>
                <c:pt idx="1">
                  <c:v>3176.5229999999997</c:v>
                </c:pt>
                <c:pt idx="2">
                  <c:v>3274.7591249999996</c:v>
                </c:pt>
                <c:pt idx="3">
                  <c:v>3375</c:v>
                </c:pt>
                <c:pt idx="4">
                  <c:v>3425.8785468749998</c:v>
                </c:pt>
                <c:pt idx="5">
                  <c:v>3477.2658750000001</c:v>
                </c:pt>
                <c:pt idx="6">
                  <c:v>3581.5770000000007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114307776906787E-2"/>
                  <c:y val="-0.729511883096992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1400K'!$C$92:$C$98</c:f>
              <c:numCache>
                <c:formatCode>General</c:formatCode>
                <c:ptCount val="7"/>
                <c:pt idx="0">
                  <c:v>-307.21163863603999</c:v>
                </c:pt>
                <c:pt idx="1">
                  <c:v>-306.22367263866698</c:v>
                </c:pt>
                <c:pt idx="2">
                  <c:v>-305.16343905976998</c:v>
                </c:pt>
                <c:pt idx="3">
                  <c:v>-305.30266997199999</c:v>
                </c:pt>
                <c:pt idx="4">
                  <c:v>-304.89240297466699</c:v>
                </c:pt>
                <c:pt idx="5">
                  <c:v>-303.39337127599998</c:v>
                </c:pt>
                <c:pt idx="6">
                  <c:v>-303.85662540266702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1400K'!$AI$4:$AI$15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E144-8726-AE263A73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1400K'!$AB$4:$AB$15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E24A-9555-6461F2D2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data'!$O$5:$O$16</c:f>
              <c:numCache>
                <c:formatCode>General</c:formatCode>
                <c:ptCount val="12"/>
                <c:pt idx="2">
                  <c:v>59.022397281080181</c:v>
                </c:pt>
                <c:pt idx="3">
                  <c:v>78.288938765204477</c:v>
                </c:pt>
                <c:pt idx="4">
                  <c:v>64.141362158304943</c:v>
                </c:pt>
                <c:pt idx="5">
                  <c:v>83.777378729285672</c:v>
                </c:pt>
                <c:pt idx="6">
                  <c:v>75.807440094948916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7E41-A71E-A2EB50F17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data'!$P$5:$P$16</c:f>
              <c:numCache>
                <c:formatCode>General</c:formatCode>
                <c:ptCount val="12"/>
                <c:pt idx="0">
                  <c:v>44.770248213620675</c:v>
                </c:pt>
                <c:pt idx="1">
                  <c:v>56.332707618470934</c:v>
                </c:pt>
                <c:pt idx="2">
                  <c:v>53.911393394825758</c:v>
                </c:pt>
                <c:pt idx="3">
                  <c:v>75.466853464294005</c:v>
                </c:pt>
                <c:pt idx="4">
                  <c:v>56.125902294784318</c:v>
                </c:pt>
                <c:pt idx="5">
                  <c:v>64.478383453965208</c:v>
                </c:pt>
                <c:pt idx="6">
                  <c:v>68.060850274549651</c:v>
                </c:pt>
                <c:pt idx="7">
                  <c:v>71.281461564735793</c:v>
                </c:pt>
                <c:pt idx="8">
                  <c:v>74.93267811027026</c:v>
                </c:pt>
                <c:pt idx="9">
                  <c:v>89.466191244228582</c:v>
                </c:pt>
                <c:pt idx="10">
                  <c:v>78.034460436000131</c:v>
                </c:pt>
                <c:pt idx="11">
                  <c:v>64.566293075959607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D-7E41-A71E-A2EB50F172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data'!$Q$5:$Q$16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D-7E41-A71E-A2EB50F172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data'!$R$5:$R$16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D-7E41-A71E-A2EB50F1725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data'!$S$5:$S$16</c:f>
              <c:numCache>
                <c:formatCode>General</c:formatCode>
                <c:ptCount val="12"/>
                <c:pt idx="0">
                  <c:v>34.869162648064481</c:v>
                </c:pt>
                <c:pt idx="1">
                  <c:v>47.061357691127682</c:v>
                </c:pt>
                <c:pt idx="2">
                  <c:v>50.483817377972336</c:v>
                </c:pt>
                <c:pt idx="3">
                  <c:v>53.879271631221478</c:v>
                </c:pt>
                <c:pt idx="4">
                  <c:v>57.721718763413406</c:v>
                </c:pt>
                <c:pt idx="5">
                  <c:v>51.096916253776612</c:v>
                </c:pt>
                <c:pt idx="6">
                  <c:v>58.531621238817443</c:v>
                </c:pt>
                <c:pt idx="7">
                  <c:v>66.028449735696867</c:v>
                </c:pt>
                <c:pt idx="8">
                  <c:v>61.173998790062946</c:v>
                </c:pt>
                <c:pt idx="9">
                  <c:v>77.506421595233732</c:v>
                </c:pt>
                <c:pt idx="10">
                  <c:v>63.232137738573698</c:v>
                </c:pt>
                <c:pt idx="11">
                  <c:v>76.374949985943843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5D-7E41-A71E-A2EB50F1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data'!$V$5:$V$16</c:f>
              <c:numCache>
                <c:formatCode>General</c:formatCode>
                <c:ptCount val="12"/>
                <c:pt idx="2">
                  <c:v>2.5548995154711127</c:v>
                </c:pt>
                <c:pt idx="3">
                  <c:v>2.9317194752459526</c:v>
                </c:pt>
                <c:pt idx="4">
                  <c:v>2.9979473006204214</c:v>
                </c:pt>
                <c:pt idx="5">
                  <c:v>3.1822777657953623</c:v>
                </c:pt>
                <c:pt idx="6">
                  <c:v>3.4653628520462374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F4B-8CAD-3ACAA468A0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data'!$W$5:$W$16</c:f>
              <c:numCache>
                <c:formatCode>General</c:formatCode>
                <c:ptCount val="12"/>
                <c:pt idx="0">
                  <c:v>1.5403392679948031</c:v>
                </c:pt>
                <c:pt idx="1">
                  <c:v>2.0511831486416821</c:v>
                </c:pt>
                <c:pt idx="2">
                  <c:v>2.4482673947407081</c:v>
                </c:pt>
                <c:pt idx="3">
                  <c:v>2.8288472947710011</c:v>
                </c:pt>
                <c:pt idx="4">
                  <c:v>2.8854731217252318</c:v>
                </c:pt>
                <c:pt idx="5">
                  <c:v>3.0883259996990571</c:v>
                </c:pt>
                <c:pt idx="6">
                  <c:v>3.3404441866479351</c:v>
                </c:pt>
                <c:pt idx="7">
                  <c:v>3.5486119947692392</c:v>
                </c:pt>
                <c:pt idx="8">
                  <c:v>3.7605194589199629</c:v>
                </c:pt>
                <c:pt idx="9">
                  <c:v>3.8533620902622308</c:v>
                </c:pt>
                <c:pt idx="10">
                  <c:v>4.0221062119287012</c:v>
                </c:pt>
                <c:pt idx="11">
                  <c:v>4.1003966159290135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E-6F4B-8CAD-3ACAA468A0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data'!$X$5:$X$16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E-6F4B-8CAD-3ACAA468A0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data'!$Y$5:$Y$16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2E-6F4B-8CAD-3ACAA468A0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data'!$Z$5:$Z$16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E-6F4B-8CAD-3ACAA468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664260717410325E-2"/>
                  <c:y val="3.34090660542432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data'!$V$5:$Y$5</c:f>
              <c:numCache>
                <c:formatCode>General</c:formatCode>
                <c:ptCount val="4"/>
                <c:pt idx="1">
                  <c:v>1.5403392679948031</c:v>
                </c:pt>
                <c:pt idx="2">
                  <c:v>1.4898762632855662</c:v>
                </c:pt>
                <c:pt idx="3">
                  <c:v>1.4322491984414667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3-564F-815A-B1208DFFC1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data'!$V$6:$Y$6</c:f>
              <c:numCache>
                <c:formatCode>General</c:formatCode>
                <c:ptCount val="4"/>
                <c:pt idx="1">
                  <c:v>2.0511831486416821</c:v>
                </c:pt>
                <c:pt idx="2">
                  <c:v>1.9947362871373</c:v>
                </c:pt>
                <c:pt idx="3">
                  <c:v>1.9156985835103495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3-564F-815A-B1208DFFC1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data'!$V$7:$Y$7</c:f>
              <c:numCache>
                <c:formatCode>General</c:formatCode>
                <c:ptCount val="4"/>
                <c:pt idx="0">
                  <c:v>2.5548995154711127</c:v>
                </c:pt>
                <c:pt idx="1">
                  <c:v>2.4482673947407081</c:v>
                </c:pt>
                <c:pt idx="2">
                  <c:v>2.3542142658745342</c:v>
                </c:pt>
                <c:pt idx="3">
                  <c:v>2.2954924794753349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3-564F-815A-B1208DFFC1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data'!$V$8:$Y$8</c:f>
              <c:numCache>
                <c:formatCode>General</c:formatCode>
                <c:ptCount val="4"/>
                <c:pt idx="0">
                  <c:v>2.9317194752459526</c:v>
                </c:pt>
                <c:pt idx="1">
                  <c:v>2.8288472947710011</c:v>
                </c:pt>
                <c:pt idx="2">
                  <c:v>2.716193824429741</c:v>
                </c:pt>
                <c:pt idx="3">
                  <c:v>2.6309470569502409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3-564F-815A-B1208DFFC1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data'!$V$9:$Y$9</c:f>
              <c:numCache>
                <c:formatCode>General</c:formatCode>
                <c:ptCount val="4"/>
                <c:pt idx="0">
                  <c:v>2.9979473006204214</c:v>
                </c:pt>
                <c:pt idx="1">
                  <c:v>2.8854731217252318</c:v>
                </c:pt>
                <c:pt idx="2">
                  <c:v>2.8102813268506712</c:v>
                </c:pt>
                <c:pt idx="3">
                  <c:v>2.7041383753983914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3-564F-815A-B1208DFFC1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data'!$V$10:$Y$10</c:f>
              <c:numCache>
                <c:formatCode>General</c:formatCode>
                <c:ptCount val="4"/>
                <c:pt idx="0">
                  <c:v>3.1822777657953623</c:v>
                </c:pt>
                <c:pt idx="1">
                  <c:v>3.0883259996990571</c:v>
                </c:pt>
                <c:pt idx="2">
                  <c:v>3.0112572584585982</c:v>
                </c:pt>
                <c:pt idx="3">
                  <c:v>2.8910202649099923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3-564F-815A-B1208DFFC1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data'!$V$11:$Y$11</c:f>
              <c:numCache>
                <c:formatCode>General</c:formatCode>
                <c:ptCount val="4"/>
                <c:pt idx="0">
                  <c:v>3.4653628520462374</c:v>
                </c:pt>
                <c:pt idx="1">
                  <c:v>3.3404441866479351</c:v>
                </c:pt>
                <c:pt idx="2">
                  <c:v>3.2468626306109023</c:v>
                </c:pt>
                <c:pt idx="3">
                  <c:v>3.1428616859505181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3-564F-815A-B1208DFFC1C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data'!$V$12:$Y$12</c:f>
              <c:numCache>
                <c:formatCode>General</c:formatCode>
                <c:ptCount val="4"/>
                <c:pt idx="1">
                  <c:v>3.5486119947692392</c:v>
                </c:pt>
                <c:pt idx="2">
                  <c:v>3.475000520927559</c:v>
                </c:pt>
                <c:pt idx="3">
                  <c:v>3.3528238066737317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3-564F-815A-B1208DFFC1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data'!$V$13:$Y$13</c:f>
              <c:numCache>
                <c:formatCode>General</c:formatCode>
                <c:ptCount val="4"/>
                <c:pt idx="1">
                  <c:v>3.7605194589199629</c:v>
                </c:pt>
                <c:pt idx="2">
                  <c:v>3.6576782297369101</c:v>
                </c:pt>
                <c:pt idx="3">
                  <c:v>3.5522056519146661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3-564F-815A-B1208DFFC1C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21981627296586"/>
                  <c:y val="1.73903652668416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data'!$V$14:$Y$14</c:f>
              <c:numCache>
                <c:formatCode>General</c:formatCode>
                <c:ptCount val="4"/>
                <c:pt idx="1">
                  <c:v>3.8533620902622308</c:v>
                </c:pt>
                <c:pt idx="2">
                  <c:v>3.7624626101547793</c:v>
                </c:pt>
                <c:pt idx="3">
                  <c:v>3.6895982695677265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73-564F-815A-B1208DFFC1C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data'!$V$15:$Y$15</c:f>
              <c:numCache>
                <c:formatCode>General</c:formatCode>
                <c:ptCount val="4"/>
                <c:pt idx="1">
                  <c:v>4.0221062119287012</c:v>
                </c:pt>
                <c:pt idx="2">
                  <c:v>3.9321481136162824</c:v>
                </c:pt>
                <c:pt idx="3">
                  <c:v>3.8820774928368005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73-564F-815A-B1208DFFC1C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7034120734905E-3"/>
                  <c:y val="-9.41877187226596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data'!$V$16:$Y$16</c:f>
              <c:numCache>
                <c:formatCode>General</c:formatCode>
                <c:ptCount val="4"/>
                <c:pt idx="1">
                  <c:v>4.1003966159290135</c:v>
                </c:pt>
                <c:pt idx="2">
                  <c:v>4.0552997834009066</c:v>
                </c:pt>
                <c:pt idx="3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73-564F-815A-B1208DFF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8272"/>
        <c:axId val="1715209568"/>
      </c:scatterChart>
      <c:valAx>
        <c:axId val="161577827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9568"/>
        <c:crosses val="autoZero"/>
        <c:crossBetween val="midCat"/>
      </c:valAx>
      <c:valAx>
        <c:axId val="171520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data'!$AA$39:$AA$51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data'!$AB$39:$AB$50</c:f>
              <c:numCache>
                <c:formatCode>0.00E+00</c:formatCode>
                <c:ptCount val="12"/>
                <c:pt idx="0">
                  <c:v>3.6000000000000002E-4</c:v>
                </c:pt>
                <c:pt idx="1">
                  <c:v>4.5199999999999998E-4</c:v>
                </c:pt>
                <c:pt idx="2">
                  <c:v>5.2999999999999998E-4</c:v>
                </c:pt>
                <c:pt idx="3">
                  <c:v>6.1300000000000005E-4</c:v>
                </c:pt>
                <c:pt idx="4">
                  <c:v>5.7799999999999995E-4</c:v>
                </c:pt>
                <c:pt idx="5">
                  <c:v>5.7200000000000003E-4</c:v>
                </c:pt>
                <c:pt idx="6">
                  <c:v>6.4199999999999999E-4</c:v>
                </c:pt>
                <c:pt idx="7">
                  <c:v>6.5300000000000004E-4</c:v>
                </c:pt>
                <c:pt idx="8">
                  <c:v>6.9399999999999996E-4</c:v>
                </c:pt>
                <c:pt idx="9">
                  <c:v>5.4600000000000004E-4</c:v>
                </c:pt>
                <c:pt idx="10">
                  <c:v>4.6700000000000002E-4</c:v>
                </c:pt>
                <c:pt idx="11">
                  <c:v>5.5400000000000002E-4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804A-99B4-9FB45B15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data'!$AD$4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data'!$AD$5:$AD$16</c:f>
              <c:numCache>
                <c:formatCode>General</c:formatCode>
                <c:ptCount val="12"/>
                <c:pt idx="0">
                  <c:v>0</c:v>
                </c:pt>
                <c:pt idx="1">
                  <c:v>-3.4068310102863819E-2</c:v>
                </c:pt>
                <c:pt idx="2">
                  <c:v>-5.9793047081854844E-2</c:v>
                </c:pt>
                <c:pt idx="3">
                  <c:v>-7.5658371889088194E-2</c:v>
                </c:pt>
                <c:pt idx="4">
                  <c:v>-6.5223918583560803E-2</c:v>
                </c:pt>
                <c:pt idx="5">
                  <c:v>-9.1861059025435843E-2</c:v>
                </c:pt>
                <c:pt idx="6">
                  <c:v>-7.2363751713398372E-2</c:v>
                </c:pt>
                <c:pt idx="7">
                  <c:v>-6.9138985211221637E-2</c:v>
                </c:pt>
                <c:pt idx="8">
                  <c:v>-6.5371232967232018E-2</c:v>
                </c:pt>
                <c:pt idx="9">
                  <c:v>-4.4508741496487758E-2</c:v>
                </c:pt>
                <c:pt idx="10">
                  <c:v>-2.4177159887095456E-2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C-9D4B-ADF0-AA0D26B32851}"/>
            </c:ext>
          </c:extLst>
        </c:ser>
        <c:ser>
          <c:idx val="1"/>
          <c:order val="1"/>
          <c:tx>
            <c:strRef>
              <c:f>'summary data'!$AE$4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data'!$AE$5:$AE$16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C-9D4B-ADF0-AA0D26B32851}"/>
            </c:ext>
          </c:extLst>
        </c:ser>
        <c:ser>
          <c:idx val="2"/>
          <c:order val="2"/>
          <c:tx>
            <c:strRef>
              <c:f>'summary data'!$AF$4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data'!$AF$5:$AF$16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C-9D4B-ADF0-AA0D26B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321522309711287E-3"/>
                  <c:y val="-6.3669072615923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data'!$AI$5:$AL$5</c:f>
              <c:numCache>
                <c:formatCode>General</c:formatCode>
                <c:ptCount val="4"/>
                <c:pt idx="1">
                  <c:v>-2.8278107019552077</c:v>
                </c:pt>
                <c:pt idx="2">
                  <c:v>-2.7822000000000005</c:v>
                </c:pt>
                <c:pt idx="3">
                  <c:v>-2.7245645039131166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9-5E47-9012-096349B83E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data'!$AI$6:$AL$6</c:f>
              <c:numCache>
                <c:formatCode>General</c:formatCode>
                <c:ptCount val="4"/>
                <c:pt idx="1">
                  <c:v>-3.993181009470522</c:v>
                </c:pt>
                <c:pt idx="2">
                  <c:v>-3.9405000000000001</c:v>
                </c:pt>
                <c:pt idx="3">
                  <c:v>-3.8647122278145409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9-5E47-9012-096349B83E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data'!$AI$7:$AL$7</c:f>
              <c:numCache>
                <c:formatCode>General</c:formatCode>
                <c:ptCount val="4"/>
                <c:pt idx="0">
                  <c:v>-5.2383372506533581</c:v>
                </c:pt>
                <c:pt idx="1">
                  <c:v>-5.150207743861964</c:v>
                </c:pt>
                <c:pt idx="2">
                  <c:v>-5.0763198666948135</c:v>
                </c:pt>
                <c:pt idx="3">
                  <c:v>-5.005948079136421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9-5E47-9012-096349B83E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data'!$AI$8:$AL$8</c:f>
              <c:numCache>
                <c:formatCode>General</c:formatCode>
                <c:ptCount val="4"/>
                <c:pt idx="0">
                  <c:v>-6.4386606099171351</c:v>
                </c:pt>
                <c:pt idx="1">
                  <c:v>-6.3316569447911162</c:v>
                </c:pt>
                <c:pt idx="2">
                  <c:v>-6.2539393939393939</c:v>
                </c:pt>
                <c:pt idx="3">
                  <c:v>-6.1727289040045061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9-5E47-9012-096349B83E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952340332458444"/>
                  <c:y val="-1.136264216972878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data'!$AI$9:$AL$9</c:f>
              <c:numCache>
                <c:formatCode>General</c:formatCode>
                <c:ptCount val="4"/>
                <c:pt idx="0">
                  <c:v>-6.7566373083000277</c:v>
                </c:pt>
                <c:pt idx="1">
                  <c:v>-6.6640412785802701</c:v>
                </c:pt>
                <c:pt idx="2">
                  <c:v>-6.5975000000000001</c:v>
                </c:pt>
                <c:pt idx="3">
                  <c:v>-6.5087712816737566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9-5E47-9012-096349B83E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data'!$AI$10:$AL$10</c:f>
              <c:numCache>
                <c:formatCode>General</c:formatCode>
                <c:ptCount val="4"/>
                <c:pt idx="0">
                  <c:v>-7.5306464780063198</c:v>
                </c:pt>
                <c:pt idx="1">
                  <c:v>-7.444879750630446</c:v>
                </c:pt>
                <c:pt idx="2">
                  <c:v>-7.3625714285714281</c:v>
                </c:pt>
                <c:pt idx="3">
                  <c:v>-7.2762499324432923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9-5E47-9012-096349B83E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85673665791778"/>
                  <c:y val="-4.439796587926508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data'!$AI$11:$AL$11</c:f>
              <c:numCache>
                <c:formatCode>General</c:formatCode>
                <c:ptCount val="4"/>
                <c:pt idx="0">
                  <c:v>-8.6822045056515513</c:v>
                </c:pt>
                <c:pt idx="1">
                  <c:v>-8.5566844407308587</c:v>
                </c:pt>
                <c:pt idx="2">
                  <c:v>-8.4728124999999999</c:v>
                </c:pt>
                <c:pt idx="3">
                  <c:v>-8.3754760718575199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B9-5E47-9012-096349B83E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12292213473316E-2"/>
                  <c:y val="-2.456146106736658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data'!$AI$12:$AL$12</c:f>
              <c:numCache>
                <c:formatCode>General</c:formatCode>
                <c:ptCount val="4"/>
                <c:pt idx="1">
                  <c:v>-9.684761671641132</c:v>
                </c:pt>
                <c:pt idx="2">
                  <c:v>-9.5936805236766727</c:v>
                </c:pt>
                <c:pt idx="3">
                  <c:v>-9.5087707255645775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B9-5E47-9012-096349B83E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data'!$AI$13:$AL$13</c:f>
              <c:numCache>
                <c:formatCode>General</c:formatCode>
                <c:ptCount val="4"/>
                <c:pt idx="1">
                  <c:v>-10.695264675697961</c:v>
                </c:pt>
                <c:pt idx="2">
                  <c:v>-10.589249080447139</c:v>
                </c:pt>
                <c:pt idx="3">
                  <c:v>-10.489459972481933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B9-5E47-9012-096349B83E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19006999125108"/>
                  <c:y val="-1.33571194225721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data'!$AI$14:$AL$14</c:f>
              <c:numCache>
                <c:formatCode>General</c:formatCode>
                <c:ptCount val="4"/>
                <c:pt idx="1">
                  <c:v>-11.9227354227513</c:v>
                </c:pt>
                <c:pt idx="2">
                  <c:v>-11.837989705885271</c:v>
                </c:pt>
                <c:pt idx="3">
                  <c:v>-11.712946314749892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B9-5E47-9012-096349B83E7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85673665791776"/>
                  <c:y val="-1.285843175853018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data'!$AI$15:$AL$15</c:f>
              <c:numCache>
                <c:formatCode>General</c:formatCode>
                <c:ptCount val="4"/>
                <c:pt idx="1">
                  <c:v>-13.222256171456431</c:v>
                </c:pt>
                <c:pt idx="2">
                  <c:v>-13.085690287610836</c:v>
                </c:pt>
                <c:pt idx="3">
                  <c:v>-12.979191433817826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B9-5E47-9012-096349B83E7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34033245844267E-3"/>
                  <c:y val="8.325978783902011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data'!$AI$16:$AL$16</c:f>
              <c:numCache>
                <c:formatCode>General</c:formatCode>
                <c:ptCount val="4"/>
                <c:pt idx="1">
                  <c:v>-14.140830676079712</c:v>
                </c:pt>
                <c:pt idx="2">
                  <c:v>-14.015974475299624</c:v>
                </c:pt>
                <c:pt idx="3">
                  <c:v>-13.896449749594384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B9-5E47-9012-096349B8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data'!$AN$22:$AN$33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data'!$AO$22:$AO$33</c:f>
              <c:numCache>
                <c:formatCode>0.00E+00</c:formatCode>
                <c:ptCount val="12"/>
                <c:pt idx="0">
                  <c:v>3.4400000000000001E-4</c:v>
                </c:pt>
                <c:pt idx="1">
                  <c:v>4.28E-4</c:v>
                </c:pt>
                <c:pt idx="2">
                  <c:v>4.6700000000000002E-4</c:v>
                </c:pt>
                <c:pt idx="3">
                  <c:v>5.31E-4</c:v>
                </c:pt>
                <c:pt idx="4">
                  <c:v>4.8999999999999998E-4</c:v>
                </c:pt>
                <c:pt idx="5">
                  <c:v>5.1000000000000004E-4</c:v>
                </c:pt>
                <c:pt idx="6">
                  <c:v>6.0899999999999995E-4</c:v>
                </c:pt>
                <c:pt idx="7">
                  <c:v>5.8699999999999996E-4</c:v>
                </c:pt>
                <c:pt idx="8">
                  <c:v>6.8599999999999998E-4</c:v>
                </c:pt>
                <c:pt idx="9">
                  <c:v>6.9899999999999997E-4</c:v>
                </c:pt>
                <c:pt idx="10">
                  <c:v>8.0999999999999996E-4</c:v>
                </c:pt>
                <c:pt idx="11">
                  <c:v>8.1499999999999997E-4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0-184F-8A19-EDE8CA1A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data'!$AT$5:$AW$5</c:f>
              <c:numCache>
                <c:formatCode>General</c:formatCode>
                <c:ptCount val="4"/>
                <c:pt idx="1">
                  <c:v>-127.17199009776039</c:v>
                </c:pt>
                <c:pt idx="2">
                  <c:v>-122.95256250000001</c:v>
                </c:pt>
                <c:pt idx="3">
                  <c:v>-118.13189519565583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6047-B037-9BEAC08B28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data'!$AT$6:$AW$6</c:f>
              <c:numCache>
                <c:formatCode>General</c:formatCode>
                <c:ptCount val="4"/>
                <c:pt idx="1">
                  <c:v>-147.21492077882087</c:v>
                </c:pt>
                <c:pt idx="2">
                  <c:v>-143.401455</c:v>
                </c:pt>
                <c:pt idx="3">
                  <c:v>-138.66371871258164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6047-B037-9BEAC08B28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data'!$AT$7:$AW$7</c:f>
              <c:numCache>
                <c:formatCode>General</c:formatCode>
                <c:ptCount val="4"/>
                <c:pt idx="0">
                  <c:v>-198.36546922613434</c:v>
                </c:pt>
                <c:pt idx="1">
                  <c:v>-192.35850655447857</c:v>
                </c:pt>
                <c:pt idx="2">
                  <c:v>-187.54165466779253</c:v>
                </c:pt>
                <c:pt idx="3">
                  <c:v>-182.86544636545682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A-6047-B037-9BEAC08B28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data'!$AT$8:$AW$8</c:f>
              <c:numCache>
                <c:formatCode>General</c:formatCode>
                <c:ptCount val="4"/>
                <c:pt idx="0">
                  <c:v>-202.47111482726544</c:v>
                </c:pt>
                <c:pt idx="1">
                  <c:v>-196.71673047810683</c:v>
                </c:pt>
                <c:pt idx="2">
                  <c:v>-192.48460374999999</c:v>
                </c:pt>
                <c:pt idx="3">
                  <c:v>-188.13721003214872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A-6047-B037-9BEAC08B28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data'!$AT$9:$AW$9</c:f>
              <c:numCache>
                <c:formatCode>General</c:formatCode>
                <c:ptCount val="4"/>
                <c:pt idx="0">
                  <c:v>-232.07092229880101</c:v>
                </c:pt>
                <c:pt idx="1">
                  <c:v>-226.25568282888972</c:v>
                </c:pt>
                <c:pt idx="2">
                  <c:v>-221.99885999999998</c:v>
                </c:pt>
                <c:pt idx="3">
                  <c:v>-216.94328934025526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A-6047-B037-9BEAC08B28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data'!$AT$10:$AW$10</c:f>
              <c:numCache>
                <c:formatCode>General</c:formatCode>
                <c:ptCount val="4"/>
                <c:pt idx="0">
                  <c:v>-252.17193883022119</c:v>
                </c:pt>
                <c:pt idx="1">
                  <c:v>-246.6366171720656</c:v>
                </c:pt>
                <c:pt idx="2">
                  <c:v>-241.85571125000001</c:v>
                </c:pt>
                <c:pt idx="3">
                  <c:v>-236.93434423551523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A-6047-B037-9BEAC08B28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data'!$AT$11:$AW$11</c:f>
              <c:numCache>
                <c:formatCode>General</c:formatCode>
                <c:ptCount val="4"/>
                <c:pt idx="0">
                  <c:v>-266.66252338084962</c:v>
                </c:pt>
                <c:pt idx="1">
                  <c:v>-260.16409890338747</c:v>
                </c:pt>
                <c:pt idx="2">
                  <c:v>-255.80367607121588</c:v>
                </c:pt>
                <c:pt idx="3">
                  <c:v>-250.64275749944062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8A-6047-B037-9BEAC08B28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data'!$AT$12:$AW$12</c:f>
              <c:numCache>
                <c:formatCode>General</c:formatCode>
                <c:ptCount val="4"/>
                <c:pt idx="1">
                  <c:v>-276.89304694923396</c:v>
                </c:pt>
                <c:pt idx="2">
                  <c:v>-272.29927571030015</c:v>
                </c:pt>
                <c:pt idx="3">
                  <c:v>-267.89064496693732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8A-6047-B037-9BEAC08B28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data'!$AT$13:$AW$13</c:f>
              <c:numCache>
                <c:formatCode>General</c:formatCode>
                <c:ptCount val="4"/>
                <c:pt idx="1">
                  <c:v>-296.22850149524089</c:v>
                </c:pt>
                <c:pt idx="2">
                  <c:v>-291.25393458296708</c:v>
                </c:pt>
                <c:pt idx="3">
                  <c:v>-286.45993580197603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A-6047-B037-9BEAC08B28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data'!$AT$14:$AW$14</c:f>
              <c:numCache>
                <c:formatCode>General</c:formatCode>
                <c:ptCount val="4"/>
                <c:pt idx="1">
                  <c:v>-285.27169506878249</c:v>
                </c:pt>
                <c:pt idx="2">
                  <c:v>-281.40804889713178</c:v>
                </c:pt>
                <c:pt idx="3">
                  <c:v>-276.53696086874731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8A-6047-B037-9BEAC08B28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data'!$AT$15:$AW$15</c:f>
              <c:numCache>
                <c:formatCode>General</c:formatCode>
                <c:ptCount val="4"/>
                <c:pt idx="1">
                  <c:v>-304.25308671495435</c:v>
                </c:pt>
                <c:pt idx="2">
                  <c:v>-299.19172440266004</c:v>
                </c:pt>
                <c:pt idx="3">
                  <c:v>-294.85197081162784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8A-6047-B037-9BEAC08B28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data'!$AT$16:$AW$16</c:f>
              <c:numCache>
                <c:formatCode>General</c:formatCode>
                <c:ptCount val="4"/>
                <c:pt idx="1">
                  <c:v>-298.58595527375365</c:v>
                </c:pt>
                <c:pt idx="2">
                  <c:v>-294.13289345659172</c:v>
                </c:pt>
                <c:pt idx="3">
                  <c:v>-289.79712409107645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8A-6047-B037-9BEAC08B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1111111111112"/>
                  <c:y val="9.31211723534558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data'!$AN$5:$AN$16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data'!$AZ$5:$AZ$16</c:f>
              <c:numCache>
                <c:formatCode>0.00</c:formatCode>
                <c:ptCount val="12"/>
                <c:pt idx="0">
                  <c:v>2.9046499999999997</c:v>
                </c:pt>
                <c:pt idx="1">
                  <c:v>2.7502500000000003</c:v>
                </c:pt>
                <c:pt idx="2">
                  <c:v>3.00115</c:v>
                </c:pt>
                <c:pt idx="3">
                  <c:v>2.7599</c:v>
                </c:pt>
                <c:pt idx="4">
                  <c:v>2.895</c:v>
                </c:pt>
                <c:pt idx="5">
                  <c:v>2.9432499999999999</c:v>
                </c:pt>
                <c:pt idx="6">
                  <c:v>3.0687000000000002</c:v>
                </c:pt>
                <c:pt idx="7">
                  <c:v>2.895</c:v>
                </c:pt>
                <c:pt idx="8">
                  <c:v>3.1458999999999997</c:v>
                </c:pt>
                <c:pt idx="9">
                  <c:v>2.8081499999999999</c:v>
                </c:pt>
                <c:pt idx="10">
                  <c:v>3.0204500000000003</c:v>
                </c:pt>
                <c:pt idx="11">
                  <c:v>2.8274499999999998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C94A-861B-9EB9335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cell'!$C$31:$C$37</c:f>
              <c:numCache>
                <c:formatCode>General</c:formatCode>
                <c:ptCount val="7"/>
                <c:pt idx="0">
                  <c:v>-205.39931176666701</c:v>
                </c:pt>
                <c:pt idx="1">
                  <c:v>-204.67436128283501</c:v>
                </c:pt>
                <c:pt idx="2">
                  <c:v>-204.46018364444399</c:v>
                </c:pt>
                <c:pt idx="3">
                  <c:v>-203.385937491682</c:v>
                </c:pt>
                <c:pt idx="4">
                  <c:v>-203.21384557866699</c:v>
                </c:pt>
                <c:pt idx="5">
                  <c:v>-203.27260966266601</c:v>
                </c:pt>
                <c:pt idx="6">
                  <c:v>-202.323703001366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cell'!$G$31:$G$37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3A41-93BA-B3917788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1839"/>
        <c:axId val="1404242527"/>
      </c:scatterChart>
      <c:valAx>
        <c:axId val="2477072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UCl3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07296"/>
        <c:crosses val="autoZero"/>
        <c:crossBetween val="midCat"/>
      </c:valAx>
      <c:valAx>
        <c:axId val="1404242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4591839"/>
        <c:crosses val="max"/>
        <c:crossBetween val="midCat"/>
      </c:valAx>
      <c:valAx>
        <c:axId val="140459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242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51399825021874"/>
                  <c:y val="-8.6326188393117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19</xdr:row>
      <xdr:rowOff>63500</xdr:rowOff>
    </xdr:from>
    <xdr:to>
      <xdr:col>19</xdr:col>
      <xdr:colOff>69850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7343-E881-9044-81D6-ED2C46D5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17</xdr:row>
      <xdr:rowOff>152400</xdr:rowOff>
    </xdr:from>
    <xdr:to>
      <xdr:col>25</xdr:col>
      <xdr:colOff>431800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F8CF-61F2-CD4D-8736-6EF8E4C0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36</xdr:row>
      <xdr:rowOff>38100</xdr:rowOff>
    </xdr:from>
    <xdr:to>
      <xdr:col>25</xdr:col>
      <xdr:colOff>450850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95113-7537-5E45-BE6A-E5C586B6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368300</xdr:colOff>
      <xdr:row>37</xdr:row>
      <xdr:rowOff>25400</xdr:rowOff>
    </xdr:from>
    <xdr:to>
      <xdr:col>32</xdr:col>
      <xdr:colOff>508000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4E3B5-B1AC-4541-B10A-BB101A8F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17</xdr:row>
      <xdr:rowOff>152400</xdr:rowOff>
    </xdr:from>
    <xdr:to>
      <xdr:col>32</xdr:col>
      <xdr:colOff>558800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4D1A4-7BEC-AB4A-B12C-521625FA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25385-CD1D-B348-B83F-8CACE397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38</xdr:col>
      <xdr:colOff>139700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0CDB3-2379-8645-9476-C37E840E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673100</xdr:colOff>
      <xdr:row>17</xdr:row>
      <xdr:rowOff>76200</xdr:rowOff>
    </xdr:from>
    <xdr:to>
      <xdr:col>49</xdr:col>
      <xdr:colOff>292100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21541-43C1-3C42-9531-D5A4F6220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18</xdr:row>
      <xdr:rowOff>0</xdr:rowOff>
    </xdr:from>
    <xdr:to>
      <xdr:col>55</xdr:col>
      <xdr:colOff>444500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BD572F-41FD-2043-8224-9F358F6D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73</xdr:row>
      <xdr:rowOff>76200</xdr:rowOff>
    </xdr:from>
    <xdr:to>
      <xdr:col>20</xdr:col>
      <xdr:colOff>749300</xdr:colOff>
      <xdr:row>87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73</xdr:row>
      <xdr:rowOff>63500</xdr:rowOff>
    </xdr:from>
    <xdr:to>
      <xdr:col>26</xdr:col>
      <xdr:colOff>298450</xdr:colOff>
      <xdr:row>86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615950</xdr:colOff>
      <xdr:row>17</xdr:row>
      <xdr:rowOff>44450</xdr:rowOff>
    </xdr:from>
    <xdr:to>
      <xdr:col>31</xdr:col>
      <xdr:colOff>234950</xdr:colOff>
      <xdr:row>30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158750</xdr:colOff>
      <xdr:row>17</xdr:row>
      <xdr:rowOff>101600</xdr:rowOff>
    </xdr:from>
    <xdr:to>
      <xdr:col>37</xdr:col>
      <xdr:colOff>603250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47540-C3CA-0B43-B380-C1741BA5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37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88C4F-CDA3-CB4B-ACD5-1F266ADB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B2B-A671-BF48-92B6-33F6A1094362}">
  <dimension ref="B3:AZ61"/>
  <sheetViews>
    <sheetView topLeftCell="AM1" workbookViewId="0">
      <selection activeCell="BB12" sqref="BB12"/>
    </sheetView>
  </sheetViews>
  <sheetFormatPr baseColWidth="10" defaultRowHeight="16" x14ac:dyDescent="0.2"/>
  <sheetData>
    <row r="3" spans="2:52" x14ac:dyDescent="0.2">
      <c r="B3" t="s">
        <v>73</v>
      </c>
      <c r="AT3" t="s">
        <v>84</v>
      </c>
      <c r="AZ3" t="s">
        <v>82</v>
      </c>
    </row>
    <row r="4" spans="2:52" x14ac:dyDescent="0.2">
      <c r="B4" t="s">
        <v>27</v>
      </c>
      <c r="C4" t="s">
        <v>24</v>
      </c>
      <c r="D4" t="s">
        <v>19</v>
      </c>
      <c r="E4" t="s">
        <v>22</v>
      </c>
      <c r="F4" t="s">
        <v>25</v>
      </c>
      <c r="G4" t="s">
        <v>26</v>
      </c>
      <c r="H4" t="s">
        <v>0</v>
      </c>
      <c r="I4" t="s">
        <v>2</v>
      </c>
      <c r="J4" t="s">
        <v>30</v>
      </c>
      <c r="K4" t="s">
        <v>68</v>
      </c>
      <c r="L4" t="s">
        <v>86</v>
      </c>
      <c r="N4" t="s">
        <v>47</v>
      </c>
      <c r="O4">
        <v>900</v>
      </c>
      <c r="P4">
        <v>1100</v>
      </c>
      <c r="Q4">
        <v>1250</v>
      </c>
      <c r="R4">
        <v>1400</v>
      </c>
      <c r="S4" t="s">
        <v>77</v>
      </c>
      <c r="U4" t="s">
        <v>19</v>
      </c>
      <c r="V4">
        <v>900</v>
      </c>
      <c r="W4">
        <v>1100</v>
      </c>
      <c r="X4">
        <v>1250</v>
      </c>
      <c r="Y4">
        <v>1400</v>
      </c>
      <c r="Z4" t="s">
        <v>77</v>
      </c>
      <c r="AB4" t="s">
        <v>28</v>
      </c>
      <c r="AC4">
        <v>900</v>
      </c>
      <c r="AD4">
        <v>1100</v>
      </c>
      <c r="AE4">
        <v>1250</v>
      </c>
      <c r="AF4">
        <v>1400</v>
      </c>
      <c r="AH4" t="s">
        <v>26</v>
      </c>
      <c r="AI4">
        <v>900</v>
      </c>
      <c r="AJ4">
        <v>1100</v>
      </c>
      <c r="AK4">
        <v>1250</v>
      </c>
      <c r="AL4">
        <v>1400</v>
      </c>
      <c r="AN4" t="s">
        <v>83</v>
      </c>
      <c r="AO4">
        <v>900</v>
      </c>
      <c r="AP4">
        <v>1100</v>
      </c>
      <c r="AQ4">
        <v>1250</v>
      </c>
      <c r="AR4">
        <v>1400</v>
      </c>
      <c r="AT4">
        <v>900</v>
      </c>
      <c r="AU4">
        <v>1100</v>
      </c>
      <c r="AV4">
        <v>1250</v>
      </c>
      <c r="AW4">
        <v>1400</v>
      </c>
      <c r="AX4" t="s">
        <v>85</v>
      </c>
      <c r="AY4" t="s">
        <v>79</v>
      </c>
    </row>
    <row r="5" spans="2:52" x14ac:dyDescent="0.2">
      <c r="B5">
        <v>0</v>
      </c>
      <c r="C5">
        <v>3391.3025104225098</v>
      </c>
      <c r="D5">
        <v>1.4322491984414667</v>
      </c>
      <c r="E5">
        <f>C5^(1/3)</f>
        <v>15.024113083801051</v>
      </c>
      <c r="F5">
        <v>-136.22822519565582</v>
      </c>
      <c r="G5">
        <v>-2.7245645039131166</v>
      </c>
      <c r="H5">
        <v>50</v>
      </c>
      <c r="I5">
        <v>0</v>
      </c>
      <c r="J5">
        <v>0</v>
      </c>
      <c r="K5">
        <v>28.72316560477962</v>
      </c>
      <c r="L5">
        <f>H5*2+I5*4</f>
        <v>100</v>
      </c>
      <c r="N5">
        <v>0</v>
      </c>
      <c r="P5">
        <v>44.770248213620675</v>
      </c>
      <c r="Q5">
        <v>31.114074125793156</v>
      </c>
      <c r="R5">
        <v>28.72316560477962</v>
      </c>
      <c r="S5">
        <f>AVERAGE(P5:R5)</f>
        <v>34.869162648064481</v>
      </c>
      <c r="U5">
        <v>0</v>
      </c>
      <c r="W5">
        <v>1.5403392679948031</v>
      </c>
      <c r="X5">
        <v>1.4898762632855662</v>
      </c>
      <c r="Y5">
        <v>1.4322491984414667</v>
      </c>
      <c r="AB5">
        <v>0</v>
      </c>
      <c r="AD5">
        <v>0</v>
      </c>
      <c r="AE5">
        <v>0</v>
      </c>
      <c r="AF5">
        <v>0</v>
      </c>
      <c r="AH5">
        <v>0</v>
      </c>
      <c r="AJ5">
        <v>-2.8278107019552077</v>
      </c>
      <c r="AK5">
        <v>-2.7822000000000005</v>
      </c>
      <c r="AL5">
        <v>-2.7245645039131166</v>
      </c>
      <c r="AN5">
        <v>0</v>
      </c>
      <c r="AP5">
        <v>-141.39053509776039</v>
      </c>
      <c r="AQ5">
        <v>-139.11000000000001</v>
      </c>
      <c r="AR5">
        <v>-136.22822519565582</v>
      </c>
      <c r="AU5">
        <f t="shared" ref="AU5:AU15" si="0">AP5+(0.000086173)*AU$4*$AX5*1.5</f>
        <v>-127.17199009776039</v>
      </c>
      <c r="AV5">
        <f t="shared" ref="AV5:AV15" si="1">AQ5+(0.000086173)*AV$4*$AX5*1.5</f>
        <v>-122.95256250000001</v>
      </c>
      <c r="AW5">
        <f t="shared" ref="AW5:AW15" si="2">AR5+(0.000086173)*AW$4*$AX5*1.5</f>
        <v>-118.13189519565583</v>
      </c>
      <c r="AX5">
        <v>100</v>
      </c>
      <c r="AY5" s="4">
        <v>3.0099999999999998E-2</v>
      </c>
      <c r="AZ5" s="3">
        <f>AY5*96.5</f>
        <v>2.9046499999999997</v>
      </c>
    </row>
    <row r="6" spans="2:52" x14ac:dyDescent="0.2">
      <c r="B6">
        <v>10</v>
      </c>
      <c r="C6">
        <v>3020.022767444033</v>
      </c>
      <c r="D6">
        <v>1.9156985835103495</v>
      </c>
      <c r="E6">
        <f t="shared" ref="E6:E16" si="3">C6^(1/3)</f>
        <v>14.454511057411322</v>
      </c>
      <c r="F6">
        <v>-154.58848911258164</v>
      </c>
      <c r="G6">
        <v>-3.8647122278145409</v>
      </c>
      <c r="H6">
        <v>36</v>
      </c>
      <c r="I6">
        <v>4</v>
      </c>
      <c r="J6">
        <v>-2.2959199333297375E-2</v>
      </c>
      <c r="K6">
        <v>46.590257189632169</v>
      </c>
      <c r="L6">
        <f t="shared" ref="L6:L16" si="4">H6*2+I6*4</f>
        <v>88</v>
      </c>
      <c r="N6">
        <v>10</v>
      </c>
      <c r="P6">
        <v>56.332707618470934</v>
      </c>
      <c r="Q6">
        <v>38.261108265279937</v>
      </c>
      <c r="R6">
        <v>46.590257189632169</v>
      </c>
      <c r="S6">
        <f t="shared" ref="S6:S16" si="5">AVERAGE(P6:R6)</f>
        <v>47.061357691127682</v>
      </c>
      <c r="U6">
        <v>10</v>
      </c>
      <c r="W6">
        <v>2.0511831486416821</v>
      </c>
      <c r="X6">
        <v>1.9947362871373</v>
      </c>
      <c r="Y6">
        <v>1.9156985835103495</v>
      </c>
      <c r="AB6">
        <v>10</v>
      </c>
      <c r="AD6">
        <v>-3.4068310102863819E-2</v>
      </c>
      <c r="AE6">
        <v>-3.4922552470037393E-2</v>
      </c>
      <c r="AF6">
        <v>-2.2959199333297375E-2</v>
      </c>
      <c r="AH6">
        <v>10</v>
      </c>
      <c r="AJ6">
        <v>-3.993181009470522</v>
      </c>
      <c r="AK6">
        <v>-3.9405000000000001</v>
      </c>
      <c r="AL6">
        <v>-3.8647122278145409</v>
      </c>
      <c r="AN6">
        <v>10</v>
      </c>
      <c r="AP6">
        <v>-159.72724037882088</v>
      </c>
      <c r="AQ6">
        <v>-157.62</v>
      </c>
      <c r="AR6">
        <v>-154.58848911258164</v>
      </c>
      <c r="AU6">
        <f t="shared" si="0"/>
        <v>-147.21492077882087</v>
      </c>
      <c r="AV6">
        <f t="shared" si="1"/>
        <v>-143.401455</v>
      </c>
      <c r="AW6">
        <f t="shared" si="2"/>
        <v>-138.66371871258164</v>
      </c>
      <c r="AX6">
        <v>88</v>
      </c>
      <c r="AY6" s="4">
        <v>2.8500000000000001E-2</v>
      </c>
      <c r="AZ6" s="3">
        <f t="shared" ref="AZ6:AZ16" si="6">AY6*96.5</f>
        <v>2.7502500000000003</v>
      </c>
    </row>
    <row r="7" spans="2:52" x14ac:dyDescent="0.2">
      <c r="B7">
        <v>20</v>
      </c>
      <c r="C7">
        <v>3347.9327431730403</v>
      </c>
      <c r="D7">
        <v>2.2954924794753349</v>
      </c>
      <c r="E7">
        <f t="shared" si="3"/>
        <v>14.959792681321401</v>
      </c>
      <c r="F7">
        <v>-200.23792316545683</v>
      </c>
      <c r="G7">
        <v>-5.005948079136421</v>
      </c>
      <c r="H7">
        <v>32</v>
      </c>
      <c r="I7">
        <v>8</v>
      </c>
      <c r="J7">
        <v>-4.7006526087050915E-2</v>
      </c>
      <c r="K7">
        <v>36.341607308844146</v>
      </c>
      <c r="L7">
        <f t="shared" si="4"/>
        <v>96</v>
      </c>
      <c r="N7">
        <v>20</v>
      </c>
      <c r="O7">
        <v>59.022397281080181</v>
      </c>
      <c r="P7">
        <v>53.911393394825758</v>
      </c>
      <c r="Q7">
        <v>61.198451430247104</v>
      </c>
      <c r="R7">
        <v>36.341607308844146</v>
      </c>
      <c r="S7">
        <f t="shared" si="5"/>
        <v>50.483817377972336</v>
      </c>
      <c r="U7">
        <v>20</v>
      </c>
      <c r="V7">
        <v>2.5548995154711127</v>
      </c>
      <c r="W7">
        <v>2.4482673947407081</v>
      </c>
      <c r="X7">
        <v>2.3542142658745342</v>
      </c>
      <c r="Y7">
        <v>2.2954924794753349</v>
      </c>
      <c r="AB7">
        <v>20</v>
      </c>
      <c r="AD7">
        <v>-5.9793047081854844E-2</v>
      </c>
      <c r="AE7">
        <v>-4.7364971634888065E-2</v>
      </c>
      <c r="AF7">
        <v>-4.7006526087050915E-2</v>
      </c>
      <c r="AH7">
        <v>20</v>
      </c>
      <c r="AI7">
        <v>-5.2383372506533581</v>
      </c>
      <c r="AJ7">
        <v>-5.150207743861964</v>
      </c>
      <c r="AK7">
        <v>-5.0763198666948135</v>
      </c>
      <c r="AL7">
        <v>-5.005948079136421</v>
      </c>
      <c r="AN7">
        <v>20</v>
      </c>
      <c r="AO7">
        <v>-209.53349002613433</v>
      </c>
      <c r="AP7">
        <v>-206.00830975447857</v>
      </c>
      <c r="AQ7">
        <v>-203.05279466779254</v>
      </c>
      <c r="AR7">
        <v>-200.23792316545683</v>
      </c>
      <c r="AT7">
        <f>AO7+(0.000086173)*AT$4*$AX7*1.5</f>
        <v>-198.36546922613434</v>
      </c>
      <c r="AU7">
        <f t="shared" si="0"/>
        <v>-192.35850655447857</v>
      </c>
      <c r="AV7">
        <f t="shared" si="1"/>
        <v>-187.54165466779253</v>
      </c>
      <c r="AW7">
        <f t="shared" si="2"/>
        <v>-182.86544636545682</v>
      </c>
      <c r="AX7">
        <v>96</v>
      </c>
      <c r="AY7" s="4">
        <v>3.1099999999999999E-2</v>
      </c>
      <c r="AZ7" s="3">
        <f t="shared" si="6"/>
        <v>3.00115</v>
      </c>
    </row>
    <row r="8" spans="2:52" x14ac:dyDescent="0.2">
      <c r="B8">
        <v>30</v>
      </c>
      <c r="C8">
        <v>3023.6253969486734</v>
      </c>
      <c r="D8">
        <v>2.6309470569502409</v>
      </c>
      <c r="E8">
        <f t="shared" si="3"/>
        <v>14.460256439595426</v>
      </c>
      <c r="F8">
        <v>-203.70005383214871</v>
      </c>
      <c r="G8">
        <v>-6.1727289040045061</v>
      </c>
      <c r="H8">
        <v>23</v>
      </c>
      <c r="I8">
        <v>10</v>
      </c>
      <c r="J8">
        <v>-6.2744628672823488E-2</v>
      </c>
      <c r="K8">
        <v>51.782186186677038</v>
      </c>
      <c r="L8">
        <f t="shared" si="4"/>
        <v>86</v>
      </c>
      <c r="N8">
        <v>30</v>
      </c>
      <c r="O8">
        <v>78.288938765204477</v>
      </c>
      <c r="P8">
        <v>75.466853464294005</v>
      </c>
      <c r="Q8">
        <v>34.388775242693363</v>
      </c>
      <c r="R8">
        <v>51.782186186677038</v>
      </c>
      <c r="S8">
        <f t="shared" si="5"/>
        <v>53.879271631221478</v>
      </c>
      <c r="U8">
        <v>30</v>
      </c>
      <c r="V8">
        <v>2.9317194752459526</v>
      </c>
      <c r="W8">
        <v>2.8288472947710011</v>
      </c>
      <c r="X8">
        <v>2.716193824429741</v>
      </c>
      <c r="Y8">
        <v>2.6309470569502409</v>
      </c>
      <c r="AB8">
        <v>30</v>
      </c>
      <c r="AD8">
        <v>-7.5658371889088194E-2</v>
      </c>
      <c r="AE8">
        <v>-6.7565310515265153E-2</v>
      </c>
      <c r="AF8">
        <v>-6.2744628672823488E-2</v>
      </c>
      <c r="AH8">
        <v>30</v>
      </c>
      <c r="AI8">
        <v>-6.4386606099171351</v>
      </c>
      <c r="AJ8">
        <v>-6.3316569447911162</v>
      </c>
      <c r="AK8">
        <v>-6.2539393939393939</v>
      </c>
      <c r="AL8">
        <v>-6.1727289040045061</v>
      </c>
      <c r="AN8">
        <v>30</v>
      </c>
      <c r="AO8">
        <v>-212.47580012726544</v>
      </c>
      <c r="AP8">
        <v>-208.94467917810684</v>
      </c>
      <c r="AQ8">
        <v>-206.38</v>
      </c>
      <c r="AR8">
        <v>-203.70005383214871</v>
      </c>
      <c r="AT8">
        <f t="shared" ref="AT8:AU16" si="7">AO8+(0.000086173)*AT$4*$AX8*1.5</f>
        <v>-202.47111482726544</v>
      </c>
      <c r="AU8">
        <f t="shared" si="0"/>
        <v>-196.71673047810683</v>
      </c>
      <c r="AV8">
        <f t="shared" si="1"/>
        <v>-192.48460374999999</v>
      </c>
      <c r="AW8">
        <f t="shared" si="2"/>
        <v>-188.13721003214872</v>
      </c>
      <c r="AX8">
        <v>86</v>
      </c>
      <c r="AY8" s="4">
        <v>2.86E-2</v>
      </c>
      <c r="AZ8" s="3">
        <f t="shared" si="6"/>
        <v>2.7599</v>
      </c>
    </row>
    <row r="9" spans="2:52" x14ac:dyDescent="0.2">
      <c r="B9">
        <v>33</v>
      </c>
      <c r="C9">
        <v>3400.8172027037904</v>
      </c>
      <c r="D9">
        <v>2.7041383753983914</v>
      </c>
      <c r="E9">
        <f t="shared" si="3"/>
        <v>15.038150594257672</v>
      </c>
      <c r="F9">
        <v>-234.31576614025525</v>
      </c>
      <c r="G9">
        <v>-6.5087712816737566</v>
      </c>
      <c r="H9">
        <v>24</v>
      </c>
      <c r="I9">
        <v>12</v>
      </c>
      <c r="J9">
        <v>-6.0245029200218347E-2</v>
      </c>
      <c r="K9">
        <v>52.154289185941089</v>
      </c>
      <c r="L9">
        <f t="shared" si="4"/>
        <v>96</v>
      </c>
      <c r="N9">
        <v>33</v>
      </c>
      <c r="O9">
        <v>64.141362158304943</v>
      </c>
      <c r="P9">
        <v>56.125902294784318</v>
      </c>
      <c r="Q9">
        <v>64.884964809514813</v>
      </c>
      <c r="R9">
        <v>52.154289185941089</v>
      </c>
      <c r="S9">
        <f t="shared" si="5"/>
        <v>57.721718763413406</v>
      </c>
      <c r="U9">
        <v>33</v>
      </c>
      <c r="V9">
        <v>2.9979473006204214</v>
      </c>
      <c r="W9">
        <v>2.8854731217252318</v>
      </c>
      <c r="X9">
        <v>2.8102813268506712</v>
      </c>
      <c r="Y9">
        <v>2.7041383753983914</v>
      </c>
      <c r="AB9">
        <v>33</v>
      </c>
      <c r="AD9">
        <v>-6.5223918583560803E-2</v>
      </c>
      <c r="AE9">
        <v>-7.0708508233459533E-2</v>
      </c>
      <c r="AF9">
        <v>-6.0245029200218347E-2</v>
      </c>
      <c r="AH9">
        <v>33</v>
      </c>
      <c r="AI9">
        <v>-6.7566373083000277</v>
      </c>
      <c r="AJ9">
        <v>-6.6640412785802701</v>
      </c>
      <c r="AK9">
        <v>-6.5975000000000001</v>
      </c>
      <c r="AL9">
        <v>-6.5087712816737566</v>
      </c>
      <c r="AN9">
        <v>33</v>
      </c>
      <c r="AO9">
        <v>-243.238943098801</v>
      </c>
      <c r="AP9">
        <v>-239.90548602888973</v>
      </c>
      <c r="AQ9">
        <v>-237.51</v>
      </c>
      <c r="AR9">
        <v>-234.31576614025525</v>
      </c>
      <c r="AT9">
        <f t="shared" si="7"/>
        <v>-232.07092229880101</v>
      </c>
      <c r="AU9">
        <f t="shared" si="0"/>
        <v>-226.25568282888972</v>
      </c>
      <c r="AV9">
        <f t="shared" si="1"/>
        <v>-221.99885999999998</v>
      </c>
      <c r="AW9">
        <f t="shared" si="2"/>
        <v>-216.94328934025526</v>
      </c>
      <c r="AX9">
        <v>96</v>
      </c>
      <c r="AY9" s="4">
        <v>0.03</v>
      </c>
      <c r="AZ9" s="3">
        <f t="shared" si="6"/>
        <v>2.895</v>
      </c>
    </row>
    <row r="10" spans="2:52" x14ac:dyDescent="0.2">
      <c r="B10">
        <v>40</v>
      </c>
      <c r="C10">
        <v>3475.9310301152059</v>
      </c>
      <c r="D10">
        <v>2.8910202649099923</v>
      </c>
      <c r="E10">
        <f t="shared" si="3"/>
        <v>15.148061169417717</v>
      </c>
      <c r="F10">
        <v>-254.66874763551522</v>
      </c>
      <c r="G10">
        <v>-7.2762499324432923</v>
      </c>
      <c r="H10">
        <v>21</v>
      </c>
      <c r="I10">
        <v>14</v>
      </c>
      <c r="J10">
        <v>-8.2931330257668634E-2</v>
      </c>
      <c r="K10">
        <v>49.983313378415829</v>
      </c>
      <c r="L10">
        <f t="shared" si="4"/>
        <v>98</v>
      </c>
      <c r="N10">
        <v>40</v>
      </c>
      <c r="O10">
        <v>83.777378729285672</v>
      </c>
      <c r="P10">
        <v>64.478383453965208</v>
      </c>
      <c r="Q10">
        <v>38.829051928948786</v>
      </c>
      <c r="R10">
        <v>49.983313378415829</v>
      </c>
      <c r="S10">
        <f t="shared" si="5"/>
        <v>51.096916253776612</v>
      </c>
      <c r="U10">
        <v>40</v>
      </c>
      <c r="V10">
        <v>3.1822777657953623</v>
      </c>
      <c r="W10">
        <v>3.0883259996990571</v>
      </c>
      <c r="X10">
        <v>3.0112572584585982</v>
      </c>
      <c r="Y10">
        <v>2.8910202649099923</v>
      </c>
      <c r="AB10">
        <v>40</v>
      </c>
      <c r="AD10">
        <v>-9.1861059025435843E-2</v>
      </c>
      <c r="AE10">
        <v>-8.6861638451578571E-2</v>
      </c>
      <c r="AF10">
        <v>-8.2931330257668634E-2</v>
      </c>
      <c r="AH10">
        <v>40</v>
      </c>
      <c r="AI10">
        <v>-7.5306464780063198</v>
      </c>
      <c r="AJ10">
        <v>-7.444879750630446</v>
      </c>
      <c r="AK10">
        <v>-7.3625714285714281</v>
      </c>
      <c r="AL10">
        <v>-7.2762499324432923</v>
      </c>
      <c r="AN10">
        <v>40</v>
      </c>
      <c r="AO10">
        <v>-263.5726267302212</v>
      </c>
      <c r="AP10">
        <v>-260.57079127206561</v>
      </c>
      <c r="AQ10">
        <v>-257.69</v>
      </c>
      <c r="AR10">
        <v>-254.66874763551522</v>
      </c>
      <c r="AT10">
        <f t="shared" si="7"/>
        <v>-252.17193883022119</v>
      </c>
      <c r="AU10">
        <f t="shared" si="0"/>
        <v>-246.6366171720656</v>
      </c>
      <c r="AV10">
        <f t="shared" si="1"/>
        <v>-241.85571125000001</v>
      </c>
      <c r="AW10">
        <f t="shared" si="2"/>
        <v>-236.93434423551523</v>
      </c>
      <c r="AX10">
        <v>98</v>
      </c>
      <c r="AY10" s="4">
        <v>3.0499999999999999E-2</v>
      </c>
      <c r="AZ10" s="3">
        <f t="shared" si="6"/>
        <v>2.9432499999999999</v>
      </c>
    </row>
    <row r="11" spans="2:52" x14ac:dyDescent="0.2">
      <c r="B11">
        <v>50</v>
      </c>
      <c r="C11">
        <v>3406.8970407494717</v>
      </c>
      <c r="D11">
        <v>3.1428616859505181</v>
      </c>
      <c r="E11">
        <f t="shared" si="3"/>
        <v>15.047106783716972</v>
      </c>
      <c r="F11">
        <v>-268.01523429944064</v>
      </c>
      <c r="G11">
        <v>-8.3754760718575199</v>
      </c>
      <c r="H11">
        <v>16</v>
      </c>
      <c r="I11">
        <v>16</v>
      </c>
      <c r="J11">
        <v>-6.4968945103769826E-2</v>
      </c>
      <c r="K11">
        <v>45.017939321911754</v>
      </c>
      <c r="L11">
        <f t="shared" si="4"/>
        <v>96</v>
      </c>
      <c r="N11">
        <v>50</v>
      </c>
      <c r="O11">
        <v>75.807440094948916</v>
      </c>
      <c r="P11">
        <v>68.060850274549651</v>
      </c>
      <c r="Q11">
        <v>62.516074119990947</v>
      </c>
      <c r="R11">
        <v>45.017939321911754</v>
      </c>
      <c r="S11">
        <f t="shared" si="5"/>
        <v>58.531621238817443</v>
      </c>
      <c r="U11">
        <v>50</v>
      </c>
      <c r="V11">
        <v>3.4653628520462374</v>
      </c>
      <c r="W11">
        <v>3.3404441866479351</v>
      </c>
      <c r="X11">
        <v>3.2468626306109023</v>
      </c>
      <c r="Y11">
        <v>3.1428616859505181</v>
      </c>
      <c r="AB11">
        <v>50</v>
      </c>
      <c r="AD11">
        <v>-7.2363751713398372E-2</v>
      </c>
      <c r="AE11">
        <v>-7.3725262350188281E-2</v>
      </c>
      <c r="AF11">
        <v>-6.4968945103769826E-2</v>
      </c>
      <c r="AH11">
        <v>50</v>
      </c>
      <c r="AI11">
        <v>-8.6822045056515513</v>
      </c>
      <c r="AJ11">
        <v>-8.5566844407308587</v>
      </c>
      <c r="AK11">
        <v>-8.4728124999999999</v>
      </c>
      <c r="AL11">
        <v>-8.3754760718575199</v>
      </c>
      <c r="AN11">
        <v>50</v>
      </c>
      <c r="AO11">
        <v>-277.83054418084964</v>
      </c>
      <c r="AP11">
        <v>-273.81390210338748</v>
      </c>
      <c r="AQ11">
        <v>-271.31481607121589</v>
      </c>
      <c r="AR11">
        <v>-268.01523429944064</v>
      </c>
      <c r="AT11">
        <f t="shared" si="7"/>
        <v>-266.66252338084962</v>
      </c>
      <c r="AU11">
        <f t="shared" si="0"/>
        <v>-260.16409890338747</v>
      </c>
      <c r="AV11">
        <f t="shared" si="1"/>
        <v>-255.80367607121588</v>
      </c>
      <c r="AW11">
        <f t="shared" si="2"/>
        <v>-250.64275749944062</v>
      </c>
      <c r="AX11">
        <v>96</v>
      </c>
      <c r="AY11" s="4">
        <v>3.1800000000000002E-2</v>
      </c>
      <c r="AZ11" s="3">
        <f t="shared" si="6"/>
        <v>3.0687000000000002</v>
      </c>
    </row>
    <row r="12" spans="2:52" x14ac:dyDescent="0.2">
      <c r="B12">
        <v>60</v>
      </c>
      <c r="C12">
        <v>3418.8999405320942</v>
      </c>
      <c r="D12">
        <v>3.3528238066737317</v>
      </c>
      <c r="E12">
        <f t="shared" si="3"/>
        <v>15.064756982181462</v>
      </c>
      <c r="F12">
        <v>-285.26312176693733</v>
      </c>
      <c r="G12">
        <v>-9.5087707255645775</v>
      </c>
      <c r="H12">
        <v>12</v>
      </c>
      <c r="I12">
        <v>18</v>
      </c>
      <c r="J12">
        <v>-8.1075074242701106E-2</v>
      </c>
      <c r="K12">
        <v>53.717700052497335</v>
      </c>
      <c r="L12">
        <f t="shared" si="4"/>
        <v>96</v>
      </c>
      <c r="N12">
        <v>60</v>
      </c>
      <c r="P12">
        <v>71.281461564735793</v>
      </c>
      <c r="Q12">
        <v>73.086187589857474</v>
      </c>
      <c r="R12">
        <v>53.717700052497335</v>
      </c>
      <c r="S12">
        <f t="shared" si="5"/>
        <v>66.028449735696867</v>
      </c>
      <c r="U12">
        <v>60</v>
      </c>
      <c r="W12">
        <v>3.5486119947692392</v>
      </c>
      <c r="X12">
        <v>3.475000520927559</v>
      </c>
      <c r="Y12">
        <v>3.3528238066737317</v>
      </c>
      <c r="AB12">
        <v>60</v>
      </c>
      <c r="AD12">
        <v>-6.9138985211221637E-2</v>
      </c>
      <c r="AE12">
        <v>-7.1215838496899053E-2</v>
      </c>
      <c r="AF12">
        <v>-8.1075074242701106E-2</v>
      </c>
      <c r="AH12">
        <v>60</v>
      </c>
      <c r="AJ12">
        <v>-9.684761671641132</v>
      </c>
      <c r="AK12">
        <v>-9.5936805236766727</v>
      </c>
      <c r="AL12">
        <v>-9.5087707255645775</v>
      </c>
      <c r="AN12">
        <v>60</v>
      </c>
      <c r="AP12">
        <v>-290.54285014923397</v>
      </c>
      <c r="AQ12">
        <v>-287.81041571030016</v>
      </c>
      <c r="AR12">
        <v>-285.26312176693733</v>
      </c>
      <c r="AU12">
        <f t="shared" si="0"/>
        <v>-276.89304694923396</v>
      </c>
      <c r="AV12">
        <f t="shared" si="1"/>
        <v>-272.29927571030015</v>
      </c>
      <c r="AW12">
        <f t="shared" si="2"/>
        <v>-267.89064496693732</v>
      </c>
      <c r="AX12">
        <v>96</v>
      </c>
      <c r="AY12" s="4">
        <v>0.03</v>
      </c>
      <c r="AZ12" s="3">
        <f t="shared" si="6"/>
        <v>2.895</v>
      </c>
    </row>
    <row r="13" spans="2:52" x14ac:dyDescent="0.2">
      <c r="B13">
        <v>70</v>
      </c>
      <c r="C13">
        <v>3467.050351817149</v>
      </c>
      <c r="D13">
        <v>3.5522056519146661</v>
      </c>
      <c r="E13">
        <f t="shared" si="3"/>
        <v>15.135149541221868</v>
      </c>
      <c r="F13">
        <v>-304.19433920197605</v>
      </c>
      <c r="G13">
        <v>-10.489459972481933</v>
      </c>
      <c r="H13">
        <v>9</v>
      </c>
      <c r="I13">
        <v>20</v>
      </c>
      <c r="J13">
        <v>-6.0147023271390765E-2</v>
      </c>
      <c r="K13">
        <v>50.177548673741562</v>
      </c>
      <c r="L13">
        <f t="shared" si="4"/>
        <v>98</v>
      </c>
      <c r="N13">
        <v>70</v>
      </c>
      <c r="P13">
        <v>74.93267811027026</v>
      </c>
      <c r="Q13">
        <v>58.411769586177002</v>
      </c>
      <c r="R13">
        <v>50.177548673741562</v>
      </c>
      <c r="S13">
        <f t="shared" si="5"/>
        <v>61.173998790062946</v>
      </c>
      <c r="U13">
        <v>70</v>
      </c>
      <c r="W13">
        <v>3.7605194589199629</v>
      </c>
      <c r="X13">
        <v>3.6576782297369101</v>
      </c>
      <c r="Y13">
        <v>3.5522056519146661</v>
      </c>
      <c r="AB13">
        <v>70</v>
      </c>
      <c r="AD13">
        <v>-6.5371232967232018E-2</v>
      </c>
      <c r="AE13">
        <v>-5.9618407826707909E-2</v>
      </c>
      <c r="AF13">
        <v>-6.0147023271390765E-2</v>
      </c>
      <c r="AH13">
        <v>70</v>
      </c>
      <c r="AJ13">
        <v>-10.695264675697961</v>
      </c>
      <c r="AK13">
        <v>-10.589249080447139</v>
      </c>
      <c r="AL13">
        <v>-10.489459972481933</v>
      </c>
      <c r="AN13">
        <v>70</v>
      </c>
      <c r="AP13">
        <v>-310.1626755952409</v>
      </c>
      <c r="AQ13">
        <v>-307.08822333296706</v>
      </c>
      <c r="AR13">
        <v>-304.19433920197605</v>
      </c>
      <c r="AU13">
        <f>AP13+(0.000086173)*AU$4*$AX13*1.5</f>
        <v>-296.22850149524089</v>
      </c>
      <c r="AV13">
        <f t="shared" si="1"/>
        <v>-291.25393458296708</v>
      </c>
      <c r="AW13">
        <f t="shared" si="2"/>
        <v>-286.45993580197603</v>
      </c>
      <c r="AX13">
        <v>98</v>
      </c>
      <c r="AY13" s="4">
        <v>3.2599999999999997E-2</v>
      </c>
      <c r="AZ13" s="3">
        <f t="shared" si="6"/>
        <v>3.1458999999999997</v>
      </c>
    </row>
    <row r="14" spans="2:52" x14ac:dyDescent="0.2">
      <c r="B14">
        <v>80</v>
      </c>
      <c r="C14">
        <v>3232.6285301562039</v>
      </c>
      <c r="D14">
        <v>3.6895982695677265</v>
      </c>
      <c r="E14">
        <f t="shared" si="3"/>
        <v>14.786041944458928</v>
      </c>
      <c r="F14">
        <v>-292.82365786874732</v>
      </c>
      <c r="G14">
        <v>-11.712946314749892</v>
      </c>
      <c r="H14">
        <v>5</v>
      </c>
      <c r="I14">
        <v>20</v>
      </c>
      <c r="J14">
        <v>-5.0873614291761626E-2</v>
      </c>
      <c r="K14">
        <v>60.394452090315653</v>
      </c>
      <c r="L14">
        <f t="shared" si="4"/>
        <v>90</v>
      </c>
      <c r="N14">
        <v>80</v>
      </c>
      <c r="P14">
        <v>89.466191244228582</v>
      </c>
      <c r="Q14">
        <v>82.658621451156918</v>
      </c>
      <c r="R14">
        <v>60.394452090315653</v>
      </c>
      <c r="S14">
        <f t="shared" si="5"/>
        <v>77.506421595233732</v>
      </c>
      <c r="U14">
        <v>80</v>
      </c>
      <c r="W14">
        <v>3.8533620902622308</v>
      </c>
      <c r="X14">
        <v>3.7624626101547793</v>
      </c>
      <c r="Y14">
        <v>3.6895982695677265</v>
      </c>
      <c r="AB14">
        <v>80</v>
      </c>
      <c r="AD14">
        <v>-4.4508741496487758E-2</v>
      </c>
      <c r="AE14">
        <v>-6.8770125645571056E-2</v>
      </c>
      <c r="AF14">
        <v>-5.0873614291761626E-2</v>
      </c>
      <c r="AH14">
        <v>80</v>
      </c>
      <c r="AJ14">
        <v>-11.9227354227513</v>
      </c>
      <c r="AK14">
        <v>-11.837989705885271</v>
      </c>
      <c r="AL14">
        <v>-11.712946314749892</v>
      </c>
      <c r="AN14">
        <v>80</v>
      </c>
      <c r="AP14">
        <v>-298.0683855687825</v>
      </c>
      <c r="AQ14">
        <v>-295.94974264713176</v>
      </c>
      <c r="AR14">
        <v>-292.82365786874732</v>
      </c>
      <c r="AU14">
        <f t="shared" si="0"/>
        <v>-285.27169506878249</v>
      </c>
      <c r="AV14">
        <f t="shared" si="1"/>
        <v>-281.40804889713178</v>
      </c>
      <c r="AW14">
        <f t="shared" si="2"/>
        <v>-276.53696086874731</v>
      </c>
      <c r="AX14">
        <v>90</v>
      </c>
      <c r="AY14" s="4">
        <v>2.9100000000000001E-2</v>
      </c>
      <c r="AZ14" s="3">
        <f t="shared" si="6"/>
        <v>2.8081499999999999</v>
      </c>
    </row>
    <row r="15" spans="2:52" x14ac:dyDescent="0.2">
      <c r="B15">
        <v>90</v>
      </c>
      <c r="C15">
        <v>3292.0021294131961</v>
      </c>
      <c r="D15">
        <v>3.8820774928368005</v>
      </c>
      <c r="E15">
        <f t="shared" si="3"/>
        <v>14.876018250151377</v>
      </c>
      <c r="F15">
        <v>-311.50059441162784</v>
      </c>
      <c r="G15">
        <v>-12.979191433817826</v>
      </c>
      <c r="H15">
        <v>2</v>
      </c>
      <c r="I15">
        <v>22</v>
      </c>
      <c r="J15">
        <v>-1.3732121363547733E-2</v>
      </c>
      <c r="K15">
        <v>61.135824278926549</v>
      </c>
      <c r="L15">
        <f t="shared" si="4"/>
        <v>92</v>
      </c>
      <c r="N15">
        <v>90</v>
      </c>
      <c r="P15">
        <v>78.034460436000131</v>
      </c>
      <c r="Q15">
        <v>50.526128500794421</v>
      </c>
      <c r="R15">
        <v>61.135824278926549</v>
      </c>
      <c r="S15">
        <f t="shared" si="5"/>
        <v>63.232137738573698</v>
      </c>
      <c r="U15">
        <v>90</v>
      </c>
      <c r="W15">
        <v>4.0221062119287012</v>
      </c>
      <c r="X15">
        <v>3.9321481136162824</v>
      </c>
      <c r="Y15">
        <v>3.8820774928368005</v>
      </c>
      <c r="AB15">
        <v>90</v>
      </c>
      <c r="AD15">
        <v>-2.4177159887095456E-2</v>
      </c>
      <c r="AE15">
        <v>-5.8636852528479722E-3</v>
      </c>
      <c r="AF15">
        <v>-1.3732121363547733E-2</v>
      </c>
      <c r="AH15">
        <v>90</v>
      </c>
      <c r="AJ15">
        <v>-13.222256171456431</v>
      </c>
      <c r="AK15">
        <v>-13.085690287610836</v>
      </c>
      <c r="AL15">
        <v>-12.979191433817826</v>
      </c>
      <c r="AN15">
        <v>90</v>
      </c>
      <c r="AP15">
        <v>-317.33414811495436</v>
      </c>
      <c r="AQ15">
        <v>-314.05656690266005</v>
      </c>
      <c r="AR15">
        <v>-311.50059441162784</v>
      </c>
      <c r="AU15">
        <f t="shared" si="0"/>
        <v>-304.25308671495435</v>
      </c>
      <c r="AV15">
        <f t="shared" si="1"/>
        <v>-299.19172440266004</v>
      </c>
      <c r="AW15">
        <f t="shared" si="2"/>
        <v>-294.85197081162784</v>
      </c>
      <c r="AX15">
        <v>92</v>
      </c>
      <c r="AY15" s="4">
        <v>3.1300000000000001E-2</v>
      </c>
      <c r="AZ15" s="3">
        <f t="shared" si="6"/>
        <v>3.0204500000000003</v>
      </c>
    </row>
    <row r="16" spans="2:52" x14ac:dyDescent="0.2">
      <c r="B16">
        <v>100</v>
      </c>
      <c r="C16">
        <v>3199.11498839145</v>
      </c>
      <c r="D16">
        <v>3.9340629538311536</v>
      </c>
      <c r="E16">
        <f t="shared" si="3"/>
        <v>14.734767364869132</v>
      </c>
      <c r="F16">
        <v>-305.72189449107645</v>
      </c>
      <c r="G16">
        <v>-13.896449749594384</v>
      </c>
      <c r="H16">
        <v>0</v>
      </c>
      <c r="I16">
        <v>22</v>
      </c>
      <c r="J16">
        <v>0</v>
      </c>
      <c r="K16">
        <v>72.526490972965547</v>
      </c>
      <c r="L16">
        <f t="shared" si="4"/>
        <v>88</v>
      </c>
      <c r="N16">
        <v>100</v>
      </c>
      <c r="P16">
        <v>64.566293075959607</v>
      </c>
      <c r="Q16">
        <v>92.032065908906375</v>
      </c>
      <c r="R16">
        <v>72.526490972965547</v>
      </c>
      <c r="S16">
        <f t="shared" si="5"/>
        <v>76.374949985943843</v>
      </c>
      <c r="U16">
        <v>100</v>
      </c>
      <c r="W16">
        <v>4.1003966159290135</v>
      </c>
      <c r="X16">
        <v>4.0552997834009066</v>
      </c>
      <c r="Y16">
        <v>3.9340629538311536</v>
      </c>
      <c r="AB16">
        <v>100</v>
      </c>
      <c r="AD16">
        <v>0</v>
      </c>
      <c r="AE16">
        <v>0</v>
      </c>
      <c r="AF16">
        <v>0</v>
      </c>
      <c r="AH16">
        <v>100</v>
      </c>
      <c r="AJ16">
        <v>-14.140830676079712</v>
      </c>
      <c r="AK16">
        <v>-14.015974475299624</v>
      </c>
      <c r="AL16">
        <v>-13.896449749594384</v>
      </c>
      <c r="AN16">
        <v>100</v>
      </c>
      <c r="AP16">
        <v>-311.09827487375367</v>
      </c>
      <c r="AQ16">
        <v>-308.35143845659172</v>
      </c>
      <c r="AR16">
        <v>-305.72189449107645</v>
      </c>
      <c r="AU16">
        <f t="shared" si="7"/>
        <v>-298.58595527375365</v>
      </c>
      <c r="AV16">
        <f t="shared" ref="AV16" si="8">AQ16+(0.000086173)*AV$4*$AX16*1.5</f>
        <v>-294.13289345659172</v>
      </c>
      <c r="AW16">
        <f>AR16+(0.000086173)*AW$4*$AX16*1.5</f>
        <v>-289.79712409107645</v>
      </c>
      <c r="AX16">
        <v>88</v>
      </c>
      <c r="AY16" s="4">
        <v>2.93E-2</v>
      </c>
      <c r="AZ16" s="3">
        <f t="shared" si="6"/>
        <v>2.8274499999999998</v>
      </c>
    </row>
    <row r="18" spans="2:42" x14ac:dyDescent="0.2">
      <c r="B18" t="s">
        <v>74</v>
      </c>
      <c r="N18" t="s">
        <v>78</v>
      </c>
      <c r="P18">
        <f>AVERAGE(P5:P16)</f>
        <v>66.45228526214207</v>
      </c>
      <c r="Q18">
        <f t="shared" ref="Q18:R18" si="9">AVERAGE(Q5:Q16)</f>
        <v>57.325606079946688</v>
      </c>
      <c r="R18">
        <f t="shared" si="9"/>
        <v>50.712064520387365</v>
      </c>
    </row>
    <row r="19" spans="2:42" x14ac:dyDescent="0.2">
      <c r="C19" t="s">
        <v>26</v>
      </c>
      <c r="D19" t="s">
        <v>31</v>
      </c>
      <c r="E19" t="s">
        <v>30</v>
      </c>
      <c r="F19" t="s">
        <v>72</v>
      </c>
      <c r="G19" t="s">
        <v>25</v>
      </c>
      <c r="AP19" t="s">
        <v>81</v>
      </c>
    </row>
    <row r="20" spans="2:42" x14ac:dyDescent="0.2">
      <c r="B20">
        <v>0</v>
      </c>
      <c r="C20">
        <v>-2.7822000000000005</v>
      </c>
      <c r="D20">
        <v>1.4898762632855662</v>
      </c>
      <c r="E20">
        <v>0</v>
      </c>
      <c r="F20">
        <v>31.114074125793156</v>
      </c>
      <c r="G20">
        <v>-139.11000000000001</v>
      </c>
      <c r="AO20" t="s">
        <v>80</v>
      </c>
      <c r="AP20" t="s">
        <v>82</v>
      </c>
    </row>
    <row r="21" spans="2:42" x14ac:dyDescent="0.2">
      <c r="B21">
        <v>10</v>
      </c>
      <c r="C21">
        <v>-3.9405000000000001</v>
      </c>
      <c r="D21">
        <v>1.9947362871373</v>
      </c>
      <c r="E21">
        <v>-3.4922552470037393E-2</v>
      </c>
      <c r="F21">
        <v>38.261108265279937</v>
      </c>
      <c r="G21">
        <v>-157.62</v>
      </c>
      <c r="AO21" t="s">
        <v>79</v>
      </c>
    </row>
    <row r="22" spans="2:42" x14ac:dyDescent="0.2">
      <c r="B22">
        <v>20</v>
      </c>
      <c r="C22">
        <v>-5.0763198666948135</v>
      </c>
      <c r="D22">
        <v>2.3542142658745342</v>
      </c>
      <c r="E22">
        <v>-4.7364971634888065E-2</v>
      </c>
      <c r="F22">
        <v>61.198451430247104</v>
      </c>
      <c r="G22">
        <v>-203.05279466779254</v>
      </c>
      <c r="AN22">
        <v>0</v>
      </c>
      <c r="AO22" s="4">
        <v>3.4400000000000001E-4</v>
      </c>
      <c r="AP22" s="4">
        <f>AO22*96.5</f>
        <v>3.3196000000000003E-2</v>
      </c>
    </row>
    <row r="23" spans="2:42" x14ac:dyDescent="0.2">
      <c r="B23">
        <v>30</v>
      </c>
      <c r="C23">
        <v>-6.2539393939393939</v>
      </c>
      <c r="D23">
        <v>2.716193824429741</v>
      </c>
      <c r="E23">
        <v>-6.7565310515265153E-2</v>
      </c>
      <c r="F23">
        <v>34.388775242693363</v>
      </c>
      <c r="G23">
        <v>-206.38</v>
      </c>
      <c r="AN23">
        <v>10</v>
      </c>
      <c r="AO23" s="4">
        <v>4.28E-4</v>
      </c>
      <c r="AP23" s="4">
        <f t="shared" ref="AP23:AP33" si="10">AO23*96.5</f>
        <v>4.1301999999999998E-2</v>
      </c>
    </row>
    <row r="24" spans="2:42" x14ac:dyDescent="0.2">
      <c r="B24">
        <v>33</v>
      </c>
      <c r="C24">
        <v>-6.5975000000000001</v>
      </c>
      <c r="D24">
        <v>2.8102813268506712</v>
      </c>
      <c r="E24">
        <v>-7.0708508233459533E-2</v>
      </c>
      <c r="F24">
        <v>64.884964809514813</v>
      </c>
      <c r="G24">
        <v>-237.51</v>
      </c>
      <c r="AN24">
        <v>20</v>
      </c>
      <c r="AO24" s="4">
        <v>4.6700000000000002E-4</v>
      </c>
      <c r="AP24" s="4">
        <f t="shared" si="10"/>
        <v>4.5065500000000001E-2</v>
      </c>
    </row>
    <row r="25" spans="2:42" x14ac:dyDescent="0.2">
      <c r="B25">
        <v>40</v>
      </c>
      <c r="C25">
        <v>-7.3625714285714281</v>
      </c>
      <c r="D25">
        <v>3.0112572584585982</v>
      </c>
      <c r="E25">
        <v>-8.6861638451578571E-2</v>
      </c>
      <c r="F25">
        <v>38.829051928948786</v>
      </c>
      <c r="G25">
        <v>-257.69</v>
      </c>
      <c r="AN25">
        <v>30</v>
      </c>
      <c r="AO25" s="4">
        <v>5.31E-4</v>
      </c>
      <c r="AP25" s="4">
        <f t="shared" si="10"/>
        <v>5.1241500000000002E-2</v>
      </c>
    </row>
    <row r="26" spans="2:42" x14ac:dyDescent="0.2">
      <c r="B26">
        <v>50</v>
      </c>
      <c r="C26">
        <v>-8.4728124999999999</v>
      </c>
      <c r="D26">
        <v>3.2468626306109023</v>
      </c>
      <c r="E26">
        <v>-7.3725262350188281E-2</v>
      </c>
      <c r="F26">
        <v>62.516074119990947</v>
      </c>
      <c r="G26">
        <v>-271.31481607121589</v>
      </c>
      <c r="AN26">
        <v>33</v>
      </c>
      <c r="AO26" s="4">
        <v>4.8999999999999998E-4</v>
      </c>
      <c r="AP26" s="4">
        <f t="shared" si="10"/>
        <v>4.7285000000000001E-2</v>
      </c>
    </row>
    <row r="27" spans="2:42" x14ac:dyDescent="0.2">
      <c r="B27">
        <v>60</v>
      </c>
      <c r="C27">
        <v>-9.5936805236766727</v>
      </c>
      <c r="D27">
        <v>3.475000520927559</v>
      </c>
      <c r="E27">
        <v>-7.1215838496899053E-2</v>
      </c>
      <c r="F27">
        <v>73.086187589857474</v>
      </c>
      <c r="G27">
        <v>-287.81041571030016</v>
      </c>
      <c r="AN27">
        <v>40</v>
      </c>
      <c r="AO27" s="4">
        <v>5.1000000000000004E-4</v>
      </c>
      <c r="AP27" s="4">
        <f t="shared" si="10"/>
        <v>4.9215000000000002E-2</v>
      </c>
    </row>
    <row r="28" spans="2:42" x14ac:dyDescent="0.2">
      <c r="B28">
        <v>70</v>
      </c>
      <c r="C28">
        <v>-10.589249080447139</v>
      </c>
      <c r="D28">
        <v>3.6576782297369101</v>
      </c>
      <c r="E28">
        <v>-5.9618407826707909E-2</v>
      </c>
      <c r="F28">
        <v>58.411769586177002</v>
      </c>
      <c r="G28">
        <v>-307.08822333296706</v>
      </c>
      <c r="AN28">
        <v>50</v>
      </c>
      <c r="AO28" s="4">
        <v>6.0899999999999995E-4</v>
      </c>
      <c r="AP28" s="4">
        <f t="shared" si="10"/>
        <v>5.8768499999999994E-2</v>
      </c>
    </row>
    <row r="29" spans="2:42" x14ac:dyDescent="0.2">
      <c r="B29">
        <v>80</v>
      </c>
      <c r="C29">
        <v>-11.837989705885271</v>
      </c>
      <c r="D29">
        <v>3.7624626101547793</v>
      </c>
      <c r="E29">
        <v>-6.8770125645571056E-2</v>
      </c>
      <c r="F29">
        <v>82.658621451156918</v>
      </c>
      <c r="G29">
        <v>-295.94974264713176</v>
      </c>
      <c r="AN29">
        <v>60</v>
      </c>
      <c r="AO29" s="4">
        <v>5.8699999999999996E-4</v>
      </c>
      <c r="AP29" s="4">
        <f t="shared" si="10"/>
        <v>5.6645499999999994E-2</v>
      </c>
    </row>
    <row r="30" spans="2:42" x14ac:dyDescent="0.2">
      <c r="B30">
        <v>90</v>
      </c>
      <c r="C30">
        <v>-13.085690287610836</v>
      </c>
      <c r="D30">
        <v>3.9321481136162824</v>
      </c>
      <c r="E30">
        <v>-5.8636852528479722E-3</v>
      </c>
      <c r="F30">
        <v>50.526128500794421</v>
      </c>
      <c r="G30">
        <v>-314.05656690266005</v>
      </c>
      <c r="AN30">
        <v>70</v>
      </c>
      <c r="AO30" s="4">
        <v>6.8599999999999998E-4</v>
      </c>
      <c r="AP30" s="4">
        <f t="shared" si="10"/>
        <v>6.6198999999999994E-2</v>
      </c>
    </row>
    <row r="31" spans="2:42" x14ac:dyDescent="0.2">
      <c r="B31">
        <v>100</v>
      </c>
      <c r="C31">
        <v>-14.015974475299624</v>
      </c>
      <c r="D31">
        <v>4.0552997834009066</v>
      </c>
      <c r="E31">
        <v>0</v>
      </c>
      <c r="F31">
        <v>92.032065908906375</v>
      </c>
      <c r="G31">
        <v>-308.35143845659172</v>
      </c>
      <c r="AN31">
        <v>80</v>
      </c>
      <c r="AO31" s="4">
        <v>6.9899999999999997E-4</v>
      </c>
      <c r="AP31" s="4">
        <f t="shared" si="10"/>
        <v>6.74535E-2</v>
      </c>
    </row>
    <row r="32" spans="2:42" x14ac:dyDescent="0.2">
      <c r="AN32">
        <v>90</v>
      </c>
      <c r="AO32" s="4">
        <v>8.0999999999999996E-4</v>
      </c>
      <c r="AP32" s="4">
        <f t="shared" si="10"/>
        <v>7.8164999999999998E-2</v>
      </c>
    </row>
    <row r="33" spans="2:42" x14ac:dyDescent="0.2">
      <c r="B33" t="s">
        <v>75</v>
      </c>
      <c r="AN33">
        <v>100</v>
      </c>
      <c r="AO33" s="4">
        <v>8.1499999999999997E-4</v>
      </c>
      <c r="AP33" s="4">
        <f t="shared" si="10"/>
        <v>7.8647499999999995E-2</v>
      </c>
    </row>
    <row r="34" spans="2:42" x14ac:dyDescent="0.2">
      <c r="B34" t="s">
        <v>27</v>
      </c>
      <c r="C34" t="s">
        <v>24</v>
      </c>
      <c r="D34" t="s">
        <v>22</v>
      </c>
      <c r="E34" t="s">
        <v>19</v>
      </c>
      <c r="F34" t="s">
        <v>25</v>
      </c>
      <c r="G34" t="s">
        <v>26</v>
      </c>
      <c r="H34" t="s">
        <v>0</v>
      </c>
      <c r="I34" t="s">
        <v>2</v>
      </c>
      <c r="J34" t="s">
        <v>30</v>
      </c>
      <c r="K34" t="s">
        <v>54</v>
      </c>
      <c r="M34" t="s">
        <v>72</v>
      </c>
    </row>
    <row r="35" spans="2:42" x14ac:dyDescent="0.2">
      <c r="B35">
        <v>0</v>
      </c>
      <c r="C35">
        <v>3153.3249869999167</v>
      </c>
      <c r="D35">
        <v>14.664128041393068</v>
      </c>
      <c r="E35">
        <v>1.5403392679948031</v>
      </c>
      <c r="F35">
        <v>-141.39053509776039</v>
      </c>
      <c r="G35">
        <v>-2.8278107019552077</v>
      </c>
      <c r="H35">
        <v>50</v>
      </c>
      <c r="I35">
        <v>0</v>
      </c>
      <c r="J35">
        <v>0</v>
      </c>
      <c r="K35">
        <v>0</v>
      </c>
      <c r="M35">
        <v>44.770248213620675</v>
      </c>
    </row>
    <row r="36" spans="2:42" x14ac:dyDescent="0.2">
      <c r="B36">
        <v>10</v>
      </c>
      <c r="C36">
        <v>2820.5444948164363</v>
      </c>
      <c r="D36">
        <v>14.128985683615323</v>
      </c>
      <c r="E36">
        <v>2.0511831486416821</v>
      </c>
      <c r="F36">
        <v>-159.72724037882088</v>
      </c>
      <c r="G36">
        <v>-3.993181009470522</v>
      </c>
      <c r="H36">
        <v>36</v>
      </c>
      <c r="I36">
        <v>4</v>
      </c>
      <c r="J36">
        <v>-3.4068310102863819E-2</v>
      </c>
      <c r="K36">
        <v>-6.4881949901719027E-2</v>
      </c>
      <c r="M36">
        <v>56.332707618470934</v>
      </c>
    </row>
    <row r="37" spans="2:42" x14ac:dyDescent="0.2">
      <c r="B37">
        <v>20</v>
      </c>
      <c r="C37">
        <v>3139.0175967918995</v>
      </c>
      <c r="D37">
        <v>14.641916194371296</v>
      </c>
      <c r="E37">
        <v>2.4482673947407081</v>
      </c>
      <c r="F37">
        <v>-206.00830975447857</v>
      </c>
      <c r="G37">
        <v>-5.150207743861964</v>
      </c>
      <c r="H37">
        <v>32</v>
      </c>
      <c r="I37">
        <v>8</v>
      </c>
      <c r="J37">
        <v>-5.9793047081854844E-2</v>
      </c>
      <c r="K37">
        <v>-0.10722469160176906</v>
      </c>
      <c r="M37">
        <v>53.911393394825758</v>
      </c>
    </row>
    <row r="38" spans="2:42" x14ac:dyDescent="0.2">
      <c r="B38">
        <v>30</v>
      </c>
      <c r="C38">
        <v>2812.0988906423399</v>
      </c>
      <c r="D38">
        <v>14.114869364233288</v>
      </c>
      <c r="E38">
        <v>2.8288472947710011</v>
      </c>
      <c r="F38">
        <v>-208.94467917810684</v>
      </c>
      <c r="G38">
        <v>-6.3316569447911162</v>
      </c>
      <c r="H38">
        <v>23</v>
      </c>
      <c r="I38">
        <v>10</v>
      </c>
      <c r="J38">
        <v>-7.5658371889088194E-2</v>
      </c>
      <c r="K38">
        <v>-0.13356036648796538</v>
      </c>
      <c r="M38">
        <v>75.466853464294005</v>
      </c>
      <c r="AA38" t="s">
        <v>79</v>
      </c>
    </row>
    <row r="39" spans="2:42" x14ac:dyDescent="0.2">
      <c r="B39">
        <v>33</v>
      </c>
      <c r="C39">
        <v>3187.096159831096</v>
      </c>
      <c r="D39">
        <v>14.71629174640317</v>
      </c>
      <c r="E39">
        <v>2.8854731217252318</v>
      </c>
      <c r="F39">
        <v>-239.90548602888973</v>
      </c>
      <c r="G39">
        <v>-6.6640412785802701</v>
      </c>
      <c r="H39">
        <v>24</v>
      </c>
      <c r="I39">
        <v>12</v>
      </c>
      <c r="J39">
        <v>-6.5223918583560803E-2</v>
      </c>
      <c r="K39">
        <v>-0.12533580892681365</v>
      </c>
      <c r="M39">
        <v>56.125902294784318</v>
      </c>
      <c r="AA39">
        <v>0</v>
      </c>
      <c r="AB39" s="4">
        <v>3.6000000000000002E-4</v>
      </c>
    </row>
    <row r="40" spans="2:42" x14ac:dyDescent="0.2">
      <c r="B40">
        <v>40</v>
      </c>
      <c r="C40">
        <v>3253.8621403542734</v>
      </c>
      <c r="D40">
        <v>14.818345494038279</v>
      </c>
      <c r="E40">
        <v>3.0883259996990571</v>
      </c>
      <c r="F40">
        <v>-260.57079127206561</v>
      </c>
      <c r="G40">
        <v>-7.444879750630446</v>
      </c>
      <c r="H40">
        <v>21</v>
      </c>
      <c r="I40">
        <v>14</v>
      </c>
      <c r="J40">
        <v>-9.1861059025435843E-2</v>
      </c>
      <c r="K40">
        <v>-0.15565381590624222</v>
      </c>
      <c r="M40">
        <v>64.478383453965208</v>
      </c>
      <c r="AA40">
        <v>10</v>
      </c>
      <c r="AB40" s="4">
        <v>4.5199999999999998E-4</v>
      </c>
    </row>
    <row r="41" spans="2:42" x14ac:dyDescent="0.2">
      <c r="B41">
        <v>50</v>
      </c>
      <c r="C41">
        <v>3205.3839486820975</v>
      </c>
      <c r="D41">
        <v>14.744385795852608</v>
      </c>
      <c r="E41">
        <v>3.3404441866479351</v>
      </c>
      <c r="F41">
        <v>-273.81390210338748</v>
      </c>
      <c r="G41">
        <v>-8.5566844407308587</v>
      </c>
      <c r="H41">
        <v>16</v>
      </c>
      <c r="I41">
        <v>16</v>
      </c>
      <c r="J41">
        <v>-7.2363751713398372E-2</v>
      </c>
      <c r="K41">
        <v>-0.13806509351713392</v>
      </c>
      <c r="M41">
        <v>68.060850274549651</v>
      </c>
      <c r="AA41">
        <v>20</v>
      </c>
      <c r="AB41" s="4">
        <v>5.2999999999999998E-4</v>
      </c>
    </row>
    <row r="42" spans="2:42" x14ac:dyDescent="0.2">
      <c r="B42">
        <v>60</v>
      </c>
      <c r="C42">
        <v>3230.2683782132763</v>
      </c>
      <c r="D42">
        <v>14.782442623594529</v>
      </c>
      <c r="E42">
        <v>3.5486119947692392</v>
      </c>
      <c r="F42">
        <v>-290.54285014923397</v>
      </c>
      <c r="G42">
        <v>-9.684761671641132</v>
      </c>
      <c r="H42">
        <v>12</v>
      </c>
      <c r="I42">
        <v>18</v>
      </c>
      <c r="J42">
        <v>-6.9138985211221637E-2</v>
      </c>
      <c r="K42">
        <v>-0.13293174209202802</v>
      </c>
      <c r="M42">
        <v>71.281461564735793</v>
      </c>
      <c r="AA42">
        <v>30</v>
      </c>
      <c r="AB42" s="4">
        <v>6.1300000000000005E-4</v>
      </c>
    </row>
    <row r="43" spans="2:42" x14ac:dyDescent="0.2">
      <c r="B43">
        <v>70</v>
      </c>
      <c r="C43">
        <v>3274.9932528562749</v>
      </c>
      <c r="D43">
        <v>14.85035389023321</v>
      </c>
      <c r="E43">
        <v>3.7605194589199629</v>
      </c>
      <c r="F43">
        <v>-310.1626755952409</v>
      </c>
      <c r="G43">
        <v>-10.695264675697961</v>
      </c>
      <c r="H43">
        <v>9</v>
      </c>
      <c r="I43">
        <v>20</v>
      </c>
      <c r="J43">
        <v>-6.5371232967232018E-2</v>
      </c>
      <c r="K43">
        <v>-0.1232732275661092</v>
      </c>
      <c r="M43">
        <v>74.93267811027026</v>
      </c>
      <c r="AA43">
        <v>33</v>
      </c>
      <c r="AB43" s="4">
        <v>5.7799999999999995E-4</v>
      </c>
    </row>
    <row r="44" spans="2:42" x14ac:dyDescent="0.2">
      <c r="B44">
        <v>80</v>
      </c>
      <c r="C44">
        <v>3095.2452304340609</v>
      </c>
      <c r="D44">
        <v>14.573538782096364</v>
      </c>
      <c r="E44">
        <v>3.8533620902622308</v>
      </c>
      <c r="F44">
        <v>-298.0683855687825</v>
      </c>
      <c r="G44">
        <v>-11.9227354227513</v>
      </c>
      <c r="H44">
        <v>5</v>
      </c>
      <c r="I44">
        <v>20</v>
      </c>
      <c r="J44">
        <v>-4.4508741496487758E-2</v>
      </c>
      <c r="K44">
        <v>-9.1940386016401976E-2</v>
      </c>
      <c r="M44">
        <v>89.466191244228582</v>
      </c>
      <c r="AA44">
        <v>40</v>
      </c>
      <c r="AB44" s="4">
        <v>5.7200000000000003E-4</v>
      </c>
    </row>
    <row r="45" spans="2:42" x14ac:dyDescent="0.2">
      <c r="B45">
        <v>90</v>
      </c>
      <c r="C45">
        <v>3177.391819008566</v>
      </c>
      <c r="D45">
        <v>14.701340089483738</v>
      </c>
      <c r="E45">
        <v>4.0221062119287012</v>
      </c>
      <c r="F45">
        <v>-317.33414811495436</v>
      </c>
      <c r="G45">
        <v>-13.222256171456431</v>
      </c>
      <c r="H45">
        <v>2</v>
      </c>
      <c r="I45">
        <v>22</v>
      </c>
      <c r="J45">
        <v>-2.4177159887095456E-2</v>
      </c>
      <c r="K45">
        <v>-5.4990799685950657E-2</v>
      </c>
      <c r="M45">
        <v>78.034460436000131</v>
      </c>
      <c r="AA45">
        <v>50</v>
      </c>
      <c r="AB45" s="4">
        <v>6.4199999999999999E-4</v>
      </c>
    </row>
    <row r="46" spans="2:42" x14ac:dyDescent="0.2">
      <c r="B46">
        <v>100</v>
      </c>
      <c r="C46">
        <v>3069.3420514457539</v>
      </c>
      <c r="D46">
        <v>14.532770986868035</v>
      </c>
      <c r="E46">
        <v>4.1003966159290135</v>
      </c>
      <c r="F46">
        <v>-311.09827487375367</v>
      </c>
      <c r="G46">
        <v>-14.140830676079712</v>
      </c>
      <c r="H46">
        <v>0</v>
      </c>
      <c r="I46">
        <v>22</v>
      </c>
      <c r="J46">
        <v>0</v>
      </c>
      <c r="K46">
        <v>0</v>
      </c>
      <c r="M46">
        <v>64.566293075959607</v>
      </c>
      <c r="AA46">
        <v>60</v>
      </c>
      <c r="AB46" s="4">
        <v>6.5300000000000004E-4</v>
      </c>
    </row>
    <row r="47" spans="2:42" x14ac:dyDescent="0.2">
      <c r="AA47">
        <v>70</v>
      </c>
      <c r="AB47" s="4">
        <v>6.9399999999999996E-4</v>
      </c>
    </row>
    <row r="48" spans="2:42" x14ac:dyDescent="0.2">
      <c r="B48" t="s">
        <v>76</v>
      </c>
      <c r="AA48">
        <v>80</v>
      </c>
      <c r="AB48" s="4">
        <v>5.4600000000000004E-4</v>
      </c>
    </row>
    <row r="49" spans="2:28" x14ac:dyDescent="0.2">
      <c r="B49" t="s">
        <v>27</v>
      </c>
      <c r="C49" t="s">
        <v>24</v>
      </c>
      <c r="D49" t="s">
        <v>19</v>
      </c>
      <c r="E49" t="s">
        <v>22</v>
      </c>
      <c r="F49" t="s">
        <v>25</v>
      </c>
      <c r="G49" t="s">
        <v>26</v>
      </c>
      <c r="H49" t="s">
        <v>0</v>
      </c>
      <c r="I49" t="s">
        <v>2</v>
      </c>
      <c r="J49" t="s">
        <v>30</v>
      </c>
      <c r="K49" t="s">
        <v>47</v>
      </c>
      <c r="AA49">
        <v>90</v>
      </c>
      <c r="AB49" s="4">
        <v>4.6700000000000002E-4</v>
      </c>
    </row>
    <row r="50" spans="2:28" x14ac:dyDescent="0.2">
      <c r="B50">
        <v>0</v>
      </c>
      <c r="H50">
        <v>50</v>
      </c>
      <c r="I50">
        <v>0</v>
      </c>
      <c r="J50">
        <v>0</v>
      </c>
      <c r="AA50">
        <v>100</v>
      </c>
      <c r="AB50" s="4">
        <v>5.5400000000000002E-4</v>
      </c>
    </row>
    <row r="51" spans="2:28" x14ac:dyDescent="0.2">
      <c r="B51">
        <v>10</v>
      </c>
      <c r="H51">
        <v>36</v>
      </c>
      <c r="I51">
        <v>4</v>
      </c>
      <c r="J51">
        <v>0</v>
      </c>
    </row>
    <row r="52" spans="2:28" x14ac:dyDescent="0.2">
      <c r="B52">
        <v>20</v>
      </c>
      <c r="C52">
        <v>3008.0065330185134</v>
      </c>
      <c r="D52">
        <v>2.5548995154711127</v>
      </c>
      <c r="E52">
        <v>14.435314771135682</v>
      </c>
      <c r="F52">
        <v>-209.53349002613433</v>
      </c>
      <c r="G52">
        <v>-5.2383372506533581</v>
      </c>
      <c r="H52">
        <v>32</v>
      </c>
      <c r="I52">
        <v>8</v>
      </c>
      <c r="J52">
        <v>-5.2383372506533581</v>
      </c>
      <c r="K52">
        <v>59.022397281080181</v>
      </c>
    </row>
    <row r="53" spans="2:28" x14ac:dyDescent="0.2">
      <c r="B53">
        <v>30</v>
      </c>
      <c r="C53">
        <v>2713.4241207558721</v>
      </c>
      <c r="D53">
        <v>2.9317194752459526</v>
      </c>
      <c r="E53">
        <v>13.94780585944846</v>
      </c>
      <c r="F53">
        <v>-212.47580012726544</v>
      </c>
      <c r="G53">
        <v>-6.4386606099171351</v>
      </c>
      <c r="H53">
        <v>23</v>
      </c>
      <c r="I53">
        <v>10</v>
      </c>
      <c r="J53">
        <v>-6.4386606099171351</v>
      </c>
      <c r="K53">
        <v>78.288938765204477</v>
      </c>
    </row>
    <row r="54" spans="2:28" x14ac:dyDescent="0.2">
      <c r="B54">
        <v>33</v>
      </c>
      <c r="C54">
        <v>3067.5256711961451</v>
      </c>
      <c r="D54">
        <v>2.9979473006204214</v>
      </c>
      <c r="E54">
        <v>14.52990367887425</v>
      </c>
      <c r="F54">
        <v>-243.238943098801</v>
      </c>
      <c r="G54">
        <v>-6.7566373083000277</v>
      </c>
      <c r="H54">
        <v>24</v>
      </c>
      <c r="I54">
        <v>12</v>
      </c>
      <c r="J54">
        <v>-6.7566373083000277</v>
      </c>
      <c r="K54">
        <v>64.141362158304943</v>
      </c>
    </row>
    <row r="55" spans="2:28" x14ac:dyDescent="0.2">
      <c r="B55">
        <v>40</v>
      </c>
      <c r="C55">
        <v>3157.7969577338054</v>
      </c>
      <c r="D55">
        <v>3.1822777657953623</v>
      </c>
      <c r="E55">
        <v>14.671056873227657</v>
      </c>
      <c r="F55">
        <v>-263.5726267302212</v>
      </c>
      <c r="G55">
        <v>-7.5306464780063198</v>
      </c>
      <c r="H55">
        <v>21</v>
      </c>
      <c r="I55">
        <v>14</v>
      </c>
      <c r="J55">
        <v>-7.5306464780063198</v>
      </c>
      <c r="K55">
        <v>83.777378729285672</v>
      </c>
    </row>
    <row r="56" spans="2:28" x14ac:dyDescent="0.2">
      <c r="B56">
        <v>50</v>
      </c>
      <c r="C56">
        <v>3089.8369476740872</v>
      </c>
      <c r="D56">
        <v>3.4653628520462374</v>
      </c>
      <c r="E56">
        <v>14.565045780402802</v>
      </c>
      <c r="F56">
        <v>-277.83054418084964</v>
      </c>
      <c r="G56">
        <v>-8.6822045056515513</v>
      </c>
      <c r="H56">
        <v>16</v>
      </c>
      <c r="I56">
        <v>16</v>
      </c>
      <c r="J56">
        <v>-8.6822045056515513</v>
      </c>
      <c r="K56">
        <v>75.807440094948916</v>
      </c>
    </row>
    <row r="57" spans="2:28" x14ac:dyDescent="0.2">
      <c r="B57">
        <v>60</v>
      </c>
      <c r="H57">
        <v>12</v>
      </c>
      <c r="I57">
        <v>18</v>
      </c>
      <c r="J57">
        <v>0</v>
      </c>
    </row>
    <row r="58" spans="2:28" x14ac:dyDescent="0.2">
      <c r="B58">
        <v>70</v>
      </c>
      <c r="H58">
        <v>9</v>
      </c>
      <c r="I58">
        <v>20</v>
      </c>
      <c r="J58">
        <v>0</v>
      </c>
    </row>
    <row r="59" spans="2:28" x14ac:dyDescent="0.2">
      <c r="B59">
        <v>80</v>
      </c>
      <c r="H59">
        <v>5</v>
      </c>
      <c r="I59">
        <v>20</v>
      </c>
      <c r="J59">
        <v>0</v>
      </c>
    </row>
    <row r="60" spans="2:28" x14ac:dyDescent="0.2">
      <c r="B60">
        <v>90</v>
      </c>
      <c r="H60">
        <v>2</v>
      </c>
      <c r="I60">
        <v>22</v>
      </c>
      <c r="J60">
        <v>0</v>
      </c>
    </row>
    <row r="61" spans="2:28" x14ac:dyDescent="0.2">
      <c r="B61">
        <v>100</v>
      </c>
      <c r="H61">
        <v>0</v>
      </c>
      <c r="I61">
        <v>22</v>
      </c>
      <c r="J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topLeftCell="S1" workbookViewId="0">
      <selection activeCell="AA4" sqref="AA4:AA15"/>
    </sheetView>
  </sheetViews>
  <sheetFormatPr baseColWidth="10" defaultRowHeight="16" x14ac:dyDescent="0.2"/>
  <sheetData>
    <row r="2" spans="2:31" x14ac:dyDescent="0.2">
      <c r="AB2" t="s">
        <v>57</v>
      </c>
      <c r="AC2" t="s">
        <v>57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A3" t="s">
        <v>14</v>
      </c>
      <c r="AB3" t="s">
        <v>26</v>
      </c>
      <c r="AC3" t="s">
        <v>31</v>
      </c>
      <c r="AD3" t="s">
        <v>30</v>
      </c>
      <c r="AE3" t="s">
        <v>72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A4">
        <v>-139.11000000000001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A5">
        <v>-157.62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A6">
        <v>-203.05279466779254</v>
      </c>
      <c r="AB6">
        <v>-5.0763198666948135</v>
      </c>
      <c r="AC6">
        <v>2.3542142658745342</v>
      </c>
      <c r="AD6">
        <f t="shared" si="3"/>
        <v>-4.7364971634888065E-2</v>
      </c>
      <c r="AE6">
        <v>61.198451430247104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A7">
        <v>-206.38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A8">
        <v>-237.51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7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A9">
        <v>-257.69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A10">
        <v>-271.31481607121589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A11">
        <v>-287.81041571030016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55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A12">
        <v>-307.08822333296706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56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A13">
        <v>-295.94974264713176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68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A14">
        <v>-314.05656690266005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A15">
        <v>-308.35143845659172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55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56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68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  <c r="C31">
        <v>-205.39931176666701</v>
      </c>
      <c r="D31">
        <v>14.934399600000001</v>
      </c>
      <c r="E31">
        <v>8.3320919999999994</v>
      </c>
      <c r="F31">
        <f>15*B31</f>
        <v>14.25</v>
      </c>
      <c r="G31">
        <f>F31^3</f>
        <v>2893.640625</v>
      </c>
      <c r="H31">
        <v>7.6851544337429429E-21</v>
      </c>
      <c r="I31">
        <f>H31/G31/(1E-24)</f>
        <v>2.6558772942797426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55</v>
      </c>
      <c r="K38">
        <v>-203.05279466779254</v>
      </c>
      <c r="L38">
        <f>K38/M39</f>
        <v>-5.0763198666948135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56</v>
      </c>
      <c r="K39">
        <v>3264.4243751059303</v>
      </c>
      <c r="L39">
        <f>H36/(K39*(10^-24))</f>
        <v>2.3542142658745342</v>
      </c>
      <c r="M39">
        <v>40</v>
      </c>
    </row>
    <row r="40" spans="2:19" x14ac:dyDescent="0.2">
      <c r="J40" t="s">
        <v>68</v>
      </c>
      <c r="K40">
        <f>-K39*(2*0.0000105*K39-0.0873 )</f>
        <v>61.198451430247104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55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56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68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7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55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56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68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55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56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68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60</v>
      </c>
      <c r="Q78" t="s">
        <v>61</v>
      </c>
      <c r="R78" t="s">
        <v>62</v>
      </c>
      <c r="V78" t="s">
        <v>60</v>
      </c>
      <c r="W78" t="s">
        <v>61</v>
      </c>
      <c r="X78" t="s">
        <v>62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0.35110599999999997</v>
      </c>
      <c r="Q79" s="4">
        <v>139.82400000000001</v>
      </c>
      <c r="R79" s="4">
        <v>13915.4</v>
      </c>
      <c r="V79" s="4">
        <v>1.0494E-5</v>
      </c>
      <c r="W79" s="4">
        <v>-8.7279999999999996E-2</v>
      </c>
      <c r="X79" s="4">
        <v>173.09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63</v>
      </c>
      <c r="Q81" t="s">
        <v>64</v>
      </c>
      <c r="V81" t="s">
        <v>63</v>
      </c>
      <c r="W81" t="s">
        <v>64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7">
        <f>(-Q79+SQRT(Q79^2-4*P79*R79))/2/P79</f>
        <v>-195.18591387036977</v>
      </c>
      <c r="Q82" s="7">
        <f>(-Q79-SQRT(Q79^2-4*P79*R79))/2/P79</f>
        <v>-203.05279466779254</v>
      </c>
      <c r="V82" s="7">
        <f>(-W79+SQRT(W79^2-4*V79*X79))/2/V79</f>
        <v>5052.7092250465375</v>
      </c>
      <c r="W82" s="7">
        <f>(-W79-SQRT(W79^2-4*V79*X79))/2/V79</f>
        <v>3264.4243751059303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55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56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68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7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55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56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68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55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56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68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55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56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68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55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56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68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7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55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56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68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Y56"/>
  <sheetViews>
    <sheetView topLeftCell="F1" workbookViewId="0">
      <selection activeCell="Y4" sqref="Y4:Y15"/>
    </sheetView>
  </sheetViews>
  <sheetFormatPr baseColWidth="10" defaultRowHeight="16" x14ac:dyDescent="0.2"/>
  <sheetData>
    <row r="3" spans="2:25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47</v>
      </c>
    </row>
    <row r="4" spans="2:2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5" x14ac:dyDescent="0.2">
      <c r="B5">
        <v>0.93</v>
      </c>
      <c r="C5">
        <v>-210.84263360133301</v>
      </c>
      <c r="D5">
        <v>10.871842920000001</v>
      </c>
      <c r="E5">
        <v>9.8323959999999992</v>
      </c>
      <c r="F5">
        <f>15*B5</f>
        <v>13.950000000000001</v>
      </c>
      <c r="G5">
        <f>F5^3</f>
        <v>2714.7048750000004</v>
      </c>
      <c r="H5">
        <v>7.6851544337429429E-21</v>
      </c>
      <c r="I5">
        <f>H5/G5/(1E-24)</f>
        <v>2.8309355114496353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5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3008.0065330185134</v>
      </c>
      <c r="R6">
        <v>2.5548995154711127</v>
      </c>
      <c r="S6">
        <f>Q6^(1/3)</f>
        <v>14.435314771135682</v>
      </c>
      <c r="T6">
        <v>-209.53349002613433</v>
      </c>
      <c r="U6">
        <v>-5.2383372506533581</v>
      </c>
      <c r="V6">
        <v>32</v>
      </c>
      <c r="W6">
        <v>8</v>
      </c>
      <c r="X6">
        <f t="shared" ref="X6:X15" si="0">U6-(V6/SUM(V6:W6))*$U$4-(W6/SUM(V6:W6))*$U$15</f>
        <v>-5.2383372506533581</v>
      </c>
      <c r="Y6">
        <v>59.022397281080181</v>
      </c>
    </row>
    <row r="7" spans="2:25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2713.4241207558721</v>
      </c>
      <c r="R7">
        <v>2.9317194752459526</v>
      </c>
      <c r="S7">
        <f t="shared" ref="S7:S10" si="1">Q7^(1/3)</f>
        <v>13.94780585944846</v>
      </c>
      <c r="T7">
        <v>-212.47580012726544</v>
      </c>
      <c r="U7">
        <v>-6.4386606099171351</v>
      </c>
      <c r="V7">
        <v>23</v>
      </c>
      <c r="W7">
        <v>10</v>
      </c>
      <c r="X7">
        <f t="shared" si="0"/>
        <v>-6.4386606099171351</v>
      </c>
      <c r="Y7">
        <v>78.288938765204477</v>
      </c>
    </row>
    <row r="8" spans="2:25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  <c r="Y8">
        <v>64.141362158304943</v>
      </c>
    </row>
    <row r="9" spans="2:25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Q9">
        <v>3157.7969577338054</v>
      </c>
      <c r="R9">
        <v>3.1822777657953623</v>
      </c>
      <c r="S9">
        <f t="shared" si="1"/>
        <v>14.671056873227657</v>
      </c>
      <c r="T9">
        <v>-263.5726267302212</v>
      </c>
      <c r="U9">
        <v>-7.5306464780063198</v>
      </c>
      <c r="V9">
        <v>21</v>
      </c>
      <c r="W9">
        <v>14</v>
      </c>
      <c r="X9">
        <f t="shared" si="0"/>
        <v>-7.5306464780063198</v>
      </c>
      <c r="Y9">
        <v>83.777378729285672</v>
      </c>
    </row>
    <row r="10" spans="2:25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55</v>
      </c>
      <c r="K10">
        <v>-209.53349002613433</v>
      </c>
      <c r="L10">
        <f>K10/N13</f>
        <v>-5.2383372506533581</v>
      </c>
      <c r="P10">
        <v>50</v>
      </c>
      <c r="Q10">
        <v>3089.8369476740872</v>
      </c>
      <c r="R10">
        <v>3.4653628520462374</v>
      </c>
      <c r="S10">
        <f t="shared" si="1"/>
        <v>14.565045780402802</v>
      </c>
      <c r="T10">
        <v>-277.83054418084964</v>
      </c>
      <c r="U10">
        <v>-8.6822045056515513</v>
      </c>
      <c r="V10">
        <v>16</v>
      </c>
      <c r="W10">
        <v>16</v>
      </c>
      <c r="X10">
        <f t="shared" si="0"/>
        <v>-8.6822045056515513</v>
      </c>
      <c r="Y10">
        <v>75.807440094948916</v>
      </c>
    </row>
    <row r="11" spans="2:25" x14ac:dyDescent="0.2">
      <c r="H11">
        <v>7.6851544337429429E-21</v>
      </c>
      <c r="I11" t="e">
        <f t="shared" ref="I11" si="5">H11/G11/(1E-24)</f>
        <v>#DIV/0!</v>
      </c>
      <c r="J11" t="s">
        <v>56</v>
      </c>
      <c r="K11">
        <v>3008.0065330185134</v>
      </c>
      <c r="L11">
        <f>H8/(K11*(10^-24))</f>
        <v>2.5548995154711127</v>
      </c>
      <c r="P11">
        <v>60</v>
      </c>
      <c r="V11">
        <v>12</v>
      </c>
      <c r="W11">
        <v>18</v>
      </c>
      <c r="X11">
        <f t="shared" si="0"/>
        <v>0</v>
      </c>
    </row>
    <row r="12" spans="2:25" x14ac:dyDescent="0.2">
      <c r="C12" s="6"/>
      <c r="D12" s="6"/>
      <c r="E12" s="6"/>
      <c r="J12" t="s">
        <v>68</v>
      </c>
      <c r="K12">
        <f>-K11*(2*0.0000486*K11-0.312)</f>
        <v>59.022397281080181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5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5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5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5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6">15*B16</f>
        <v>13.5</v>
      </c>
      <c r="G16">
        <f t="shared" ref="G16:G17" si="7">F16^3</f>
        <v>2460.375</v>
      </c>
      <c r="H16">
        <v>7.9549983394221166E-21</v>
      </c>
      <c r="I16">
        <f t="shared" ref="I16:I17" si="8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6"/>
        <v>13.65</v>
      </c>
      <c r="G17">
        <f t="shared" si="7"/>
        <v>2543.3021250000002</v>
      </c>
      <c r="H17">
        <v>7.9549983394221166E-21</v>
      </c>
      <c r="I17">
        <f t="shared" si="8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9">15*B18</f>
        <v>13.8</v>
      </c>
      <c r="G18">
        <f t="shared" ref="G18:G20" si="10">F18^3</f>
        <v>2628.0720000000006</v>
      </c>
      <c r="H18">
        <v>7.9549983394221166E-21</v>
      </c>
      <c r="I18">
        <f t="shared" ref="I18:I19" si="11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9"/>
        <v>13.950000000000001</v>
      </c>
      <c r="G19">
        <f t="shared" si="10"/>
        <v>2714.7048750000004</v>
      </c>
      <c r="H19">
        <v>7.9549983394221166E-21</v>
      </c>
      <c r="I19">
        <f t="shared" si="11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9"/>
        <v>14.025</v>
      </c>
      <c r="G20">
        <f t="shared" si="10"/>
        <v>2758.726265625</v>
      </c>
      <c r="H20">
        <v>7.9549983394221166E-21</v>
      </c>
      <c r="I20">
        <f t="shared" ref="I20" si="12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55</v>
      </c>
      <c r="K21">
        <v>-212.47580012726544</v>
      </c>
      <c r="L21">
        <f>K21/N23</f>
        <v>-6.4386606099171351</v>
      </c>
      <c r="Q21" t="s">
        <v>60</v>
      </c>
      <c r="R21" t="s">
        <v>61</v>
      </c>
      <c r="S21" t="s">
        <v>62</v>
      </c>
      <c r="V21" t="s">
        <v>60</v>
      </c>
      <c r="W21" t="s">
        <v>61</v>
      </c>
      <c r="X21" t="s">
        <v>62</v>
      </c>
    </row>
    <row r="22" spans="2:24" x14ac:dyDescent="0.2">
      <c r="J22" t="s">
        <v>56</v>
      </c>
      <c r="K22">
        <v>2713.4241207558721</v>
      </c>
      <c r="L22">
        <f>H19/(K22*(10^-24))</f>
        <v>2.9317194752459526</v>
      </c>
      <c r="N22" t="s">
        <v>11</v>
      </c>
      <c r="Q22" s="4">
        <v>6.36366E-5</v>
      </c>
      <c r="R22" s="4">
        <v>-0.37385800000000002</v>
      </c>
      <c r="S22" s="4">
        <v>545.9</v>
      </c>
      <c r="V22" s="4">
        <v>5.23698</v>
      </c>
      <c r="W22" s="4">
        <v>2215.13</v>
      </c>
      <c r="X22" s="4">
        <v>234233</v>
      </c>
    </row>
    <row r="23" spans="2:24" x14ac:dyDescent="0.2">
      <c r="J23" t="s">
        <v>68</v>
      </c>
      <c r="K23">
        <f>-K22*(2*0.0000636*K22-0.374)</f>
        <v>78.288938765204477</v>
      </c>
      <c r="N23">
        <v>33</v>
      </c>
    </row>
    <row r="24" spans="2:24" x14ac:dyDescent="0.2">
      <c r="B24">
        <v>33</v>
      </c>
      <c r="Q24" t="s">
        <v>63</v>
      </c>
      <c r="R24" t="s">
        <v>64</v>
      </c>
      <c r="V24" t="s">
        <v>63</v>
      </c>
      <c r="W24" t="s">
        <v>64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7">
        <f>(-R22+SQRT(R22^2-4*Q22*S22))/2/Q22</f>
        <v>3161.4654867970144</v>
      </c>
      <c r="R25" s="7">
        <f>(-R22-SQRT(R22^2-4*Q22*S22))/2/Q22</f>
        <v>2713.4241207558721</v>
      </c>
      <c r="V25" s="7">
        <f>(-W22+SQRT(W22^2-4*V22*X22))/2/V22</f>
        <v>-210.50271038833708</v>
      </c>
      <c r="W25" s="7">
        <f>(-W22-SQRT(W22^2-4*V22*X22))/2/V22</f>
        <v>-212.47580012726544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3">15*B26</f>
        <v>14.1</v>
      </c>
      <c r="G26">
        <f t="shared" ref="G26:G29" si="14">F26^3</f>
        <v>2803.221</v>
      </c>
      <c r="H26">
        <v>9.1962803055463315E-21</v>
      </c>
      <c r="I26">
        <f t="shared" ref="I26:I29" si="15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3"/>
        <v>14.25</v>
      </c>
      <c r="G27">
        <f t="shared" si="14"/>
        <v>2893.640625</v>
      </c>
      <c r="H27">
        <v>9.1962803055463315E-21</v>
      </c>
      <c r="I27">
        <f t="shared" si="15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3"/>
        <v>14.399999999999999</v>
      </c>
      <c r="G28">
        <f t="shared" si="14"/>
        <v>2985.983999999999</v>
      </c>
      <c r="H28">
        <v>9.1962803055463315E-21</v>
      </c>
      <c r="I28">
        <f t="shared" si="15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3"/>
        <v>14.475</v>
      </c>
      <c r="G29">
        <f t="shared" si="14"/>
        <v>3032.8834218749998</v>
      </c>
      <c r="H29">
        <v>9.1962803055463315E-21</v>
      </c>
      <c r="I29">
        <f t="shared" si="15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6">15*B30</f>
        <v>14.549999999999999</v>
      </c>
      <c r="G30">
        <f t="shared" ref="G30:G31" si="17">F30^3</f>
        <v>3080.2713749999994</v>
      </c>
      <c r="H30">
        <v>9.1962803055463315E-21</v>
      </c>
      <c r="I30">
        <f t="shared" ref="I30:I31" si="18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6"/>
        <v>14.7</v>
      </c>
      <c r="G31">
        <f t="shared" si="17"/>
        <v>3176.5229999999997</v>
      </c>
      <c r="H31">
        <v>9.1962803055463315E-21</v>
      </c>
      <c r="I31">
        <f t="shared" si="18"/>
        <v>2.8950775125967394</v>
      </c>
      <c r="J31" t="s">
        <v>55</v>
      </c>
      <c r="K31">
        <v>-243.238943098801</v>
      </c>
      <c r="L31">
        <f>K31/N33</f>
        <v>-6.7566373083000277</v>
      </c>
    </row>
    <row r="32" spans="2:24" x14ac:dyDescent="0.2">
      <c r="J32" t="s">
        <v>56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68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  <c r="C37">
        <v>-264.38306104933298</v>
      </c>
      <c r="D37">
        <v>11.120349173333301</v>
      </c>
      <c r="E37">
        <v>12.431454666666699</v>
      </c>
      <c r="F37">
        <f>15*B37</f>
        <v>14.1</v>
      </c>
      <c r="G37">
        <f>F37^3</f>
        <v>2803.221</v>
      </c>
      <c r="H37">
        <v>1.0048987047492526E-20</v>
      </c>
      <c r="I37">
        <f>H37/G37/(1E-24)</f>
        <v>3.5848001450804365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19">15*B40</f>
        <v>14.475</v>
      </c>
      <c r="G40">
        <f t="shared" ref="G40:G43" si="20">F40^3</f>
        <v>3032.8834218749998</v>
      </c>
      <c r="H40">
        <v>1.0048987047492526E-20</v>
      </c>
      <c r="I40">
        <f t="shared" ref="I40:I43" si="21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19"/>
        <v>14.549999999999999</v>
      </c>
      <c r="G41">
        <f t="shared" si="20"/>
        <v>3080.2713749999994</v>
      </c>
      <c r="H41">
        <v>1.0048987047492526E-20</v>
      </c>
      <c r="I41">
        <f t="shared" si="21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19"/>
        <v>14.625</v>
      </c>
      <c r="G42">
        <f t="shared" si="20"/>
        <v>3128.150390625</v>
      </c>
      <c r="H42">
        <v>1.0048987047492526E-20</v>
      </c>
      <c r="I42">
        <f t="shared" si="21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19"/>
        <v>14.7</v>
      </c>
      <c r="G43">
        <f t="shared" si="20"/>
        <v>3176.5229999999997</v>
      </c>
      <c r="H43">
        <v>1.0048987047492526E-20</v>
      </c>
      <c r="I43">
        <f t="shared" si="21"/>
        <v>3.1635177983891598</v>
      </c>
      <c r="J43" t="s">
        <v>55</v>
      </c>
      <c r="K43">
        <v>-263.5726267302212</v>
      </c>
      <c r="L43">
        <f>K43/N45</f>
        <v>-7.5306464780063198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56</v>
      </c>
      <c r="K44">
        <v>3157.7969577338054</v>
      </c>
      <c r="L44">
        <f>H41/(K44*(10^-24))</f>
        <v>3.1822777657953623</v>
      </c>
      <c r="N44" t="s">
        <v>11</v>
      </c>
    </row>
    <row r="45" spans="2:14" x14ac:dyDescent="0.2">
      <c r="J45" t="s">
        <v>68</v>
      </c>
      <c r="K45">
        <f>-K44*(2*0.0000205*K44-0.156)</f>
        <v>83.777378729285672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  <c r="C48">
        <v>-279.261284332</v>
      </c>
      <c r="D48">
        <v>10.8496517466667</v>
      </c>
      <c r="E48">
        <v>11.653969333333301</v>
      </c>
      <c r="F48">
        <f>15*B48</f>
        <v>14.1</v>
      </c>
      <c r="G48">
        <f>F48^3</f>
        <v>2803.221</v>
      </c>
      <c r="H48">
        <v>1.0048987047492526E-20</v>
      </c>
      <c r="I48">
        <f>H48/G48/(1E-24)</f>
        <v>3.5848001450804365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2">15*B50</f>
        <v>14.324999999999999</v>
      </c>
      <c r="G50">
        <f t="shared" ref="G50:G52" si="23">F50^3</f>
        <v>2939.5705781249994</v>
      </c>
      <c r="H50">
        <v>1.0707406177349717E-20</v>
      </c>
      <c r="I50">
        <f t="shared" ref="I50:I52" si="24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2"/>
        <v>14.399999999999999</v>
      </c>
      <c r="G51">
        <f t="shared" si="23"/>
        <v>2985.983999999999</v>
      </c>
      <c r="H51">
        <v>1.0707406177349717E-20</v>
      </c>
      <c r="I51">
        <f t="shared" si="24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2"/>
        <v>14.475</v>
      </c>
      <c r="G52">
        <f t="shared" si="23"/>
        <v>3032.8834218749998</v>
      </c>
      <c r="H52">
        <v>1.0707406177349717E-20</v>
      </c>
      <c r="I52">
        <f t="shared" si="24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5">15*B53</f>
        <v>14.549999999999999</v>
      </c>
      <c r="G53">
        <f t="shared" ref="G53:G54" si="26">F53^3</f>
        <v>3080.2713749999994</v>
      </c>
      <c r="H53">
        <v>1.0707406177349717E-20</v>
      </c>
      <c r="I53">
        <f t="shared" ref="I53:I54" si="27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5"/>
        <v>14.7</v>
      </c>
      <c r="G54">
        <f t="shared" si="26"/>
        <v>3176.5229999999997</v>
      </c>
      <c r="H54">
        <v>1.0707406177349717E-20</v>
      </c>
      <c r="I54">
        <f t="shared" si="27"/>
        <v>3.3707944747605221</v>
      </c>
      <c r="J54" t="s">
        <v>55</v>
      </c>
      <c r="K54">
        <v>-277.83054418084964</v>
      </c>
      <c r="L54">
        <f>K54/N56</f>
        <v>-8.6822045056515513</v>
      </c>
      <c r="N54" t="s">
        <v>11</v>
      </c>
    </row>
    <row r="55" spans="2:14" x14ac:dyDescent="0.2">
      <c r="J55" t="s">
        <v>56</v>
      </c>
      <c r="K55">
        <v>3089.8369476740872</v>
      </c>
      <c r="L55">
        <f>H52/(K55*(10^-24))</f>
        <v>3.4653628520462374</v>
      </c>
    </row>
    <row r="56" spans="2:14" x14ac:dyDescent="0.2">
      <c r="J56" t="s">
        <v>68</v>
      </c>
      <c r="K56">
        <f>-K55*(2*0.0000627*K55-0.412)</f>
        <v>75.807440094948916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abSelected="1" workbookViewId="0">
      <selection activeCell="L11" sqref="L11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54</v>
      </c>
      <c r="AA3" t="s">
        <v>72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2812.0988906423399</v>
      </c>
      <c r="R7">
        <f t="shared" si="1"/>
        <v>14.114869364233288</v>
      </c>
      <c r="S7">
        <v>2.8288472947710011</v>
      </c>
      <c r="T7">
        <v>-208.94467917810684</v>
      </c>
      <c r="U7">
        <v>-6.3316569447911162</v>
      </c>
      <c r="V7">
        <v>23</v>
      </c>
      <c r="W7">
        <v>10</v>
      </c>
      <c r="X7">
        <f t="shared" si="3"/>
        <v>-7.5658371889088194E-2</v>
      </c>
      <c r="Y7">
        <f t="shared" si="4"/>
        <v>-0.13356036648796538</v>
      </c>
      <c r="AA7">
        <v>75.466853464294005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7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55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56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68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-10.695264675697961</v>
      </c>
      <c r="V12">
        <v>9</v>
      </c>
      <c r="W12">
        <v>20</v>
      </c>
      <c r="X12">
        <f t="shared" si="3"/>
        <v>-6.5371232967232018E-2</v>
      </c>
      <c r="Y12">
        <f t="shared" si="4"/>
        <v>-0.1232732275661092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60</v>
      </c>
      <c r="R18" t="s">
        <v>61</v>
      </c>
      <c r="S18" t="s">
        <v>62</v>
      </c>
      <c r="V18" t="s">
        <v>60</v>
      </c>
      <c r="W18" t="s">
        <v>61</v>
      </c>
      <c r="X18" t="s">
        <v>62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2.9890799999999998E-5</v>
      </c>
      <c r="R19" s="4">
        <v>-0.19486600000000001</v>
      </c>
      <c r="S19" s="4">
        <v>311.60899999999998</v>
      </c>
      <c r="V19" s="4">
        <v>0.40565600000000002</v>
      </c>
      <c r="W19" s="4">
        <v>248.386</v>
      </c>
      <c r="X19" s="4">
        <v>38015.599999999999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55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56</v>
      </c>
      <c r="K21">
        <v>2820.5444948164363</v>
      </c>
      <c r="L21">
        <f>H18/(K21*(10^-24))</f>
        <v>2.0511831486416821</v>
      </c>
      <c r="N21" t="s">
        <v>11</v>
      </c>
      <c r="Q21" t="s">
        <v>63</v>
      </c>
      <c r="R21" t="s">
        <v>64</v>
      </c>
      <c r="V21" t="s">
        <v>63</v>
      </c>
      <c r="W21" t="s">
        <v>64</v>
      </c>
    </row>
    <row r="22" spans="2:24" x14ac:dyDescent="0.2">
      <c r="J22" t="s">
        <v>68</v>
      </c>
      <c r="K22">
        <f>-K21*(2*0.0000328*K21-0.205)</f>
        <v>56.332707618470934</v>
      </c>
      <c r="N22">
        <v>40</v>
      </c>
      <c r="Q22" s="7">
        <f>(-R19+SQRT(R19^2-4*Q19*S19))/2/Q19</f>
        <v>3707.1645616573651</v>
      </c>
      <c r="R22" s="7">
        <f>(-R19-SQRT(R19^2-4*Q19*S19))/2/Q19</f>
        <v>2812.0988906423399</v>
      </c>
      <c r="V22" s="7">
        <f>(-W19+SQRT(W19^2-4*V19*X19))/2/V19</f>
        <v>-302.14430371728002</v>
      </c>
      <c r="W22" s="7">
        <f>(-W19-SQRT(W19^2-4*V19*X19))/2/V19</f>
        <v>-310.1626755952409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55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56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68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55</v>
      </c>
      <c r="K40">
        <v>-208.94467917810684</v>
      </c>
      <c r="L40">
        <f>K40/N42</f>
        <v>-6.3316569447911162</v>
      </c>
      <c r="N40" t="s">
        <v>11</v>
      </c>
      <c r="S40" s="4"/>
    </row>
    <row r="41" spans="2:24" x14ac:dyDescent="0.2">
      <c r="B41">
        <v>0.95</v>
      </c>
      <c r="C41">
        <v>-208.245983548</v>
      </c>
      <c r="D41">
        <v>11.786848453333301</v>
      </c>
      <c r="E41">
        <v>-1.8725813333333301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56</v>
      </c>
      <c r="K41">
        <v>2812.0988906423399</v>
      </c>
      <c r="L41">
        <f>H38/(K41*(10^-24))</f>
        <v>2.8288472947710011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68</v>
      </c>
      <c r="K42">
        <f>-K41*(2*0.0000299*K41-0.195)</f>
        <v>75.466853464294005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71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55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56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68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55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56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68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55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56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68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7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55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56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68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55</v>
      </c>
      <c r="K95">
        <v>-310.1626755952409</v>
      </c>
      <c r="L95">
        <f>K95/N97</f>
        <v>-10.695264675697961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56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68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55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56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68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55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56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68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55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56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68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I132"/>
  <sheetViews>
    <sheetView workbookViewId="0">
      <selection activeCell="L12" sqref="L12"/>
    </sheetView>
  </sheetViews>
  <sheetFormatPr baseColWidth="10" defaultRowHeight="16" x14ac:dyDescent="0.2"/>
  <sheetData>
    <row r="2" spans="2:35" x14ac:dyDescent="0.2">
      <c r="Z2" t="s">
        <v>70</v>
      </c>
    </row>
    <row r="3" spans="2:35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  <c r="AI3" t="s">
        <v>68</v>
      </c>
    </row>
    <row r="4" spans="2:3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3391.3025104225098</v>
      </c>
      <c r="AB4">
        <v>1.4322491984414667</v>
      </c>
      <c r="AC4">
        <f>AA4^(1/3)</f>
        <v>15.024113083801051</v>
      </c>
      <c r="AD4">
        <v>-136.22822519565582</v>
      </c>
      <c r="AE4">
        <v>-2.7245645039131166</v>
      </c>
      <c r="AF4">
        <v>50</v>
      </c>
      <c r="AG4">
        <v>0</v>
      </c>
      <c r="AH4">
        <f>AE4-(AF4/SUM(AF4:AG4))*$AE$4-(AG4/SUM(AF4:AG4))*$AE$15</f>
        <v>0</v>
      </c>
      <c r="AI4">
        <v>28.72316560477962</v>
      </c>
    </row>
    <row r="5" spans="2:35" x14ac:dyDescent="0.2">
      <c r="B5">
        <v>1.02</v>
      </c>
      <c r="C5">
        <v>-139.29275243333299</v>
      </c>
      <c r="D5">
        <v>16.974811733333301</v>
      </c>
      <c r="E5">
        <v>9.6615946666666694</v>
      </c>
      <c r="F5">
        <f>14*B5</f>
        <v>14.280000000000001</v>
      </c>
      <c r="G5">
        <f t="shared" ref="G5" si="0">F5^3</f>
        <v>2911.9547520000006</v>
      </c>
      <c r="H5">
        <v>4.8571903022251741E-21</v>
      </c>
      <c r="I5">
        <f>H5/G5/(1E-24)</f>
        <v>1.6680170936341436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3020.022767444033</v>
      </c>
      <c r="AB5">
        <v>1.9156985835103495</v>
      </c>
      <c r="AC5">
        <f t="shared" ref="AC5:AC15" si="1">AA5^(1/3)</f>
        <v>14.454511057411322</v>
      </c>
      <c r="AD5">
        <v>-154.58848911258164</v>
      </c>
      <c r="AE5">
        <v>-3.8647122278145409</v>
      </c>
      <c r="AF5">
        <v>36</v>
      </c>
      <c r="AG5">
        <v>4</v>
      </c>
      <c r="AH5">
        <f t="shared" ref="AH5:AH15" si="2">AE5-(AF5/SUM(AF5:AG5))*$AE$4-(AG5/SUM(AF5:AG5))*$AE$15</f>
        <v>-2.2959199333297375E-2</v>
      </c>
      <c r="AI5">
        <v>46.590257189632169</v>
      </c>
    </row>
    <row r="6" spans="2:35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3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4">U6-(V6/SUM(V6:W6))*$U$4-(W6/SUM(V6:W6))*$U$15</f>
        <v>-3.7728159764052638E-2</v>
      </c>
      <c r="Z6">
        <v>20</v>
      </c>
      <c r="AA6">
        <v>3347.9327431730403</v>
      </c>
      <c r="AB6">
        <v>2.2954924794753349</v>
      </c>
      <c r="AC6">
        <f t="shared" si="1"/>
        <v>14.959792681321401</v>
      </c>
      <c r="AD6">
        <v>-200.23792316545683</v>
      </c>
      <c r="AE6">
        <v>-5.005948079136421</v>
      </c>
      <c r="AF6">
        <v>32</v>
      </c>
      <c r="AG6">
        <v>8</v>
      </c>
      <c r="AH6">
        <f t="shared" si="2"/>
        <v>-4.7006526087050915E-2</v>
      </c>
      <c r="AI6">
        <v>36.341607308844146</v>
      </c>
    </row>
    <row r="7" spans="2:35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5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4"/>
        <v>-4.9237690579820637E-2</v>
      </c>
      <c r="Z7">
        <v>30</v>
      </c>
      <c r="AA7">
        <v>3023.6253969486734</v>
      </c>
      <c r="AB7">
        <v>2.6309470569502409</v>
      </c>
      <c r="AC7">
        <f t="shared" si="1"/>
        <v>14.460256439595426</v>
      </c>
      <c r="AD7">
        <v>-203.70005383214871</v>
      </c>
      <c r="AE7">
        <v>-6.1727289040045061</v>
      </c>
      <c r="AF7">
        <v>23</v>
      </c>
      <c r="AG7">
        <v>10</v>
      </c>
      <c r="AH7">
        <f t="shared" si="2"/>
        <v>-6.2744628672823488E-2</v>
      </c>
      <c r="AI7">
        <v>51.782186186677038</v>
      </c>
    </row>
    <row r="8" spans="2:35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6">14*B8</f>
        <v>14.84</v>
      </c>
      <c r="G8">
        <f t="shared" si="5"/>
        <v>3268.1479039999999</v>
      </c>
      <c r="H8">
        <v>4.8571903022251741E-21</v>
      </c>
      <c r="I8">
        <f t="shared" ref="I8:I11" si="7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4"/>
        <v>-5.01895602106881E-2</v>
      </c>
      <c r="Z8">
        <v>33</v>
      </c>
      <c r="AA8">
        <v>3400.8172027037904</v>
      </c>
      <c r="AB8">
        <v>2.7041383753983914</v>
      </c>
      <c r="AC8">
        <f t="shared" si="1"/>
        <v>15.038150594257672</v>
      </c>
      <c r="AD8">
        <v>-234.31576614025525</v>
      </c>
      <c r="AE8">
        <v>-6.5087712816737566</v>
      </c>
      <c r="AF8">
        <v>24</v>
      </c>
      <c r="AG8">
        <v>12</v>
      </c>
      <c r="AH8">
        <f t="shared" si="2"/>
        <v>-6.0245029200218347E-2</v>
      </c>
      <c r="AI8">
        <v>52.154289185941089</v>
      </c>
    </row>
    <row r="9" spans="2:35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8">14*B9</f>
        <v>14.98</v>
      </c>
      <c r="G9">
        <f t="shared" ref="G9:G10" si="9">F9^3</f>
        <v>3361.5179920000005</v>
      </c>
      <c r="H9">
        <v>4.8571903022251741E-21</v>
      </c>
      <c r="I9">
        <f t="shared" ref="I9" si="10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4"/>
        <v>-6.363710885098417E-2</v>
      </c>
      <c r="Z9">
        <v>40</v>
      </c>
      <c r="AA9">
        <v>3475.9310301152059</v>
      </c>
      <c r="AB9">
        <v>2.8910202649099923</v>
      </c>
      <c r="AC9">
        <f t="shared" si="1"/>
        <v>15.148061169417717</v>
      </c>
      <c r="AD9">
        <v>-254.66874763551522</v>
      </c>
      <c r="AE9">
        <v>-7.2762499324432923</v>
      </c>
      <c r="AF9">
        <v>21</v>
      </c>
      <c r="AG9">
        <v>14</v>
      </c>
      <c r="AH9">
        <f t="shared" si="2"/>
        <v>-8.2931330257668634E-2</v>
      </c>
      <c r="AI9">
        <v>49.983313378415829</v>
      </c>
    </row>
    <row r="10" spans="2:35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9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4"/>
        <v>-6.1042667069880707E-2</v>
      </c>
      <c r="Z10">
        <v>50</v>
      </c>
      <c r="AA10">
        <v>3406.8970407494717</v>
      </c>
      <c r="AB10">
        <v>3.1428616859505181</v>
      </c>
      <c r="AC10">
        <f t="shared" si="1"/>
        <v>15.047106783716972</v>
      </c>
      <c r="AD10">
        <v>-268.01523429944064</v>
      </c>
      <c r="AE10">
        <v>-8.3754760718575199</v>
      </c>
      <c r="AF10">
        <v>16</v>
      </c>
      <c r="AG10">
        <v>16</v>
      </c>
      <c r="AH10">
        <f t="shared" si="2"/>
        <v>-6.4968945103769826E-2</v>
      </c>
      <c r="AI10">
        <v>45.017939321911754</v>
      </c>
    </row>
    <row r="11" spans="2:35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6"/>
        <v>15.120000000000001</v>
      </c>
      <c r="G11">
        <f t="shared" si="5"/>
        <v>3456.6497280000003</v>
      </c>
      <c r="H11">
        <v>4.8571903022251741E-21</v>
      </c>
      <c r="I11">
        <f t="shared" si="7"/>
        <v>1.4051728362524947</v>
      </c>
      <c r="J11" t="s">
        <v>55</v>
      </c>
      <c r="K11">
        <v>-136.22822519565582</v>
      </c>
      <c r="L11">
        <f>K11/N12</f>
        <v>-2.7245645039131166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4"/>
        <v>-4.8934143694049581E-2</v>
      </c>
      <c r="Z11">
        <v>60</v>
      </c>
      <c r="AA11">
        <v>3418.8999405320942</v>
      </c>
      <c r="AB11">
        <v>3.3528238066737317</v>
      </c>
      <c r="AC11">
        <f t="shared" si="1"/>
        <v>15.064756982181462</v>
      </c>
      <c r="AD11">
        <v>-285.26312176693733</v>
      </c>
      <c r="AE11">
        <v>-9.5087707255645775</v>
      </c>
      <c r="AF11">
        <v>12</v>
      </c>
      <c r="AG11">
        <v>18</v>
      </c>
      <c r="AH11">
        <f t="shared" si="2"/>
        <v>-8.1075074242701106E-2</v>
      </c>
      <c r="AI11">
        <v>53.717700052497335</v>
      </c>
    </row>
    <row r="12" spans="2:35" x14ac:dyDescent="0.2">
      <c r="B12" s="6"/>
      <c r="C12" s="6"/>
      <c r="D12" s="6"/>
      <c r="E12" s="6"/>
      <c r="J12" t="s">
        <v>56</v>
      </c>
      <c r="K12">
        <v>3391.3025104225098</v>
      </c>
      <c r="L12">
        <f>H9/(K12*(10^-24))</f>
        <v>1.4322491984414667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4"/>
        <v>-1.7102326541904134E-2</v>
      </c>
      <c r="Z12">
        <v>70</v>
      </c>
      <c r="AA12">
        <v>3467.050351817149</v>
      </c>
      <c r="AB12">
        <v>3.5522056519146661</v>
      </c>
      <c r="AC12">
        <f t="shared" si="1"/>
        <v>15.135149541221868</v>
      </c>
      <c r="AD12">
        <v>-304.19433920197605</v>
      </c>
      <c r="AE12">
        <v>-10.489459972481933</v>
      </c>
      <c r="AF12">
        <v>9</v>
      </c>
      <c r="AG12">
        <v>20</v>
      </c>
      <c r="AH12">
        <f t="shared" si="2"/>
        <v>-6.0147023271390765E-2</v>
      </c>
      <c r="AI12">
        <v>50.177548673741562</v>
      </c>
    </row>
    <row r="13" spans="2:35" x14ac:dyDescent="0.2">
      <c r="B13">
        <v>10</v>
      </c>
      <c r="J13" t="s">
        <v>68</v>
      </c>
      <c r="K13">
        <f>-K12*(2*0.0000247*K12-0.176)</f>
        <v>28.72316560477962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4"/>
        <v>-2.64494279521994E-2</v>
      </c>
      <c r="Z13">
        <v>80</v>
      </c>
      <c r="AA13">
        <v>3232.6285301562039</v>
      </c>
      <c r="AB13">
        <v>3.6895982695677265</v>
      </c>
      <c r="AC13">
        <f t="shared" si="1"/>
        <v>14.786041944458928</v>
      </c>
      <c r="AD13">
        <v>-292.82365786874732</v>
      </c>
      <c r="AE13">
        <v>-11.712946314749892</v>
      </c>
      <c r="AF13">
        <v>5</v>
      </c>
      <c r="AG13">
        <v>20</v>
      </c>
      <c r="AH13">
        <f t="shared" si="2"/>
        <v>-5.0873614291761626E-2</v>
      </c>
      <c r="AI13">
        <v>60.394452090315653</v>
      </c>
    </row>
    <row r="14" spans="2:35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4"/>
        <v>1.6524128578222275E-2</v>
      </c>
      <c r="Z14">
        <v>90</v>
      </c>
      <c r="AA14">
        <v>3292.0021294131961</v>
      </c>
      <c r="AB14">
        <v>3.8820774928368005</v>
      </c>
      <c r="AC14">
        <f t="shared" si="1"/>
        <v>14.876018250151377</v>
      </c>
      <c r="AD14">
        <v>-311.50059441162784</v>
      </c>
      <c r="AE14">
        <v>-12.979191433817826</v>
      </c>
      <c r="AF14">
        <v>2</v>
      </c>
      <c r="AG14">
        <v>22</v>
      </c>
      <c r="AH14">
        <f t="shared" si="2"/>
        <v>-1.3732121363547733E-2</v>
      </c>
      <c r="AI14">
        <v>61.135824278926549</v>
      </c>
    </row>
    <row r="15" spans="2:35" x14ac:dyDescent="0.2">
      <c r="B15">
        <v>0.92</v>
      </c>
      <c r="C15">
        <v>-157.16977058133301</v>
      </c>
      <c r="D15">
        <v>15.3329910666667</v>
      </c>
      <c r="E15">
        <v>8.7394133333333404</v>
      </c>
      <c r="F15">
        <f t="shared" ref="F15" si="11">15*B15</f>
        <v>13.8</v>
      </c>
      <c r="G15">
        <f t="shared" ref="G15" si="12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4"/>
        <v>0</v>
      </c>
      <c r="Z15">
        <v>100</v>
      </c>
      <c r="AA15">
        <v>3199.11498839145</v>
      </c>
      <c r="AB15">
        <v>3.9340629538311536</v>
      </c>
      <c r="AC15">
        <f t="shared" si="1"/>
        <v>14.734767364869132</v>
      </c>
      <c r="AD15">
        <v>-305.72189449107645</v>
      </c>
      <c r="AE15">
        <v>-13.896449749594384</v>
      </c>
      <c r="AF15">
        <v>0</v>
      </c>
      <c r="AG15">
        <v>22</v>
      </c>
      <c r="AH15">
        <f t="shared" si="2"/>
        <v>0</v>
      </c>
      <c r="AI15">
        <v>72.526490972965547</v>
      </c>
    </row>
    <row r="16" spans="2:35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3">15*B16</f>
        <v>13.950000000000001</v>
      </c>
      <c r="G16">
        <f t="shared" ref="G16:G20" si="14">F16^3</f>
        <v>2714.7048750000004</v>
      </c>
      <c r="H16">
        <v>5.7854533377615402E-21</v>
      </c>
      <c r="I16">
        <f>H16/G16/(1E-24)</f>
        <v>2.131153699630624</v>
      </c>
    </row>
    <row r="17" spans="2:1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3"/>
        <v>14.25</v>
      </c>
      <c r="G17">
        <f t="shared" si="14"/>
        <v>2893.640625</v>
      </c>
      <c r="H17">
        <v>5.7854533377615402E-21</v>
      </c>
      <c r="I17">
        <f t="shared" ref="I17:I20" si="15">H17/G17/(1E-24)</f>
        <v>1.9993683001881204</v>
      </c>
    </row>
    <row r="18" spans="2:1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3"/>
        <v>14.324999999999999</v>
      </c>
      <c r="G18">
        <f t="shared" si="14"/>
        <v>2939.5705781249994</v>
      </c>
      <c r="H18">
        <v>5.7854533377615402E-21</v>
      </c>
      <c r="I18">
        <f t="shared" si="15"/>
        <v>1.9681287398963501</v>
      </c>
    </row>
    <row r="19" spans="2:1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3"/>
        <v>14.399999999999999</v>
      </c>
      <c r="G19">
        <f t="shared" si="14"/>
        <v>2985.983999999999</v>
      </c>
      <c r="H19">
        <v>5.7854533377615402E-21</v>
      </c>
      <c r="I19">
        <f t="shared" si="15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</row>
    <row r="20" spans="2:1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3"/>
        <v>14.475</v>
      </c>
      <c r="G20">
        <f t="shared" si="14"/>
        <v>3032.8834218749998</v>
      </c>
      <c r="H20">
        <v>5.7854533377615402E-21</v>
      </c>
      <c r="I20">
        <f t="shared" si="15"/>
        <v>1.9075752454028836</v>
      </c>
    </row>
    <row r="21" spans="2:1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6">15*B21</f>
        <v>14.549999999999999</v>
      </c>
      <c r="G21">
        <f t="shared" ref="G21" si="17">F21^3</f>
        <v>3080.2713749999994</v>
      </c>
      <c r="H21">
        <v>5.7854533377615402E-21</v>
      </c>
      <c r="I21">
        <f t="shared" ref="I21" si="18">H21/G21/(1E-24)</f>
        <v>1.8782284524400197</v>
      </c>
      <c r="J21" t="s">
        <v>55</v>
      </c>
      <c r="K21">
        <v>-154.58848911258164</v>
      </c>
      <c r="L21">
        <f>K21/N23</f>
        <v>-3.8647122278145409</v>
      </c>
    </row>
    <row r="22" spans="2:14" x14ac:dyDescent="0.2">
      <c r="B22" s="6"/>
      <c r="C22" s="6"/>
      <c r="D22" s="6"/>
      <c r="E22" s="6"/>
      <c r="J22" t="s">
        <v>56</v>
      </c>
      <c r="K22">
        <v>3020.022767444033</v>
      </c>
      <c r="L22">
        <f>H19/(K22*(10^-24))</f>
        <v>1.9156985835103495</v>
      </c>
      <c r="N22" t="s">
        <v>11</v>
      </c>
    </row>
    <row r="23" spans="2:14" x14ac:dyDescent="0.2">
      <c r="J23" t="s">
        <v>68</v>
      </c>
      <c r="K23">
        <f>-K22*(2*0.0000193*K22-0.132)</f>
        <v>46.590257189632169</v>
      </c>
      <c r="N23">
        <v>40</v>
      </c>
    </row>
    <row r="24" spans="2:14" x14ac:dyDescent="0.2">
      <c r="B24">
        <v>20</v>
      </c>
    </row>
    <row r="25" spans="2:1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14" x14ac:dyDescent="0.2">
      <c r="B26">
        <v>0.95</v>
      </c>
      <c r="C26">
        <v>-202.07386112666671</v>
      </c>
      <c r="D26">
        <v>16.757058499999971</v>
      </c>
      <c r="E26">
        <v>10.683698333333338</v>
      </c>
      <c r="F26">
        <f t="shared" ref="F26" si="19">15*B26</f>
        <v>14.25</v>
      </c>
      <c r="G26">
        <f t="shared" ref="G26" si="20">F26^3</f>
        <v>2893.640625</v>
      </c>
      <c r="H26">
        <v>7.6851544337429429E-21</v>
      </c>
      <c r="I26">
        <f t="shared" ref="I26" si="21">H26/G26/(1E-24)</f>
        <v>2.6558772942797426</v>
      </c>
    </row>
    <row r="27" spans="2:1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22">15*B27</f>
        <v>14.399999999999999</v>
      </c>
      <c r="G27">
        <f t="shared" ref="G27:G32" si="23">F27^3</f>
        <v>2985.983999999999</v>
      </c>
      <c r="H27">
        <v>7.6851544337429429E-21</v>
      </c>
      <c r="I27">
        <f t="shared" ref="I27:I32" si="24">H27/G27/(1E-24)</f>
        <v>2.5737426703367956</v>
      </c>
    </row>
    <row r="28" spans="2:1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22"/>
        <v>14.549999999999999</v>
      </c>
      <c r="G28">
        <f t="shared" si="23"/>
        <v>3080.2713749999994</v>
      </c>
      <c r="H28">
        <v>7.6851544337429429E-21</v>
      </c>
      <c r="I28">
        <f t="shared" si="24"/>
        <v>2.4949601830919672</v>
      </c>
    </row>
    <row r="29" spans="2:1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22"/>
        <v>14.7</v>
      </c>
      <c r="G29">
        <f t="shared" si="23"/>
        <v>3176.5229999999997</v>
      </c>
      <c r="H29">
        <v>7.6851544337429429E-21</v>
      </c>
      <c r="I29">
        <f t="shared" si="24"/>
        <v>2.4193605504329558</v>
      </c>
    </row>
    <row r="30" spans="2:1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22"/>
        <v>14.85</v>
      </c>
      <c r="G30">
        <f t="shared" si="23"/>
        <v>3274.7591249999996</v>
      </c>
      <c r="H30">
        <v>7.6851544337429429E-21</v>
      </c>
      <c r="I30">
        <f t="shared" si="24"/>
        <v>2.3467846459525306</v>
      </c>
    </row>
    <row r="31" spans="2:1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22"/>
        <v>14.925000000000001</v>
      </c>
      <c r="G31">
        <f t="shared" si="23"/>
        <v>3324.6277031250002</v>
      </c>
      <c r="H31">
        <v>7.6851544337429429E-21</v>
      </c>
      <c r="I31">
        <f t="shared" si="24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1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22"/>
        <v>15</v>
      </c>
      <c r="G32">
        <f t="shared" si="23"/>
        <v>3375</v>
      </c>
      <c r="H32">
        <v>7.6851544337429429E-21</v>
      </c>
      <c r="I32">
        <f t="shared" si="24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25">15*B33</f>
        <v>15.15</v>
      </c>
      <c r="G33">
        <f t="shared" ref="G33" si="26">F33^3</f>
        <v>3477.2658750000001</v>
      </c>
      <c r="H33">
        <v>7.6851544337429429E-21</v>
      </c>
      <c r="I33">
        <f t="shared" ref="I33" si="27">H33/G33/(1E-24)</f>
        <v>2.2101141270202538</v>
      </c>
      <c r="J33" t="s">
        <v>55</v>
      </c>
      <c r="K33">
        <v>-200.23792316545683</v>
      </c>
      <c r="L33">
        <f>K33/N35</f>
        <v>-5.005948079136421</v>
      </c>
    </row>
    <row r="34" spans="2:14" x14ac:dyDescent="0.2">
      <c r="C34" s="6"/>
      <c r="D34" s="6"/>
      <c r="E34" s="6"/>
      <c r="J34" t="s">
        <v>56</v>
      </c>
      <c r="K34">
        <v>3347.9327431730403</v>
      </c>
      <c r="L34">
        <f>H31/(K34*(10^-24))</f>
        <v>2.2954924794753349</v>
      </c>
      <c r="N34" t="s">
        <v>11</v>
      </c>
    </row>
    <row r="35" spans="2:14" x14ac:dyDescent="0.2">
      <c r="B35" s="6"/>
      <c r="C35" s="6"/>
      <c r="D35" s="6"/>
      <c r="E35" s="6"/>
      <c r="J35" t="s">
        <v>68</v>
      </c>
      <c r="K35">
        <f>-K34*(2*0.0000278*K34-0.197)</f>
        <v>36.341607308844146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  <c r="C38">
        <v>-206.42482622399999</v>
      </c>
      <c r="D38">
        <v>15.0887624</v>
      </c>
      <c r="E38">
        <v>9.9498639999999892</v>
      </c>
      <c r="F38">
        <f t="shared" ref="F38" si="28">15*B38</f>
        <v>13.8</v>
      </c>
      <c r="G38">
        <f t="shared" ref="G38" si="29">F38^3</f>
        <v>2628.0720000000006</v>
      </c>
      <c r="H38">
        <v>7.9549983394221166E-21</v>
      </c>
      <c r="I38">
        <f t="shared" ref="I38" si="30">H38/G38/(1E-24)</f>
        <v>3.0269331812150182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31">15*B39</f>
        <v>13.950000000000001</v>
      </c>
      <c r="G39">
        <f t="shared" ref="G39:G41" si="32">F39^3</f>
        <v>2714.7048750000004</v>
      </c>
      <c r="H39">
        <v>7.9549983394221166E-21</v>
      </c>
      <c r="I39">
        <f t="shared" ref="I39:I41" si="33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34">15*B40</f>
        <v>14.1</v>
      </c>
      <c r="G40">
        <f t="shared" ref="G40" si="35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31"/>
        <v>14.25</v>
      </c>
      <c r="G41">
        <f t="shared" si="32"/>
        <v>2893.640625</v>
      </c>
      <c r="H41">
        <v>7.9549983394221166E-21</v>
      </c>
      <c r="I41">
        <f t="shared" si="33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36">15*B42</f>
        <v>14.324999999999999</v>
      </c>
      <c r="G42">
        <f t="shared" ref="G42" si="37">F42^3</f>
        <v>2939.5705781249994</v>
      </c>
      <c r="H42">
        <v>7.9549983394221166E-21</v>
      </c>
      <c r="I42">
        <f t="shared" ref="I42" si="38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9">15*B44</f>
        <v>14.475</v>
      </c>
      <c r="G44">
        <f t="shared" ref="G44" si="40">F44^3</f>
        <v>3032.8834218749998</v>
      </c>
      <c r="H44">
        <v>7.9549983394221166E-21</v>
      </c>
      <c r="I44">
        <f t="shared" ref="I44" si="41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55</v>
      </c>
      <c r="K45">
        <v>-203.70005383214871</v>
      </c>
      <c r="L45">
        <f>K45/N46</f>
        <v>-6.1727289040045061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56</v>
      </c>
      <c r="K46">
        <v>3023.6253969486734</v>
      </c>
      <c r="L46">
        <f>H43/(K46*(10^-24))</f>
        <v>2.6309470569502409</v>
      </c>
      <c r="N46">
        <v>33</v>
      </c>
    </row>
    <row r="47" spans="2:14" x14ac:dyDescent="0.2">
      <c r="J47" t="s">
        <v>68</v>
      </c>
      <c r="K47">
        <f>-K46*(2*0.0000185*K46-0.129)</f>
        <v>51.782186186677038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  <c r="C50">
        <v>-236.84383468266699</v>
      </c>
      <c r="D50">
        <v>16.9178529333334</v>
      </c>
      <c r="E50">
        <v>9.0951279999999901</v>
      </c>
      <c r="F50">
        <f t="shared" ref="F50" si="42">15*B50</f>
        <v>14.399999999999999</v>
      </c>
      <c r="G50">
        <f t="shared" ref="G50" si="43">F50^3</f>
        <v>2985.983999999999</v>
      </c>
      <c r="H50">
        <v>9.1962803055463315E-21</v>
      </c>
      <c r="I50">
        <f t="shared" ref="I50" si="44">H50/G50/(1E-24)</f>
        <v>3.0798156673131318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45">15*B51</f>
        <v>14.549999999999999</v>
      </c>
      <c r="G51">
        <f t="shared" ref="G51" si="46">F51^3</f>
        <v>3080.2713749999994</v>
      </c>
      <c r="H51">
        <v>9.1962803055463315E-21</v>
      </c>
      <c r="I51">
        <f t="shared" ref="I51" si="47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48">15*B52</f>
        <v>14.7</v>
      </c>
      <c r="G52">
        <f t="shared" ref="G52:G54" si="49">F52^3</f>
        <v>3176.5229999999997</v>
      </c>
      <c r="H52">
        <v>9.1962803055463315E-21</v>
      </c>
      <c r="I52">
        <f t="shared" ref="I52:I54" si="50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51">15*B53</f>
        <v>14.85</v>
      </c>
      <c r="G53">
        <f t="shared" si="49"/>
        <v>3274.7591249999996</v>
      </c>
      <c r="H53">
        <v>9.1962803055463315E-21</v>
      </c>
      <c r="I53">
        <f t="shared" ref="I53" si="52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48"/>
        <v>15</v>
      </c>
      <c r="G54">
        <f t="shared" si="49"/>
        <v>3375</v>
      </c>
      <c r="H54">
        <v>9.1962803055463315E-21</v>
      </c>
      <c r="I54">
        <f t="shared" si="50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53">15*B55</f>
        <v>15.074999999999999</v>
      </c>
      <c r="G55">
        <f t="shared" ref="G55" si="54">F55^3</f>
        <v>3425.8785468749998</v>
      </c>
      <c r="H55">
        <v>9.1962803055463315E-21</v>
      </c>
      <c r="I55">
        <f t="shared" ref="I55" si="55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55</v>
      </c>
      <c r="K56">
        <v>-234.31576614025525</v>
      </c>
      <c r="L56">
        <f>K56/N57</f>
        <v>-6.5087712816737566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56</v>
      </c>
      <c r="K57">
        <v>3400.8172027037904</v>
      </c>
      <c r="L57">
        <f>H54/(K57*(10^-24))</f>
        <v>2.7041383753983914</v>
      </c>
      <c r="N57">
        <v>36</v>
      </c>
    </row>
    <row r="58" spans="2:14" x14ac:dyDescent="0.2">
      <c r="J58" t="s">
        <v>68</v>
      </c>
      <c r="K58">
        <f>-K57*(2*0.0000148*K57-0.116)</f>
        <v>52.154289185941089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C61">
        <v>-257.44548106266598</v>
      </c>
      <c r="D61">
        <v>17.0537536</v>
      </c>
      <c r="E61">
        <v>8.3342600000000004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56">15*B64</f>
        <v>15</v>
      </c>
      <c r="G64">
        <f t="shared" ref="G64:G65" si="57">F64^3</f>
        <v>3375</v>
      </c>
      <c r="H64">
        <v>1.0048987047492526E-20</v>
      </c>
      <c r="I64">
        <f t="shared" ref="I64:I65" si="58">H64/G64/(1E-24)</f>
        <v>2.9774776437014898</v>
      </c>
    </row>
    <row r="65" spans="2:2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56"/>
        <v>15.15</v>
      </c>
      <c r="G65">
        <f t="shared" si="57"/>
        <v>3477.2658750000001</v>
      </c>
      <c r="H65">
        <v>1.0048987047492526E-20</v>
      </c>
      <c r="I65">
        <f t="shared" si="58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2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55</v>
      </c>
      <c r="K66">
        <v>-254.66874763551522</v>
      </c>
      <c r="L66">
        <f>K66/N68</f>
        <v>-7.2762499324432923</v>
      </c>
    </row>
    <row r="67" spans="2:2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56</v>
      </c>
      <c r="K67">
        <v>3475.9310301152059</v>
      </c>
      <c r="L67">
        <f>H65/(K67*(10^-24))</f>
        <v>2.8910202649099923</v>
      </c>
      <c r="N67" t="s">
        <v>11</v>
      </c>
      <c r="Q67" t="s">
        <v>60</v>
      </c>
      <c r="R67" t="s">
        <v>61</v>
      </c>
      <c r="S67" t="s">
        <v>62</v>
      </c>
      <c r="V67" t="s">
        <v>60</v>
      </c>
      <c r="W67" t="s">
        <v>61</v>
      </c>
      <c r="X67" t="s">
        <v>62</v>
      </c>
    </row>
    <row r="68" spans="2:24" x14ac:dyDescent="0.2">
      <c r="J68" t="s">
        <v>68</v>
      </c>
      <c r="K68">
        <f>-K67*(2*0.0000162*K67-0.127)</f>
        <v>49.983313378415829</v>
      </c>
      <c r="N68">
        <v>35</v>
      </c>
      <c r="Q68" s="4">
        <v>2.6859000000000002E-5</v>
      </c>
      <c r="R68" s="4">
        <v>-0.20055000000000001</v>
      </c>
      <c r="S68" s="4">
        <v>372.46</v>
      </c>
      <c r="V68" s="4">
        <v>0.53495400000000004</v>
      </c>
      <c r="W68" s="4">
        <v>323.755</v>
      </c>
      <c r="X68" s="4">
        <v>48982.9</v>
      </c>
    </row>
    <row r="69" spans="2:24" x14ac:dyDescent="0.2">
      <c r="B69">
        <v>50</v>
      </c>
    </row>
    <row r="70" spans="2:2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Q70" t="s">
        <v>63</v>
      </c>
      <c r="R70" t="s">
        <v>64</v>
      </c>
      <c r="V70" t="s">
        <v>63</v>
      </c>
      <c r="W70" t="s">
        <v>64</v>
      </c>
    </row>
    <row r="71" spans="2:24" x14ac:dyDescent="0.2">
      <c r="B71">
        <v>0.96</v>
      </c>
      <c r="C71">
        <v>-270.811444752</v>
      </c>
      <c r="D71">
        <v>16.709193866666698</v>
      </c>
      <c r="E71">
        <v>10.734598666666701</v>
      </c>
      <c r="F71">
        <f>15*B71</f>
        <v>14.399999999999999</v>
      </c>
      <c r="G71">
        <f>F71^3</f>
        <v>2985.983999999999</v>
      </c>
      <c r="H71">
        <v>1.0707406177349717E-20</v>
      </c>
      <c r="I71">
        <f>H71/G71/(1E-24)</f>
        <v>3.5858886642894676</v>
      </c>
      <c r="Q71" s="7">
        <f>(-R68+SQRT(R68^2-4*Q68*S68))/2/Q68</f>
        <v>3999.7205629600207</v>
      </c>
      <c r="R71" s="7">
        <f>(-R68-SQRT(R68^2-4*Q68*S68))/2/Q68</f>
        <v>3467.050351817149</v>
      </c>
      <c r="V71" s="7">
        <f>(-W68+SQRT(W68^2-4*V68*X68))/2/V68</f>
        <v>-301.00722953103644</v>
      </c>
      <c r="W71" s="7">
        <f>(-W68-SQRT(W68^2-4*V68*X68))/2/V68</f>
        <v>-304.19433920197605</v>
      </c>
    </row>
    <row r="72" spans="2:2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</row>
    <row r="73" spans="2:2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2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59">15*B74</f>
        <v>14.85</v>
      </c>
      <c r="G74">
        <f t="shared" ref="G74:G78" si="60">F74^3</f>
        <v>3274.7591249999996</v>
      </c>
      <c r="H74">
        <v>1.0707406177349717E-20</v>
      </c>
      <c r="I74">
        <f t="shared" ref="I74:I78" si="61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2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2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59"/>
        <v>15</v>
      </c>
      <c r="G76">
        <f t="shared" si="60"/>
        <v>3375</v>
      </c>
      <c r="H76">
        <v>1.0707406177349717E-20</v>
      </c>
      <c r="I76">
        <f t="shared" si="61"/>
        <v>3.1725647932888053</v>
      </c>
      <c r="J76" t="s">
        <v>55</v>
      </c>
      <c r="K76">
        <v>-268.01523429944064</v>
      </c>
      <c r="L76">
        <f>K76/N78</f>
        <v>-8.3754760718575199</v>
      </c>
      <c r="N76" t="s">
        <v>11</v>
      </c>
    </row>
    <row r="77" spans="2:2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62">15*B77</f>
        <v>15.15</v>
      </c>
      <c r="G77">
        <f t="shared" si="60"/>
        <v>3477.2658750000001</v>
      </c>
      <c r="H77">
        <v>1.0707406177349717E-20</v>
      </c>
      <c r="I77">
        <f t="shared" ref="I77" si="63">H77/G77/(1E-24)</f>
        <v>3.0792601320282182</v>
      </c>
      <c r="J77" t="s">
        <v>56</v>
      </c>
      <c r="K77">
        <v>3406.8970407494717</v>
      </c>
      <c r="L77">
        <f>H74/(K77*(10^-24))</f>
        <v>3.1428616859505181</v>
      </c>
    </row>
    <row r="78" spans="2:2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59"/>
        <v>15.3</v>
      </c>
      <c r="G78">
        <f t="shared" si="60"/>
        <v>3581.5770000000007</v>
      </c>
      <c r="H78">
        <v>1.0707406177349717E-20</v>
      </c>
      <c r="I78">
        <f t="shared" si="61"/>
        <v>2.9895786625136682</v>
      </c>
      <c r="J78" t="s">
        <v>68</v>
      </c>
      <c r="K78">
        <f>-K77*(2*0.000028*K77-0.204)</f>
        <v>45.017939321911754</v>
      </c>
      <c r="N78">
        <v>32</v>
      </c>
    </row>
    <row r="80" spans="2:2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  <c r="C82">
        <v>-287.386932897333</v>
      </c>
      <c r="D82">
        <v>16.692677733333301</v>
      </c>
      <c r="E82">
        <v>9.1190880000000103</v>
      </c>
      <c r="F82">
        <f>15*B82</f>
        <v>14.549999999999999</v>
      </c>
      <c r="G82">
        <f>F82^3</f>
        <v>3080.2713749999994</v>
      </c>
      <c r="H82">
        <v>1.1462969113251411E-20</v>
      </c>
      <c r="I82">
        <f>H82/G82/(1E-24)</f>
        <v>3.7214153292748158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64">15*B84</f>
        <v>14.85</v>
      </c>
      <c r="G84">
        <f t="shared" ref="G84" si="65">F84^3</f>
        <v>3274.7591249999996</v>
      </c>
      <c r="H84">
        <v>1.1462969113251411E-20</v>
      </c>
      <c r="I84">
        <f t="shared" ref="I84" si="66">H84/G84/(1E-24)</f>
        <v>3.5004006938224546</v>
      </c>
      <c r="K84" s="7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67">15*B85</f>
        <v>15</v>
      </c>
      <c r="G85">
        <f t="shared" ref="G85:G88" si="68">F85^3</f>
        <v>3375</v>
      </c>
      <c r="H85">
        <v>1.1462969113251411E-20</v>
      </c>
      <c r="I85">
        <f t="shared" ref="I85:I88" si="69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70">15*B86</f>
        <v>15.074999999999999</v>
      </c>
      <c r="G86">
        <f t="shared" ref="G86" si="71">F86^3</f>
        <v>3425.8785468749998</v>
      </c>
      <c r="H86">
        <v>1.1462969113251411E-20</v>
      </c>
      <c r="I86">
        <f t="shared" ref="I86" si="72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67"/>
        <v>15.15</v>
      </c>
      <c r="G87">
        <f t="shared" si="68"/>
        <v>3477.2658750000001</v>
      </c>
      <c r="H87">
        <v>1.1462969113251411E-20</v>
      </c>
      <c r="I87">
        <f t="shared" si="69"/>
        <v>3.2965466332802098</v>
      </c>
      <c r="J87" t="s">
        <v>55</v>
      </c>
      <c r="K87">
        <v>-285.26312176693733</v>
      </c>
      <c r="L87">
        <f>K87/N88</f>
        <v>-9.5087707255645775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67"/>
        <v>15.3</v>
      </c>
      <c r="G88">
        <f t="shared" si="68"/>
        <v>3581.5770000000007</v>
      </c>
      <c r="H88">
        <v>1.1462969113251411E-20</v>
      </c>
      <c r="I88">
        <f t="shared" si="69"/>
        <v>3.2005368342636249</v>
      </c>
      <c r="J88" t="s">
        <v>56</v>
      </c>
      <c r="K88">
        <v>3418.8999405320942</v>
      </c>
      <c r="L88">
        <f>H85/(K88*(10^-24))</f>
        <v>3.3528238066737317</v>
      </c>
      <c r="N88">
        <v>30</v>
      </c>
    </row>
    <row r="89" spans="2:14" x14ac:dyDescent="0.2">
      <c r="J89" t="s">
        <v>68</v>
      </c>
      <c r="K89">
        <f>-K88*(2*0.0000309*K88-0.227)</f>
        <v>53.717700052497335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  <c r="C92">
        <v>-307.21163863603999</v>
      </c>
      <c r="D92">
        <v>17.092676513023399</v>
      </c>
      <c r="E92">
        <v>9.6350418941380607</v>
      </c>
      <c r="F92">
        <f>15*B92</f>
        <v>14.549999999999999</v>
      </c>
      <c r="G92">
        <f>F92^3</f>
        <v>3080.2713749999994</v>
      </c>
      <c r="H92">
        <v>1.2315675855197609E-20</v>
      </c>
      <c r="I92">
        <f>H92/G92/(1E-24)</f>
        <v>3.9982437765560879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73">15*B95</f>
        <v>15</v>
      </c>
      <c r="G95">
        <f t="shared" ref="G95:G97" si="74">F95^3</f>
        <v>3375</v>
      </c>
      <c r="H95">
        <v>1.2315675855197609E-20</v>
      </c>
      <c r="I95">
        <f t="shared" ref="I95:I97" si="75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73"/>
        <v>15.15</v>
      </c>
      <c r="G97">
        <f t="shared" si="74"/>
        <v>3477.2658750000001</v>
      </c>
      <c r="H97">
        <v>1.2315675855197609E-20</v>
      </c>
      <c r="I97">
        <f t="shared" si="75"/>
        <v>3.541769970407457</v>
      </c>
      <c r="J97" t="s">
        <v>55</v>
      </c>
      <c r="K97">
        <v>-304.19433920197605</v>
      </c>
      <c r="L97">
        <f>K97/N98</f>
        <v>-10.489459972481933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56</v>
      </c>
      <c r="K98">
        <v>3467.050351817149</v>
      </c>
      <c r="L98">
        <f>H95/(K98*(10^-24))</f>
        <v>3.5522056519146661</v>
      </c>
      <c r="N98">
        <v>29</v>
      </c>
    </row>
    <row r="99" spans="2:14" x14ac:dyDescent="0.2">
      <c r="J99" t="s">
        <v>68</v>
      </c>
      <c r="K99">
        <f>-K98*(2*0.0000269*K98-0.201)</f>
        <v>50.177548673741562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C102">
        <v>-294.13586139066598</v>
      </c>
      <c r="D102">
        <v>15.625628933333299</v>
      </c>
      <c r="E102">
        <v>9.0837920000000008</v>
      </c>
      <c r="F102">
        <f t="shared" ref="F102" si="76">15*B102</f>
        <v>14.324999999999999</v>
      </c>
      <c r="G102">
        <f t="shared" ref="G102" si="77">F102^3</f>
        <v>2939.5705781249994</v>
      </c>
      <c r="H102">
        <v>1.1927100631019595E-20</v>
      </c>
      <c r="I102">
        <f t="shared" ref="I102" si="78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79">15*B103</f>
        <v>14.399999999999999</v>
      </c>
      <c r="G103">
        <f t="shared" ref="G103:G109" si="80">F103^3</f>
        <v>2985.983999999999</v>
      </c>
      <c r="H103">
        <v>1.1927100631019595E-20</v>
      </c>
      <c r="I103">
        <f t="shared" ref="I103:I109" si="81">H103/G103/(1E-24)</f>
        <v>3.9943618689917968</v>
      </c>
    </row>
    <row r="104" spans="2:14" x14ac:dyDescent="0.2">
      <c r="B104">
        <v>0.96499999999999997</v>
      </c>
      <c r="C104">
        <v>-294.04505037066599</v>
      </c>
      <c r="D104">
        <v>15.800254933333299</v>
      </c>
      <c r="E104">
        <v>5.3053066666666702</v>
      </c>
      <c r="F104">
        <f t="shared" si="79"/>
        <v>14.475</v>
      </c>
      <c r="G104">
        <f t="shared" si="80"/>
        <v>3032.8834218749998</v>
      </c>
      <c r="H104">
        <v>1.1927100631019595E-20</v>
      </c>
      <c r="I104">
        <f t="shared" si="81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79"/>
        <v>14.549999999999999</v>
      </c>
      <c r="G105">
        <f t="shared" si="80"/>
        <v>3080.2713749999994</v>
      </c>
      <c r="H105">
        <v>1.1927100631019595E-20</v>
      </c>
      <c r="I105">
        <f t="shared" si="81"/>
        <v>3.8720941043772803</v>
      </c>
    </row>
    <row r="106" spans="2:14" x14ac:dyDescent="0.2">
      <c r="B106">
        <v>0.97499999999999998</v>
      </c>
      <c r="C106">
        <v>-293.189036026667</v>
      </c>
      <c r="D106">
        <v>15.7116328</v>
      </c>
      <c r="E106">
        <v>2.8806240000000001</v>
      </c>
      <c r="F106">
        <f t="shared" si="79"/>
        <v>14.625</v>
      </c>
      <c r="G106">
        <f t="shared" si="80"/>
        <v>3128.150390625</v>
      </c>
      <c r="H106">
        <v>1.1927100631019595E-20</v>
      </c>
      <c r="I106">
        <f t="shared" si="81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79"/>
        <v>14.7</v>
      </c>
      <c r="G107">
        <f t="shared" si="80"/>
        <v>3176.5229999999997</v>
      </c>
      <c r="H107">
        <v>1.1927100631019595E-20</v>
      </c>
      <c r="I107">
        <f t="shared" si="81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79"/>
        <v>14.775</v>
      </c>
      <c r="G108">
        <f t="shared" si="80"/>
        <v>3225.3917343749999</v>
      </c>
      <c r="H108">
        <v>1.1927100631019595E-20</v>
      </c>
      <c r="I108">
        <f t="shared" si="81"/>
        <v>3.6978766032990933</v>
      </c>
      <c r="J108" t="s">
        <v>55</v>
      </c>
      <c r="K108">
        <v>-292.82365786874732</v>
      </c>
      <c r="L108">
        <f>K108/N110</f>
        <v>-11.712946314749892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79"/>
        <v>14.85</v>
      </c>
      <c r="G109">
        <f t="shared" si="80"/>
        <v>3274.7591249999996</v>
      </c>
      <c r="H109">
        <v>1.1927100631019595E-20</v>
      </c>
      <c r="I109">
        <f t="shared" si="81"/>
        <v>3.642130665417902</v>
      </c>
      <c r="J109" t="s">
        <v>56</v>
      </c>
      <c r="K109">
        <v>3232.6285301562039</v>
      </c>
      <c r="L109">
        <f>H106/(K109*(10^-24))</f>
        <v>3.6895982695677265</v>
      </c>
      <c r="N109" t="s">
        <v>11</v>
      </c>
    </row>
    <row r="110" spans="2:14" x14ac:dyDescent="0.2">
      <c r="J110" t="s">
        <v>68</v>
      </c>
      <c r="K110">
        <f>-K109*(2*0.0000398*K109-0.276)</f>
        <v>60.394452090315653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  <c r="C113">
        <v>-313.58689335333298</v>
      </c>
      <c r="D113">
        <v>16.245352</v>
      </c>
      <c r="E113">
        <v>9.9191333333333507</v>
      </c>
      <c r="F113">
        <f>15*B113</f>
        <v>14.399999999999999</v>
      </c>
      <c r="G113">
        <f>F113^3</f>
        <v>2985.983999999999</v>
      </c>
      <c r="H113">
        <v>1.277980737296579E-20</v>
      </c>
      <c r="I113">
        <f>H113/G113/(1E-24)</f>
        <v>4.2799316315712996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C115">
        <v>-312.54161466400001</v>
      </c>
      <c r="D115">
        <v>16.484455066666701</v>
      </c>
      <c r="E115">
        <v>4.1016680000000001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82">15*B117</f>
        <v>14.85</v>
      </c>
      <c r="G117">
        <f t="shared" ref="G117:G120" si="83">F117^3</f>
        <v>3274.7591249999996</v>
      </c>
      <c r="H117">
        <v>1.277980737296579E-20</v>
      </c>
      <c r="I117">
        <f t="shared" ref="I117:I120" si="84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82"/>
        <v>15</v>
      </c>
      <c r="G119">
        <f t="shared" si="83"/>
        <v>3375</v>
      </c>
      <c r="H119">
        <v>1.277980737296579E-20</v>
      </c>
      <c r="I119">
        <f t="shared" si="84"/>
        <v>3.7866095919898641</v>
      </c>
      <c r="J119" t="s">
        <v>55</v>
      </c>
      <c r="K119">
        <v>-311.50059441162784</v>
      </c>
      <c r="L119">
        <f>K119/N120</f>
        <v>-12.979191433817826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82"/>
        <v>15.15</v>
      </c>
      <c r="G120">
        <f t="shared" si="83"/>
        <v>3477.2658750000001</v>
      </c>
      <c r="H120">
        <v>1.277980737296579E-20</v>
      </c>
      <c r="I120">
        <f t="shared" si="84"/>
        <v>3.675245964033679</v>
      </c>
      <c r="J120" t="s">
        <v>56</v>
      </c>
      <c r="K120">
        <v>3292.0021294131961</v>
      </c>
      <c r="L120">
        <f>H117/(K120*(10^-24))</f>
        <v>3.8820774928368005</v>
      </c>
      <c r="N120">
        <v>24</v>
      </c>
    </row>
    <row r="121" spans="2:14" x14ac:dyDescent="0.2">
      <c r="J121" t="s">
        <v>68</v>
      </c>
      <c r="K121">
        <f>-K120*(2*0.0000432*K120-0.303)</f>
        <v>61.135824278926549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  <c r="C124">
        <v>-307.11098343333401</v>
      </c>
      <c r="D124">
        <v>15.1802205333333</v>
      </c>
      <c r="E124">
        <v>8.1221626666666609</v>
      </c>
      <c r="F124">
        <f t="shared" ref="F124" si="85">15*B124</f>
        <v>14.25</v>
      </c>
      <c r="G124">
        <f t="shared" ref="G124" si="86">F124^3</f>
        <v>2893.640625</v>
      </c>
      <c r="H124">
        <v>1.2585519760876786E-20</v>
      </c>
      <c r="I124">
        <f t="shared" ref="I124" si="87">H124/G124/(1E-24)</f>
        <v>4.3493720858569951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88">15*B125</f>
        <v>14.399999999999999</v>
      </c>
      <c r="G125">
        <f t="shared" ref="G125:G131" si="89">F125^3</f>
        <v>2985.983999999999</v>
      </c>
      <c r="H125">
        <v>1.2585519760876786E-20</v>
      </c>
      <c r="I125">
        <f t="shared" ref="I125:I131" si="90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88"/>
        <v>14.549999999999999</v>
      </c>
      <c r="G126">
        <f t="shared" si="89"/>
        <v>3080.2713749999994</v>
      </c>
      <c r="H126">
        <v>1.2585519760876786E-20</v>
      </c>
      <c r="I126">
        <f t="shared" si="90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88"/>
        <v>14.625</v>
      </c>
      <c r="G127">
        <f t="shared" si="89"/>
        <v>3128.150390625</v>
      </c>
      <c r="H127">
        <v>1.2585519760876786E-20</v>
      </c>
      <c r="I127">
        <f t="shared" si="90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88"/>
        <v>14.7</v>
      </c>
      <c r="G128">
        <f t="shared" si="89"/>
        <v>3176.5229999999997</v>
      </c>
      <c r="H128">
        <v>1.2585519760876786E-20</v>
      </c>
      <c r="I128">
        <f t="shared" si="90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88"/>
        <v>14.775</v>
      </c>
      <c r="G129">
        <f t="shared" si="89"/>
        <v>3225.3917343749999</v>
      </c>
      <c r="H129">
        <v>1.2585519760876786E-20</v>
      </c>
      <c r="I129">
        <f t="shared" si="90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88"/>
        <v>14.85</v>
      </c>
      <c r="G130">
        <f t="shared" si="89"/>
        <v>3274.7591249999996</v>
      </c>
      <c r="H130">
        <v>1.2585519760876786E-20</v>
      </c>
      <c r="I130">
        <f t="shared" si="90"/>
        <v>3.8431894623323748</v>
      </c>
      <c r="J130" t="s">
        <v>55</v>
      </c>
      <c r="K130">
        <v>-305.72189449107645</v>
      </c>
      <c r="L130">
        <f>K130/N131</f>
        <v>-13.896449749594384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88"/>
        <v>15</v>
      </c>
      <c r="G131">
        <f t="shared" si="89"/>
        <v>3375</v>
      </c>
      <c r="H131">
        <v>1.2585519760876786E-20</v>
      </c>
      <c r="I131">
        <f t="shared" si="90"/>
        <v>3.7290428921116408</v>
      </c>
      <c r="J131" t="s">
        <v>56</v>
      </c>
      <c r="K131">
        <v>3199.11498839145</v>
      </c>
      <c r="L131">
        <f>H128/(K131*(10^-24))</f>
        <v>3.9340629538311536</v>
      </c>
      <c r="N131">
        <v>22</v>
      </c>
    </row>
    <row r="132" spans="2:14" x14ac:dyDescent="0.2">
      <c r="J132" t="s">
        <v>68</v>
      </c>
      <c r="K132">
        <f>-K131*(2*0.0000174*K131-0.134)</f>
        <v>72.526490972965547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58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65</v>
      </c>
      <c r="D9">
        <v>35537.625999999997</v>
      </c>
    </row>
    <row r="10" spans="2:14" x14ac:dyDescent="0.2">
      <c r="D10">
        <f>D9/3600</f>
        <v>9.8715627777777772</v>
      </c>
      <c r="J10" t="s">
        <v>55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56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59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65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60</v>
      </c>
      <c r="Q20" t="s">
        <v>61</v>
      </c>
      <c r="R20" t="s">
        <v>62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63</v>
      </c>
      <c r="Q24" t="s">
        <v>64</v>
      </c>
    </row>
    <row r="25" spans="2:18" x14ac:dyDescent="0.2">
      <c r="P25" s="7">
        <f>(-Q21+SQRT(Q21^2-4*P21*R21))/2/P21</f>
        <v>4117.3270671095252</v>
      </c>
      <c r="Q25" s="7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17" sqref="N17"/>
    </sheetView>
  </sheetViews>
  <sheetFormatPr baseColWidth="10" defaultRowHeight="16" x14ac:dyDescent="0.2"/>
  <sheetData>
    <row r="3" spans="1:13" x14ac:dyDescent="0.2">
      <c r="B3" t="s">
        <v>66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54</v>
      </c>
      <c r="M3" t="s">
        <v>67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8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8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8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8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8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8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8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8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8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8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8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8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8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8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8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8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8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8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8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8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8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8"/>
      <c r="O27">
        <v>0</v>
      </c>
      <c r="P27" s="8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8"/>
      <c r="O28">
        <v>10</v>
      </c>
      <c r="P28" s="8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8">
        <f>(E29-E26)/(A29-A26)</f>
        <v>-6.1393412548189994E-4</v>
      </c>
      <c r="O29">
        <v>20</v>
      </c>
      <c r="P29" s="8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8"/>
      <c r="O30">
        <v>30</v>
      </c>
      <c r="P30" s="8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8"/>
      <c r="O31">
        <v>33</v>
      </c>
      <c r="P31" s="8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8">
        <f>(E32-E30)/(A32-A30)</f>
        <v>-8.10310551341226E-4</v>
      </c>
      <c r="O32">
        <v>40</v>
      </c>
      <c r="P32" s="8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8"/>
      <c r="O33">
        <v>50</v>
      </c>
      <c r="P33" s="8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8"/>
      <c r="O34">
        <v>60</v>
      </c>
      <c r="P34" s="8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8">
        <f>(E35-E33)/(A35-A33)</f>
        <v>-6.476804173279982E-4</v>
      </c>
      <c r="O35">
        <v>70</v>
      </c>
      <c r="P35" s="8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8"/>
      <c r="O36">
        <v>80</v>
      </c>
      <c r="P36" s="8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8"/>
      <c r="O37">
        <v>90</v>
      </c>
      <c r="P37" s="8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8">
        <f>(E38-E36)/(A38-A36)</f>
        <v>-6.0083793737900851E-4</v>
      </c>
      <c r="O38">
        <v>100</v>
      </c>
      <c r="P38" s="8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8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8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8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8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8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8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I76" sqref="I76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53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69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Microsoft Office User</cp:lastModifiedBy>
  <dcterms:created xsi:type="dcterms:W3CDTF">2020-12-18T22:19:52Z</dcterms:created>
  <dcterms:modified xsi:type="dcterms:W3CDTF">2021-09-13T22:01:18Z</dcterms:modified>
</cp:coreProperties>
</file>