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BEC3084B-ED4C-C74B-B0A8-D985C235B2D7}" xr6:coauthVersionLast="36" xr6:coauthVersionMax="36" xr10:uidLastSave="{00000000-0000-0000-0000-000000000000}"/>
  <bookViews>
    <workbookView xWindow="2240" yWindow="7560" windowWidth="28560" windowHeight="16440" xr2:uid="{E495CD70-E4E6-FC4E-AC78-5AE6C84CD047}"/>
  </bookViews>
  <sheets>
    <sheet name="NaCl" sheetId="4" r:id="rId1"/>
    <sheet name="NaCl-15UCl3" sheetId="5" r:id="rId2"/>
    <sheet name="NaCl-33UCl3" sheetId="8" r:id="rId3"/>
    <sheet name="NaCl-50UCl3" sheetId="10" r:id="rId4"/>
    <sheet name="NaCl-67UCl3" sheetId="6" r:id="rId5"/>
    <sheet name="NaCl-80UCl3" sheetId="11" r:id="rId6"/>
    <sheet name="UCl3" sheetId="7" r:id="rId7"/>
    <sheet name="UCl3_old" sheetId="3" r:id="rId8"/>
    <sheet name="NaCl-33UCl3_old" sheetId="2" r:id="rId9"/>
    <sheet name="summary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6" i="4" l="1"/>
  <c r="BE12" i="4"/>
  <c r="BY44" i="7"/>
  <c r="BY56" i="7"/>
  <c r="H47" i="8"/>
  <c r="J5" i="8" l="1"/>
  <c r="F7" i="8"/>
  <c r="G7" i="8" s="1"/>
  <c r="I7" i="8"/>
  <c r="K7" i="8"/>
  <c r="B7" i="8"/>
  <c r="H7" i="8" s="1"/>
  <c r="J7" i="8" l="1"/>
  <c r="BV28" i="7" l="1"/>
  <c r="BJ12" i="4"/>
  <c r="BJ11" i="4"/>
  <c r="BI12" i="4"/>
  <c r="BI11" i="4"/>
  <c r="BH12" i="4"/>
  <c r="BH11" i="4"/>
  <c r="Q55" i="7"/>
  <c r="Q54" i="7"/>
  <c r="P55" i="7"/>
  <c r="P54" i="7"/>
  <c r="O62" i="8"/>
  <c r="P62" i="8" s="1"/>
  <c r="O61" i="8"/>
  <c r="P61" i="8" s="1"/>
  <c r="W70" i="8"/>
  <c r="V70" i="8" s="1"/>
  <c r="V69" i="8"/>
  <c r="W68" i="8"/>
  <c r="V68" i="8" s="1"/>
  <c r="W61" i="8"/>
  <c r="W59" i="8"/>
  <c r="V59" i="8" s="1"/>
  <c r="V60" i="8"/>
  <c r="AA48" i="8"/>
  <c r="AW43" i="8"/>
  <c r="AY50" i="8"/>
  <c r="AU42" i="8"/>
  <c r="AT42" i="8"/>
  <c r="AW29" i="8"/>
  <c r="AW20" i="8"/>
  <c r="AM52" i="8"/>
  <c r="AM42" i="8"/>
  <c r="BX56" i="7"/>
  <c r="BU56" i="7"/>
  <c r="BW56" i="7" s="1"/>
  <c r="AH73" i="7"/>
  <c r="AE73" i="7"/>
  <c r="AG73" i="7" s="1"/>
  <c r="AH64" i="7"/>
  <c r="AE64" i="7"/>
  <c r="AF64" i="7" s="1"/>
  <c r="AB87" i="7"/>
  <c r="AC87" i="7"/>
  <c r="AA87" i="7"/>
  <c r="V42" i="8"/>
  <c r="W38" i="8"/>
  <c r="V38" i="8" s="1"/>
  <c r="W39" i="8"/>
  <c r="V39" i="8" s="1"/>
  <c r="W40" i="8"/>
  <c r="V40" i="8" s="1"/>
  <c r="W41" i="8"/>
  <c r="V41" i="8" s="1"/>
  <c r="X40" i="8" s="1"/>
  <c r="Y40" i="8" s="1"/>
  <c r="AA40" i="8"/>
  <c r="BV56" i="7" l="1"/>
  <c r="AF73" i="7"/>
  <c r="AG64" i="7"/>
  <c r="AC72" i="7" l="1"/>
  <c r="AC73" i="7"/>
  <c r="AC74" i="7"/>
  <c r="AC75" i="7"/>
  <c r="AC76" i="7"/>
  <c r="AC71" i="7"/>
  <c r="AD74" i="7"/>
  <c r="AD75" i="7"/>
  <c r="AD76" i="7"/>
  <c r="AD73" i="7"/>
  <c r="AD71" i="7"/>
  <c r="BS18" i="7"/>
  <c r="BS17" i="7"/>
  <c r="BS16" i="7"/>
  <c r="BS15" i="7"/>
  <c r="BS14" i="7"/>
  <c r="BT14" i="7"/>
  <c r="AI43" i="8"/>
  <c r="AH43" i="8" s="1"/>
  <c r="AI53" i="8"/>
  <c r="AH53" i="8" s="1"/>
  <c r="AI42" i="8"/>
  <c r="AH42" i="8" s="1"/>
  <c r="AU27" i="8"/>
  <c r="AT27" i="8" s="1"/>
  <c r="AU26" i="8"/>
  <c r="AT26" i="8" s="1"/>
  <c r="AU37" i="8"/>
  <c r="AU39" i="8"/>
  <c r="AU40" i="8"/>
  <c r="AT40" i="8" s="1"/>
  <c r="AU41" i="8"/>
  <c r="AT41" i="8" s="1"/>
  <c r="AU47" i="8"/>
  <c r="AU49" i="8"/>
  <c r="AU51" i="8"/>
  <c r="AU50" i="8"/>
  <c r="AT28" i="8"/>
  <c r="AU17" i="8"/>
  <c r="AU18" i="8"/>
  <c r="AT18" i="8" s="1"/>
  <c r="AT19" i="8"/>
  <c r="BC27" i="8"/>
  <c r="BD27" i="8"/>
  <c r="BB27" i="8"/>
  <c r="V81" i="8"/>
  <c r="V90" i="8"/>
  <c r="AA91" i="8"/>
  <c r="AA83" i="8"/>
  <c r="AC61" i="7"/>
  <c r="AC62" i="7"/>
  <c r="AC63" i="7"/>
  <c r="AC64" i="7"/>
  <c r="AC65" i="7"/>
  <c r="AD63" i="7"/>
  <c r="AD64" i="7"/>
  <c r="AD65" i="7"/>
  <c r="AD62" i="7"/>
  <c r="AC60" i="7"/>
  <c r="AD60" i="7"/>
  <c r="AJ42" i="8" l="1"/>
  <c r="AK42" i="8" s="1"/>
  <c r="AT51" i="8"/>
  <c r="AT50" i="8"/>
  <c r="AT49" i="8"/>
  <c r="AT48" i="8"/>
  <c r="AT47" i="8"/>
  <c r="AT39" i="8"/>
  <c r="AT38" i="8"/>
  <c r="AT37" i="8"/>
  <c r="AT17" i="8"/>
  <c r="AM29" i="8"/>
  <c r="AI41" i="8"/>
  <c r="G36" i="8"/>
  <c r="AA27" i="8"/>
  <c r="W93" i="8"/>
  <c r="V93" i="8" s="1"/>
  <c r="W91" i="8"/>
  <c r="V91" i="8" s="1"/>
  <c r="W92" i="8"/>
  <c r="V92" i="8" s="1"/>
  <c r="W89" i="8"/>
  <c r="V89" i="8" s="1"/>
  <c r="W83" i="8"/>
  <c r="V83" i="8" s="1"/>
  <c r="W84" i="8"/>
  <c r="V84" i="8" s="1"/>
  <c r="W85" i="8"/>
  <c r="W80" i="8"/>
  <c r="V80" i="8" s="1"/>
  <c r="W82" i="8"/>
  <c r="V82" i="8" s="1"/>
  <c r="CJ28" i="7"/>
  <c r="X91" i="8" l="1"/>
  <c r="X83" i="8"/>
  <c r="Y83" i="8" s="1"/>
  <c r="AV50" i="8"/>
  <c r="AW50" i="8" s="1"/>
  <c r="Y91" i="8"/>
  <c r="BD55" i="4"/>
  <c r="BD50" i="4"/>
  <c r="AT27" i="7" l="1"/>
  <c r="AV27" i="7"/>
  <c r="AS27" i="7"/>
  <c r="AU27" i="7" s="1"/>
  <c r="AX51" i="4"/>
  <c r="AW51" i="4" s="1"/>
  <c r="AY51" i="4" s="1"/>
  <c r="AI31" i="8"/>
  <c r="AH31" i="8" s="1"/>
  <c r="AI30" i="8"/>
  <c r="AH30" i="8" s="1"/>
  <c r="AI29" i="8"/>
  <c r="K55" i="8"/>
  <c r="G57" i="8"/>
  <c r="F57" i="8" s="1"/>
  <c r="K34" i="8"/>
  <c r="F36" i="8"/>
  <c r="G35" i="8"/>
  <c r="F35" i="8"/>
  <c r="H19" i="7" l="1"/>
  <c r="F19" i="7"/>
  <c r="G18" i="7"/>
  <c r="BU17" i="7"/>
  <c r="BG17" i="7"/>
  <c r="AS17" i="7"/>
  <c r="AC17" i="7"/>
  <c r="AE17" i="7"/>
  <c r="AD16" i="7"/>
  <c r="AD17" i="7"/>
  <c r="AD18" i="7"/>
  <c r="AD19" i="7"/>
  <c r="AD14" i="7"/>
  <c r="AR16" i="7"/>
  <c r="AR15" i="7"/>
  <c r="AR14" i="7"/>
  <c r="AR17" i="7"/>
  <c r="AR18" i="7"/>
  <c r="BE14" i="7"/>
  <c r="BF14" i="7"/>
  <c r="BF18" i="7"/>
  <c r="BT18" i="7"/>
  <c r="AI52" i="8" l="1"/>
  <c r="AH52" i="8" s="1"/>
  <c r="AJ52" i="8" s="1"/>
  <c r="AH51" i="8"/>
  <c r="AI50" i="8"/>
  <c r="AH50" i="8" s="1"/>
  <c r="AH28" i="8"/>
  <c r="AH29" i="8"/>
  <c r="AJ29" i="8" s="1"/>
  <c r="AI27" i="8"/>
  <c r="AH27" i="8" s="1"/>
  <c r="F22" i="8"/>
  <c r="K25" i="8"/>
  <c r="AX37" i="4"/>
  <c r="AW37" i="4" s="1"/>
  <c r="AY37" i="4" s="1"/>
  <c r="BD35" i="4"/>
  <c r="AX30" i="4"/>
  <c r="AW30" i="4" s="1"/>
  <c r="AY7" i="4"/>
  <c r="AZ7" i="4"/>
  <c r="AX7" i="4"/>
  <c r="AK29" i="8" l="1"/>
  <c r="AK52" i="8"/>
  <c r="BD16" i="4"/>
  <c r="P24" i="9" l="1"/>
  <c r="P25" i="9"/>
  <c r="P26" i="9"/>
  <c r="P27" i="9"/>
  <c r="P28" i="9"/>
  <c r="P29" i="9"/>
  <c r="P23" i="9"/>
  <c r="AW36" i="4"/>
  <c r="AY36" i="4" s="1"/>
  <c r="AX35" i="4"/>
  <c r="AW35" i="4" s="1"/>
  <c r="AX34" i="4"/>
  <c r="AW34" i="4"/>
  <c r="AY34" i="4" s="1"/>
  <c r="AX31" i="4"/>
  <c r="AW31" i="4" s="1"/>
  <c r="BD30" i="4"/>
  <c r="AY30" i="4"/>
  <c r="AW29" i="4"/>
  <c r="AY29" i="4" s="1"/>
  <c r="AX28" i="4"/>
  <c r="AW28" i="4" s="1"/>
  <c r="AY28" i="4" s="1"/>
  <c r="AX27" i="4"/>
  <c r="AW27" i="4"/>
  <c r="AY27" i="4" s="1"/>
  <c r="AI10" i="8"/>
  <c r="AJ10" i="8"/>
  <c r="AH10" i="8"/>
  <c r="AH41" i="8"/>
  <c r="AH40" i="8"/>
  <c r="BX59" i="7"/>
  <c r="BY59" i="7" s="1"/>
  <c r="BQ58" i="7"/>
  <c r="BT53" i="7"/>
  <c r="BX48" i="7"/>
  <c r="BY48" i="7" s="1"/>
  <c r="BX44" i="7"/>
  <c r="BT42" i="7"/>
  <c r="BS42" i="7" s="1"/>
  <c r="BJ53" i="7"/>
  <c r="BK53" i="7" s="1"/>
  <c r="BC52" i="7"/>
  <c r="BJ49" i="7"/>
  <c r="BF47" i="7"/>
  <c r="BJ41" i="7"/>
  <c r="BF39" i="7"/>
  <c r="BE39" i="7"/>
  <c r="AV59" i="7"/>
  <c r="AW59" i="7" s="1"/>
  <c r="AO58" i="7"/>
  <c r="AV55" i="7"/>
  <c r="AR53" i="7"/>
  <c r="AV48" i="7"/>
  <c r="AW48" i="7" s="1"/>
  <c r="AO47" i="7"/>
  <c r="AV44" i="7"/>
  <c r="AR42" i="7"/>
  <c r="AQ42" i="7"/>
  <c r="K47" i="8"/>
  <c r="AM21" i="8"/>
  <c r="AH18" i="8"/>
  <c r="AI20" i="8"/>
  <c r="AH20" i="8" s="1"/>
  <c r="AI21" i="8"/>
  <c r="AH21" i="8" s="1"/>
  <c r="AI22" i="8"/>
  <c r="AH22" i="8" s="1"/>
  <c r="AJ21" i="8" s="1"/>
  <c r="AI19" i="8"/>
  <c r="AH19" i="8" s="1"/>
  <c r="AI17" i="8"/>
  <c r="AH17" i="8" s="1"/>
  <c r="AX58" i="4"/>
  <c r="AW58" i="4" s="1"/>
  <c r="AY58" i="4" s="1"/>
  <c r="AX57" i="4"/>
  <c r="AW57" i="4" s="1"/>
  <c r="AW56" i="4"/>
  <c r="AY56" i="4" s="1"/>
  <c r="AX55" i="4"/>
  <c r="AW55" i="4" s="1"/>
  <c r="AX54" i="4"/>
  <c r="AW54" i="4" s="1"/>
  <c r="AY54" i="4" s="1"/>
  <c r="O9" i="7"/>
  <c r="O3" i="7"/>
  <c r="O4" i="7"/>
  <c r="CH29" i="7"/>
  <c r="CG29" i="7" s="1"/>
  <c r="CH30" i="7"/>
  <c r="CG30" i="7" s="1"/>
  <c r="X20" i="6"/>
  <c r="T20" i="6"/>
  <c r="U20" i="6" s="1"/>
  <c r="T19" i="6"/>
  <c r="U19" i="6" s="1"/>
  <c r="U18" i="6"/>
  <c r="V52" i="8"/>
  <c r="W52" i="8" s="1"/>
  <c r="W51" i="8"/>
  <c r="V50" i="8"/>
  <c r="W50" i="8" s="1"/>
  <c r="V49" i="8"/>
  <c r="V48" i="8"/>
  <c r="W48" i="8" s="1"/>
  <c r="V47" i="8"/>
  <c r="W47" i="8" s="1"/>
  <c r="W29" i="8"/>
  <c r="V28" i="8"/>
  <c r="V27" i="8"/>
  <c r="W27" i="8" s="1"/>
  <c r="V26" i="8"/>
  <c r="W26" i="8" s="1"/>
  <c r="G56" i="8"/>
  <c r="F56" i="8" s="1"/>
  <c r="G55" i="8"/>
  <c r="F55" i="8" s="1"/>
  <c r="F54" i="8"/>
  <c r="G53" i="8"/>
  <c r="F53" i="8" s="1"/>
  <c r="Y24" i="5"/>
  <c r="Y23" i="5"/>
  <c r="AB22" i="5"/>
  <c r="Y22" i="5"/>
  <c r="Z22" i="5" s="1"/>
  <c r="AA22" i="5" s="1"/>
  <c r="Y21" i="5"/>
  <c r="Y20" i="5"/>
  <c r="AI15" i="5"/>
  <c r="AI14" i="5"/>
  <c r="AL13" i="5"/>
  <c r="AI13" i="5"/>
  <c r="AJ13" i="5" s="1"/>
  <c r="AK13" i="5" s="1"/>
  <c r="AI12" i="5"/>
  <c r="AI11" i="5"/>
  <c r="AX20" i="4"/>
  <c r="AW20" i="4" s="1"/>
  <c r="AY20" i="4" s="1"/>
  <c r="AX19" i="4"/>
  <c r="AW19" i="4" s="1"/>
  <c r="AW18" i="4"/>
  <c r="AY18" i="4" s="1"/>
  <c r="AX17" i="4"/>
  <c r="AW17" i="4" s="1"/>
  <c r="AY17" i="4" s="1"/>
  <c r="AX16" i="4"/>
  <c r="AW16" i="4" s="1"/>
  <c r="L24" i="9"/>
  <c r="L25" i="9"/>
  <c r="L26" i="9"/>
  <c r="L27" i="9"/>
  <c r="L28" i="9"/>
  <c r="L29" i="9"/>
  <c r="L23" i="9"/>
  <c r="Q24" i="9"/>
  <c r="Q25" i="9"/>
  <c r="Q26" i="9"/>
  <c r="Q27" i="9"/>
  <c r="Q28" i="9"/>
  <c r="Q29" i="9"/>
  <c r="Q23" i="9"/>
  <c r="O24" i="9"/>
  <c r="O25" i="9"/>
  <c r="O26" i="9"/>
  <c r="O27" i="9"/>
  <c r="O28" i="9"/>
  <c r="O29" i="9"/>
  <c r="O23" i="9"/>
  <c r="N24" i="9"/>
  <c r="N25" i="9"/>
  <c r="N26" i="9"/>
  <c r="N27" i="9"/>
  <c r="N28" i="9"/>
  <c r="N29" i="9"/>
  <c r="N23" i="9"/>
  <c r="M24" i="9"/>
  <c r="M25" i="9"/>
  <c r="M26" i="9"/>
  <c r="M27" i="9"/>
  <c r="M28" i="9"/>
  <c r="M29" i="9"/>
  <c r="M23" i="9"/>
  <c r="T24" i="9"/>
  <c r="T25" i="9"/>
  <c r="T26" i="9"/>
  <c r="T27" i="9"/>
  <c r="T28" i="9"/>
  <c r="T29" i="9"/>
  <c r="T23" i="9"/>
  <c r="K24" i="9"/>
  <c r="K25" i="9"/>
  <c r="K26" i="9"/>
  <c r="K27" i="9"/>
  <c r="K28" i="9"/>
  <c r="K29" i="9"/>
  <c r="K23" i="9"/>
  <c r="K14" i="9"/>
  <c r="I14" i="9"/>
  <c r="F14" i="9"/>
  <c r="G14" i="9" s="1"/>
  <c r="B14" i="9"/>
  <c r="K13" i="9"/>
  <c r="I13" i="9"/>
  <c r="F13" i="9"/>
  <c r="G13" i="9" s="1"/>
  <c r="B13" i="9"/>
  <c r="K12" i="9"/>
  <c r="I12" i="9"/>
  <c r="F12" i="9"/>
  <c r="G12" i="9" s="1"/>
  <c r="B12" i="9"/>
  <c r="K11" i="9"/>
  <c r="I11" i="9"/>
  <c r="F11" i="9"/>
  <c r="G11" i="9" s="1"/>
  <c r="B11" i="9"/>
  <c r="H11" i="9" s="1"/>
  <c r="J11" i="9" s="1"/>
  <c r="K10" i="9"/>
  <c r="I10" i="9"/>
  <c r="F10" i="9"/>
  <c r="G10" i="9" s="1"/>
  <c r="B10" i="9"/>
  <c r="H10" i="9" s="1"/>
  <c r="J10" i="9" s="1"/>
  <c r="K9" i="9"/>
  <c r="I9" i="9"/>
  <c r="F9" i="9"/>
  <c r="G9" i="9" s="1"/>
  <c r="B9" i="9"/>
  <c r="K8" i="9"/>
  <c r="I8" i="9"/>
  <c r="F8" i="9"/>
  <c r="G8" i="9" s="1"/>
  <c r="B8" i="9"/>
  <c r="K7" i="9"/>
  <c r="I7" i="9"/>
  <c r="F7" i="9"/>
  <c r="G7" i="9" s="1"/>
  <c r="B7" i="9"/>
  <c r="K6" i="9"/>
  <c r="I6" i="9"/>
  <c r="F6" i="9"/>
  <c r="G6" i="9" s="1"/>
  <c r="B6" i="9"/>
  <c r="H6" i="9" s="1"/>
  <c r="J6" i="9" s="1"/>
  <c r="K5" i="9"/>
  <c r="I5" i="9"/>
  <c r="F5" i="9"/>
  <c r="G5" i="9" s="1"/>
  <c r="B5" i="9"/>
  <c r="D2" i="9"/>
  <c r="H9" i="9" s="1"/>
  <c r="J9" i="9" s="1"/>
  <c r="D1" i="9"/>
  <c r="R29" i="9"/>
  <c r="R23" i="9"/>
  <c r="R24" i="9"/>
  <c r="R28" i="9"/>
  <c r="R27" i="9"/>
  <c r="R26" i="9"/>
  <c r="R25" i="9"/>
  <c r="S29" i="9"/>
  <c r="S28" i="9"/>
  <c r="S27" i="9"/>
  <c r="S26" i="9"/>
  <c r="S25" i="9"/>
  <c r="S24" i="9"/>
  <c r="S23" i="9"/>
  <c r="T44" i="6"/>
  <c r="U44" i="6" s="1"/>
  <c r="T43" i="6"/>
  <c r="U43" i="6" s="1"/>
  <c r="X42" i="6"/>
  <c r="T42" i="6"/>
  <c r="U42" i="6" s="1"/>
  <c r="T41" i="6"/>
  <c r="U41" i="6" s="1"/>
  <c r="U40" i="6"/>
  <c r="T33" i="6"/>
  <c r="U33" i="6" s="1"/>
  <c r="T32" i="6"/>
  <c r="V31" i="6" s="1"/>
  <c r="W31" i="6" s="1"/>
  <c r="X31" i="6"/>
  <c r="T31" i="6"/>
  <c r="U31" i="6" s="1"/>
  <c r="U30" i="6"/>
  <c r="T30" i="6"/>
  <c r="U29" i="6"/>
  <c r="W49" i="8" l="1"/>
  <c r="X48" i="8"/>
  <c r="H55" i="8"/>
  <c r="I55" i="8" s="1"/>
  <c r="W28" i="8"/>
  <c r="X27" i="8"/>
  <c r="Y27" i="8" s="1"/>
  <c r="AY55" i="4"/>
  <c r="BB55" i="4"/>
  <c r="BC55" i="4" s="1"/>
  <c r="AY35" i="4"/>
  <c r="BB35" i="4"/>
  <c r="BC35" i="4" s="1"/>
  <c r="AY16" i="4"/>
  <c r="BB16" i="4"/>
  <c r="BC16" i="4" s="1"/>
  <c r="AY31" i="4"/>
  <c r="BB30" i="4"/>
  <c r="BC30" i="4" s="1"/>
  <c r="AK21" i="8"/>
  <c r="AY57" i="4"/>
  <c r="V20" i="6"/>
  <c r="W20" i="6" s="1"/>
  <c r="AY19" i="4"/>
  <c r="H8" i="9"/>
  <c r="J8" i="9" s="1"/>
  <c r="H13" i="9"/>
  <c r="J13" i="9" s="1"/>
  <c r="H7" i="9"/>
  <c r="J7" i="9" s="1"/>
  <c r="H14" i="9"/>
  <c r="J14" i="9" s="1"/>
  <c r="H5" i="9"/>
  <c r="J5" i="9" s="1"/>
  <c r="H12" i="9"/>
  <c r="J12" i="9" s="1"/>
  <c r="V42" i="6"/>
  <c r="W42" i="6" s="1"/>
  <c r="U32" i="6"/>
  <c r="AX50" i="4"/>
  <c r="AW50" i="4" s="1"/>
  <c r="AX49" i="4"/>
  <c r="AW49" i="4" s="1"/>
  <c r="AW48" i="4"/>
  <c r="AY48" i="4" s="1"/>
  <c r="AX47" i="4"/>
  <c r="AW47" i="4" s="1"/>
  <c r="AY47" i="4" s="1"/>
  <c r="AX46" i="4"/>
  <c r="AW46" i="4" s="1"/>
  <c r="AY46" i="4" s="1"/>
  <c r="BD12" i="4"/>
  <c r="AW11" i="4"/>
  <c r="AX13" i="4"/>
  <c r="AW13" i="4" s="1"/>
  <c r="AX12" i="4"/>
  <c r="AW12" i="4" s="1"/>
  <c r="AX9" i="4"/>
  <c r="AW9" i="4" s="1"/>
  <c r="AX10" i="4"/>
  <c r="AW10" i="4" s="1"/>
  <c r="Y48" i="8" l="1"/>
  <c r="AY50" i="4"/>
  <c r="BB50" i="4"/>
  <c r="BC50" i="4" s="1"/>
  <c r="BB12" i="4"/>
  <c r="BC12" i="4" s="1"/>
  <c r="AY49" i="4"/>
  <c r="F45" i="8"/>
  <c r="G47" i="8"/>
  <c r="F47" i="8" s="1"/>
  <c r="G48" i="8"/>
  <c r="F48" i="8" s="1"/>
  <c r="G46" i="8"/>
  <c r="F46" i="8" s="1"/>
  <c r="G44" i="8"/>
  <c r="F44" i="8" s="1"/>
  <c r="Y58" i="5"/>
  <c r="Y57" i="5"/>
  <c r="AB56" i="5"/>
  <c r="Y56" i="5"/>
  <c r="Z56" i="5" s="1"/>
  <c r="AA56" i="5" s="1"/>
  <c r="Y55" i="5"/>
  <c r="Y54" i="5"/>
  <c r="Y47" i="5"/>
  <c r="Y46" i="5"/>
  <c r="AB45" i="5"/>
  <c r="Y45" i="5"/>
  <c r="Y44" i="5"/>
  <c r="Y43" i="5"/>
  <c r="Y36" i="5"/>
  <c r="Y35" i="5"/>
  <c r="AB34" i="5"/>
  <c r="Y34" i="5"/>
  <c r="Z34" i="5" s="1"/>
  <c r="AA34" i="5" s="1"/>
  <c r="Y33" i="5"/>
  <c r="Y32" i="5"/>
  <c r="G13" i="6"/>
  <c r="G14" i="6"/>
  <c r="G15" i="6"/>
  <c r="G12" i="6"/>
  <c r="G10" i="6"/>
  <c r="G24" i="8"/>
  <c r="F24" i="8" s="1"/>
  <c r="G25" i="8"/>
  <c r="F25" i="8" s="1"/>
  <c r="G26" i="8"/>
  <c r="F26" i="8" s="1"/>
  <c r="G23" i="8"/>
  <c r="F23" i="8" s="1"/>
  <c r="G21" i="8"/>
  <c r="F21" i="8" s="1"/>
  <c r="AY12" i="4"/>
  <c r="AY11" i="4"/>
  <c r="AY10" i="4"/>
  <c r="AY9" i="4"/>
  <c r="G15" i="7"/>
  <c r="F15" i="7" s="1"/>
  <c r="CH19" i="7"/>
  <c r="CG19" i="7" s="1"/>
  <c r="I47" i="8" l="1"/>
  <c r="Z45" i="5"/>
  <c r="AA45" i="5" s="1"/>
  <c r="AY13" i="4"/>
  <c r="F15" i="8"/>
  <c r="G15" i="8" s="1"/>
  <c r="I15" i="8"/>
  <c r="K15" i="8"/>
  <c r="F13" i="8"/>
  <c r="G13" i="8" s="1"/>
  <c r="I13" i="8"/>
  <c r="K13" i="8"/>
  <c r="B13" i="8"/>
  <c r="B14" i="8"/>
  <c r="B15" i="8"/>
  <c r="B10" i="8"/>
  <c r="F10" i="8"/>
  <c r="G10" i="8" s="1"/>
  <c r="I10" i="8"/>
  <c r="K10" i="8"/>
  <c r="V107" i="8"/>
  <c r="W107" i="8" s="1"/>
  <c r="AA106" i="8"/>
  <c r="W106" i="8"/>
  <c r="V105" i="8"/>
  <c r="W105" i="8" s="1"/>
  <c r="V104" i="8"/>
  <c r="W104" i="8" s="1"/>
  <c r="V103" i="8"/>
  <c r="W103" i="8" s="1"/>
  <c r="V102" i="8"/>
  <c r="W102" i="8" s="1"/>
  <c r="X106" i="8" l="1"/>
  <c r="I15" i="5" l="1"/>
  <c r="F16" i="5"/>
  <c r="F11" i="5"/>
  <c r="AB13" i="5" l="1"/>
  <c r="Y12" i="5"/>
  <c r="Y13" i="5"/>
  <c r="Y14" i="5"/>
  <c r="Z13" i="5" s="1"/>
  <c r="AA13" i="5" s="1"/>
  <c r="Y15" i="5"/>
  <c r="CL32" i="7"/>
  <c r="CM32" i="7" s="1"/>
  <c r="CE31" i="7"/>
  <c r="CL28" i="7"/>
  <c r="CH28" i="7"/>
  <c r="CG28" i="7" s="1"/>
  <c r="CI28" i="7" s="1"/>
  <c r="CG27" i="7"/>
  <c r="CH26" i="7"/>
  <c r="CG26" i="7" s="1"/>
  <c r="AH51" i="7"/>
  <c r="AI51" i="7" s="1"/>
  <c r="AA50" i="7"/>
  <c r="AH47" i="7"/>
  <c r="AD45" i="7"/>
  <c r="AH41" i="7"/>
  <c r="AI41" i="7" s="1"/>
  <c r="AA40" i="7"/>
  <c r="AH38" i="7"/>
  <c r="AD35" i="7"/>
  <c r="AH31" i="7"/>
  <c r="AI31" i="7" s="1"/>
  <c r="AA30" i="7"/>
  <c r="AH27" i="7"/>
  <c r="AD25" i="7"/>
  <c r="AH21" i="7"/>
  <c r="AI21" i="7" s="1"/>
  <c r="AA20" i="7"/>
  <c r="AC19" i="7"/>
  <c r="AH17" i="7"/>
  <c r="AD15" i="7"/>
  <c r="AC15" i="7" s="1"/>
  <c r="AV32" i="7"/>
  <c r="AW32" i="7" s="1"/>
  <c r="AO31" i="7"/>
  <c r="AR26" i="7"/>
  <c r="AV21" i="7"/>
  <c r="AW21" i="7" s="1"/>
  <c r="AO20" i="7"/>
  <c r="AV17" i="7"/>
  <c r="AQ15" i="7"/>
  <c r="BJ29" i="7"/>
  <c r="BK29" i="7" s="1"/>
  <c r="BC28" i="7"/>
  <c r="BJ25" i="7"/>
  <c r="BF23" i="7"/>
  <c r="BJ17" i="7"/>
  <c r="BF15" i="7"/>
  <c r="BE15" i="7" s="1"/>
  <c r="AH35" i="4"/>
  <c r="AI35" i="4" s="1"/>
  <c r="F17" i="7"/>
  <c r="G19" i="7"/>
  <c r="G20" i="7"/>
  <c r="F20" i="7" s="1"/>
  <c r="G21" i="7"/>
  <c r="F21" i="7" s="1"/>
  <c r="F18" i="7"/>
  <c r="G14" i="7"/>
  <c r="F14" i="7" s="1"/>
  <c r="G16" i="7"/>
  <c r="F16" i="7" s="1"/>
  <c r="BT15" i="7"/>
  <c r="CG15" i="7"/>
  <c r="CH17" i="7"/>
  <c r="CG17" i="7" s="1"/>
  <c r="CH18" i="7"/>
  <c r="CG18" i="7" s="1"/>
  <c r="CH16" i="7"/>
  <c r="CG16" i="7" s="1"/>
  <c r="CH14" i="7"/>
  <c r="CG14" i="7" s="1"/>
  <c r="CL21" i="7"/>
  <c r="CM21" i="7" s="1"/>
  <c r="CE20" i="7"/>
  <c r="CL16" i="7"/>
  <c r="H25" i="8"/>
  <c r="I50" i="5"/>
  <c r="F48" i="5"/>
  <c r="F36" i="5"/>
  <c r="AO22" i="4"/>
  <c r="AE55" i="4"/>
  <c r="AE54" i="4"/>
  <c r="AE53" i="4"/>
  <c r="AE52" i="4"/>
  <c r="AL48" i="4"/>
  <c r="AI48" i="4"/>
  <c r="AL47" i="4"/>
  <c r="AI47" i="4"/>
  <c r="AL46" i="4"/>
  <c r="AI46" i="4"/>
  <c r="AL45" i="4"/>
  <c r="AI45" i="4"/>
  <c r="AO38" i="4"/>
  <c r="AH23" i="4"/>
  <c r="AI23" i="4" s="1"/>
  <c r="AO30" i="4"/>
  <c r="T13" i="6"/>
  <c r="U13" i="6" s="1"/>
  <c r="T14" i="6"/>
  <c r="U14" i="6" s="1"/>
  <c r="U10" i="6"/>
  <c r="T11" i="6"/>
  <c r="U11" i="6" s="1"/>
  <c r="T12" i="6"/>
  <c r="U12" i="6" s="1"/>
  <c r="X12" i="6"/>
  <c r="V22" i="8"/>
  <c r="W22" i="8" s="1"/>
  <c r="V20" i="8"/>
  <c r="W20" i="8" s="1"/>
  <c r="W21" i="8"/>
  <c r="AA21" i="8"/>
  <c r="Y11" i="5"/>
  <c r="BX32" i="7"/>
  <c r="BY32" i="7" s="1"/>
  <c r="BQ31" i="7"/>
  <c r="BX28" i="7"/>
  <c r="BX17" i="7"/>
  <c r="AH40" i="4"/>
  <c r="AI40" i="4" s="1"/>
  <c r="AH39" i="4"/>
  <c r="AJ39" i="4" s="1"/>
  <c r="AH38" i="4"/>
  <c r="AJ38" i="4" s="1"/>
  <c r="AH37" i="4"/>
  <c r="AJ37" i="4" s="1"/>
  <c r="AJ36" i="4"/>
  <c r="AI36" i="4"/>
  <c r="AH31" i="4"/>
  <c r="AJ31" i="4" s="1"/>
  <c r="AH30" i="4"/>
  <c r="AI30" i="4" s="1"/>
  <c r="AH29" i="4"/>
  <c r="AJ29" i="4" s="1"/>
  <c r="AH28" i="4"/>
  <c r="AJ28" i="4" s="1"/>
  <c r="AJ27" i="4"/>
  <c r="AI27" i="4"/>
  <c r="AH22" i="4"/>
  <c r="AH21" i="4"/>
  <c r="AJ21" i="4" s="1"/>
  <c r="AH20" i="4"/>
  <c r="AJ20" i="4" s="1"/>
  <c r="AH19" i="4"/>
  <c r="AI19" i="4" s="1"/>
  <c r="AJ18" i="4"/>
  <c r="AI18" i="4"/>
  <c r="AO13" i="4"/>
  <c r="AH14" i="4"/>
  <c r="AJ14" i="4" s="1"/>
  <c r="AH11" i="4"/>
  <c r="AI11" i="4" s="1"/>
  <c r="AH12" i="4"/>
  <c r="AI12" i="4" s="1"/>
  <c r="AH13" i="4"/>
  <c r="AJ13" i="4" s="1"/>
  <c r="AH10" i="4"/>
  <c r="AI10" i="4" s="1"/>
  <c r="AJ9" i="4"/>
  <c r="AI9" i="4"/>
  <c r="D46" i="9"/>
  <c r="E46" i="9"/>
  <c r="F46" i="9"/>
  <c r="G46" i="9"/>
  <c r="D47" i="9"/>
  <c r="E47" i="9"/>
  <c r="F47" i="9"/>
  <c r="G47" i="9"/>
  <c r="D48" i="9"/>
  <c r="E48" i="9"/>
  <c r="F48" i="9"/>
  <c r="G48" i="9"/>
  <c r="D49" i="9"/>
  <c r="E49" i="9"/>
  <c r="F49" i="9"/>
  <c r="G49" i="9"/>
  <c r="C47" i="9"/>
  <c r="C48" i="9"/>
  <c r="C49" i="9"/>
  <c r="C46" i="9"/>
  <c r="Q25" i="7"/>
  <c r="Q26" i="7"/>
  <c r="Q27" i="7"/>
  <c r="Q24" i="7"/>
  <c r="P25" i="7"/>
  <c r="P26" i="7"/>
  <c r="P27" i="7"/>
  <c r="P24" i="7"/>
  <c r="I25" i="8" l="1"/>
  <c r="AM22" i="4"/>
  <c r="AN22" i="4" s="1"/>
  <c r="AJ23" i="4"/>
  <c r="AJ45" i="4"/>
  <c r="AK45" i="4" s="1"/>
  <c r="BT43" i="7"/>
  <c r="BS43" i="7" s="1"/>
  <c r="BT41" i="7"/>
  <c r="BS41" i="7" s="1"/>
  <c r="BT44" i="7"/>
  <c r="BS44" i="7" s="1"/>
  <c r="BT45" i="7"/>
  <c r="BS45" i="7" s="1"/>
  <c r="BS57" i="7"/>
  <c r="BT57" i="7" s="1"/>
  <c r="BS56" i="7"/>
  <c r="BS55" i="7"/>
  <c r="BT55" i="7" s="1"/>
  <c r="BS54" i="7"/>
  <c r="BT54" i="7" s="1"/>
  <c r="BF38" i="7"/>
  <c r="BE38" i="7" s="1"/>
  <c r="BF42" i="7"/>
  <c r="BE42" i="7" s="1"/>
  <c r="BF41" i="7"/>
  <c r="BE41" i="7" s="1"/>
  <c r="BF40" i="7"/>
  <c r="BE40" i="7" s="1"/>
  <c r="BE51" i="7"/>
  <c r="BF51" i="7" s="1"/>
  <c r="BE50" i="7"/>
  <c r="BF50" i="7" s="1"/>
  <c r="BE49" i="7"/>
  <c r="BE48" i="7"/>
  <c r="BF48" i="7" s="1"/>
  <c r="AC18" i="7"/>
  <c r="AR43" i="7"/>
  <c r="AQ43" i="7" s="1"/>
  <c r="AR41" i="7"/>
  <c r="AQ41" i="7" s="1"/>
  <c r="AR44" i="7"/>
  <c r="AQ44" i="7" s="1"/>
  <c r="AR45" i="7"/>
  <c r="AQ45" i="7" s="1"/>
  <c r="AC36" i="7"/>
  <c r="AD36" i="7" s="1"/>
  <c r="AQ57" i="7"/>
  <c r="AR57" i="7" s="1"/>
  <c r="AQ56" i="7"/>
  <c r="AR56" i="7" s="1"/>
  <c r="AQ55" i="7"/>
  <c r="AQ54" i="7"/>
  <c r="AR54" i="7" s="1"/>
  <c r="AM38" i="4"/>
  <c r="AN38" i="4" s="1"/>
  <c r="AJ35" i="4"/>
  <c r="AI22" i="4"/>
  <c r="AC26" i="7"/>
  <c r="AD26" i="7" s="1"/>
  <c r="AC38" i="7"/>
  <c r="AD38" i="7" s="1"/>
  <c r="AQ16" i="7"/>
  <c r="AQ29" i="7"/>
  <c r="AR29" i="7" s="1"/>
  <c r="AQ30" i="7"/>
  <c r="AR30" i="7" s="1"/>
  <c r="AC39" i="7"/>
  <c r="AD39" i="7" s="1"/>
  <c r="AC27" i="7"/>
  <c r="AD27" i="7" s="1"/>
  <c r="AC28" i="7"/>
  <c r="AD28" i="7" s="1"/>
  <c r="AC47" i="7"/>
  <c r="AD47" i="7" s="1"/>
  <c r="AC29" i="7"/>
  <c r="AD29" i="7" s="1"/>
  <c r="AQ17" i="7"/>
  <c r="AC16" i="7"/>
  <c r="AC48" i="7"/>
  <c r="AD48" i="7" s="1"/>
  <c r="AC14" i="7"/>
  <c r="AC46" i="7"/>
  <c r="AD46" i="7" s="1"/>
  <c r="AQ18" i="7"/>
  <c r="AC49" i="7"/>
  <c r="AD49" i="7" s="1"/>
  <c r="AQ27" i="7"/>
  <c r="AR27" i="7" s="1"/>
  <c r="AQ14" i="7"/>
  <c r="AQ28" i="7"/>
  <c r="AC37" i="7"/>
  <c r="AD37" i="7" s="1"/>
  <c r="V12" i="6"/>
  <c r="W12" i="6" s="1"/>
  <c r="BE27" i="7"/>
  <c r="BF27" i="7" s="1"/>
  <c r="BE26" i="7"/>
  <c r="BF26" i="7" s="1"/>
  <c r="BE24" i="7"/>
  <c r="BF24" i="7" s="1"/>
  <c r="BE25" i="7"/>
  <c r="BF25" i="7" s="1"/>
  <c r="BF16" i="7"/>
  <c r="BE16" i="7" s="1"/>
  <c r="BF17" i="7"/>
  <c r="BE17" i="7" s="1"/>
  <c r="BE18" i="7"/>
  <c r="CI16" i="7"/>
  <c r="CJ16" i="7" s="1"/>
  <c r="AJ46" i="4"/>
  <c r="AK46" i="4" s="1"/>
  <c r="AJ47" i="4"/>
  <c r="AK47" i="4" s="1"/>
  <c r="AI14" i="4"/>
  <c r="AM30" i="4"/>
  <c r="AN30" i="4" s="1"/>
  <c r="AI31" i="4"/>
  <c r="AM13" i="4"/>
  <c r="AN13" i="4" s="1"/>
  <c r="AJ19" i="4"/>
  <c r="AI38" i="4"/>
  <c r="AI39" i="4"/>
  <c r="AI37" i="4"/>
  <c r="AJ40" i="4"/>
  <c r="AI29" i="4"/>
  <c r="AJ30" i="4"/>
  <c r="AI28" i="4"/>
  <c r="AJ22" i="4"/>
  <c r="AI20" i="4"/>
  <c r="AI21" i="4"/>
  <c r="AI13" i="4"/>
  <c r="AJ10" i="4"/>
  <c r="AJ12" i="4"/>
  <c r="AJ11" i="4"/>
  <c r="BU44" i="7" l="1"/>
  <c r="BV44" i="7" s="1"/>
  <c r="AF17" i="7"/>
  <c r="BT56" i="7"/>
  <c r="BG41" i="7"/>
  <c r="BH41" i="7" s="1"/>
  <c r="BG49" i="7"/>
  <c r="BF49" i="7"/>
  <c r="AS55" i="7"/>
  <c r="AR55" i="7"/>
  <c r="AE38" i="7"/>
  <c r="AF38" i="7" s="1"/>
  <c r="AE27" i="7"/>
  <c r="AF27" i="7" s="1"/>
  <c r="AS44" i="7"/>
  <c r="AT44" i="7" s="1"/>
  <c r="AR28" i="7"/>
  <c r="AE47" i="7"/>
  <c r="AF47" i="7" s="1"/>
  <c r="AT17" i="7"/>
  <c r="BH17" i="7"/>
  <c r="BG25" i="7"/>
  <c r="BX21" i="7"/>
  <c r="BY21" i="7" s="1"/>
  <c r="BQ20" i="7"/>
  <c r="J39" i="6"/>
  <c r="F39" i="6"/>
  <c r="H39" i="6" s="1"/>
  <c r="I39" i="6" s="1"/>
  <c r="F37" i="6"/>
  <c r="J31" i="6"/>
  <c r="F31" i="6"/>
  <c r="H31" i="6" s="1"/>
  <c r="I31" i="6" s="1"/>
  <c r="F29" i="6"/>
  <c r="J23" i="6"/>
  <c r="F23" i="6"/>
  <c r="H23" i="6" s="1"/>
  <c r="I23" i="6" s="1"/>
  <c r="F21" i="6"/>
  <c r="I19" i="5" l="1"/>
  <c r="J19" i="5" s="1"/>
  <c r="H55" i="5"/>
  <c r="H43" i="5"/>
  <c r="H31" i="5"/>
  <c r="H19" i="5"/>
  <c r="I55" i="5"/>
  <c r="J55" i="5" s="1"/>
  <c r="I43" i="5"/>
  <c r="J43" i="5" s="1"/>
  <c r="I31" i="5"/>
  <c r="J31" i="5" s="1"/>
  <c r="I39" i="5"/>
  <c r="I27" i="5"/>
  <c r="F28" i="5"/>
  <c r="O6" i="7"/>
  <c r="O7" i="7"/>
  <c r="O8" i="7"/>
  <c r="O5" i="7"/>
  <c r="N4" i="7"/>
  <c r="N5" i="7"/>
  <c r="N6" i="7"/>
  <c r="N7" i="7"/>
  <c r="N8" i="7"/>
  <c r="N9" i="7"/>
  <c r="N3" i="7"/>
  <c r="T15" i="3"/>
  <c r="K58" i="7"/>
  <c r="K47" i="7"/>
  <c r="K35" i="7"/>
  <c r="K23" i="7"/>
  <c r="F15" i="5"/>
  <c r="G15" i="5" s="1"/>
  <c r="H15" i="5" s="1"/>
  <c r="F40" i="7" l="1"/>
  <c r="G40" i="7" s="1"/>
  <c r="G27" i="7"/>
  <c r="G39" i="7"/>
  <c r="G51" i="7"/>
  <c r="S26" i="4"/>
  <c r="S27" i="4"/>
  <c r="S28" i="4"/>
  <c r="S29" i="4"/>
  <c r="S25" i="4"/>
  <c r="Z18" i="4"/>
  <c r="W18" i="4"/>
  <c r="W19" i="4"/>
  <c r="E44" i="4"/>
  <c r="E37" i="4"/>
  <c r="E30" i="4"/>
  <c r="E22" i="4"/>
  <c r="E14" i="4"/>
  <c r="X18" i="4" l="1"/>
  <c r="Y18" i="4" s="1"/>
  <c r="R18" i="7" l="1"/>
  <c r="R19" i="7"/>
  <c r="R20" i="7"/>
  <c r="R17" i="7"/>
  <c r="D57" i="7"/>
  <c r="D46" i="7"/>
  <c r="D34" i="7"/>
  <c r="D22" i="7"/>
  <c r="K53" i="7"/>
  <c r="K42" i="7"/>
  <c r="K19" i="7"/>
  <c r="S17" i="7" l="1"/>
  <c r="T17" i="7" s="1"/>
  <c r="S19" i="7"/>
  <c r="T19" i="7" s="1"/>
  <c r="S18" i="7"/>
  <c r="T18" i="7" s="1"/>
  <c r="G11" i="4" l="1"/>
  <c r="G12" i="4"/>
  <c r="G13" i="4"/>
  <c r="G10" i="4"/>
  <c r="H13" i="4" l="1"/>
  <c r="I13" i="4"/>
  <c r="H12" i="4"/>
  <c r="I12" i="4"/>
  <c r="I11" i="4"/>
  <c r="H11" i="4"/>
  <c r="K30" i="7"/>
  <c r="F53" i="5" l="1"/>
  <c r="F52" i="5"/>
  <c r="F51" i="5"/>
  <c r="F50" i="5"/>
  <c r="F49" i="5"/>
  <c r="F41" i="5"/>
  <c r="F40" i="5"/>
  <c r="F39" i="5"/>
  <c r="F38" i="5"/>
  <c r="F37" i="5"/>
  <c r="F24" i="5"/>
  <c r="F25" i="5"/>
  <c r="F26" i="5"/>
  <c r="F27" i="5"/>
  <c r="F29" i="5"/>
  <c r="F12" i="5"/>
  <c r="F13" i="5"/>
  <c r="F14" i="5"/>
  <c r="F17" i="5"/>
  <c r="K14" i="8"/>
  <c r="I14" i="8"/>
  <c r="F14" i="8"/>
  <c r="G14" i="8" s="1"/>
  <c r="K12" i="8"/>
  <c r="I12" i="8"/>
  <c r="F12" i="8"/>
  <c r="G12" i="8" s="1"/>
  <c r="B12" i="8"/>
  <c r="K11" i="8"/>
  <c r="I11" i="8"/>
  <c r="F11" i="8"/>
  <c r="G11" i="8" s="1"/>
  <c r="B11" i="8"/>
  <c r="K9" i="8"/>
  <c r="I9" i="8"/>
  <c r="F9" i="8"/>
  <c r="G9" i="8" s="1"/>
  <c r="B9" i="8"/>
  <c r="K8" i="8"/>
  <c r="I8" i="8"/>
  <c r="F8" i="8"/>
  <c r="G8" i="8" s="1"/>
  <c r="B8" i="8"/>
  <c r="K6" i="8"/>
  <c r="I6" i="8"/>
  <c r="F6" i="8"/>
  <c r="G6" i="8" s="1"/>
  <c r="B6" i="8"/>
  <c r="K5" i="8"/>
  <c r="I5" i="8"/>
  <c r="F5" i="8"/>
  <c r="G5" i="8" s="1"/>
  <c r="B5" i="8"/>
  <c r="D2" i="8"/>
  <c r="D1" i="8"/>
  <c r="G27" i="5" l="1"/>
  <c r="H27" i="5" s="1"/>
  <c r="G50" i="5"/>
  <c r="H50" i="5" s="1"/>
  <c r="H15" i="8"/>
  <c r="J15" i="8" s="1"/>
  <c r="H13" i="8"/>
  <c r="J13" i="8" s="1"/>
  <c r="H10" i="8"/>
  <c r="J10" i="8" s="1"/>
  <c r="H14" i="8"/>
  <c r="J14" i="8" s="1"/>
  <c r="H6" i="8"/>
  <c r="J6" i="8" s="1"/>
  <c r="G39" i="5"/>
  <c r="H39" i="5" s="1"/>
  <c r="H8" i="8"/>
  <c r="J8" i="8" s="1"/>
  <c r="H12" i="8"/>
  <c r="J12" i="8" s="1"/>
  <c r="H11" i="8"/>
  <c r="J11" i="8" s="1"/>
  <c r="H9" i="8"/>
  <c r="J9" i="8" s="1"/>
  <c r="H5" i="8"/>
  <c r="L58" i="7"/>
  <c r="L47" i="7"/>
  <c r="L35" i="7"/>
  <c r="L23" i="7"/>
  <c r="C6" i="7"/>
  <c r="B3" i="7"/>
  <c r="V17" i="3"/>
  <c r="S17" i="3"/>
  <c r="T17" i="3" s="1"/>
  <c r="V18" i="3"/>
  <c r="V19" i="3"/>
  <c r="V20" i="3"/>
  <c r="S16" i="3"/>
  <c r="T16" i="3" s="1"/>
  <c r="S18" i="3"/>
  <c r="T18" i="3" s="1"/>
  <c r="S19" i="3"/>
  <c r="T19" i="3" s="1"/>
  <c r="S20" i="3"/>
  <c r="T20" i="3" s="1"/>
  <c r="S21" i="3"/>
  <c r="T21" i="3" s="1"/>
  <c r="S22" i="3"/>
  <c r="T22" i="3" s="1"/>
  <c r="S15" i="3"/>
  <c r="T4" i="3"/>
  <c r="T9" i="3"/>
  <c r="T10" i="3"/>
  <c r="T11" i="3"/>
  <c r="T3" i="3"/>
  <c r="S4" i="3"/>
  <c r="S5" i="3"/>
  <c r="T5" i="3" s="1"/>
  <c r="S6" i="3"/>
  <c r="T6" i="3" s="1"/>
  <c r="S7" i="3"/>
  <c r="T7" i="3" s="1"/>
  <c r="S8" i="3"/>
  <c r="T8" i="3" s="1"/>
  <c r="S9" i="3"/>
  <c r="S10" i="3"/>
  <c r="S11" i="3"/>
  <c r="S12" i="3"/>
  <c r="T12" i="3" s="1"/>
  <c r="S3" i="3"/>
  <c r="AX43" i="8" l="1"/>
  <c r="Z48" i="8"/>
  <c r="AX50" i="8"/>
  <c r="AX20" i="8"/>
  <c r="Z40" i="8"/>
  <c r="AL42" i="8"/>
  <c r="AX29" i="8"/>
  <c r="Z83" i="8"/>
  <c r="Z91" i="8"/>
  <c r="Z27" i="8"/>
  <c r="J55" i="8"/>
  <c r="AL29" i="8"/>
  <c r="AL52" i="8"/>
  <c r="J25" i="8"/>
  <c r="J47" i="8"/>
  <c r="AL21" i="8"/>
  <c r="Z106" i="8"/>
  <c r="U17" i="7"/>
  <c r="U19" i="7"/>
  <c r="U18" i="7"/>
  <c r="D6" i="7"/>
  <c r="I5" i="2"/>
  <c r="J5" i="2" s="1"/>
  <c r="K6" i="2"/>
  <c r="K7" i="2"/>
  <c r="K8" i="2"/>
  <c r="K9" i="2"/>
  <c r="K10" i="2"/>
  <c r="K11" i="2"/>
  <c r="K5" i="2"/>
  <c r="H5" i="2"/>
  <c r="BW59" i="7" l="1"/>
  <c r="BW48" i="7"/>
  <c r="BW44" i="7"/>
  <c r="BI53" i="7"/>
  <c r="BI41" i="7"/>
  <c r="BI49" i="7"/>
  <c r="AU59" i="7"/>
  <c r="AU48" i="7"/>
  <c r="AU44" i="7"/>
  <c r="AU55" i="7"/>
  <c r="AG31" i="7"/>
  <c r="AG51" i="7"/>
  <c r="CK32" i="7"/>
  <c r="AU32" i="7"/>
  <c r="AU21" i="7"/>
  <c r="AG41" i="7"/>
  <c r="AG21" i="7"/>
  <c r="CK28" i="7"/>
  <c r="AG38" i="7"/>
  <c r="AG47" i="7"/>
  <c r="AG27" i="7"/>
  <c r="AG17" i="7"/>
  <c r="AU17" i="7"/>
  <c r="BI29" i="7"/>
  <c r="BI25" i="7"/>
  <c r="BI17" i="7"/>
  <c r="CK21" i="7"/>
  <c r="CK16" i="7"/>
  <c r="BW32" i="7"/>
  <c r="BW21" i="7"/>
  <c r="J23" i="7"/>
  <c r="J47" i="7"/>
  <c r="J58" i="7"/>
  <c r="J35" i="7"/>
  <c r="G99" i="2"/>
  <c r="G98" i="2"/>
  <c r="G97" i="2"/>
  <c r="G96" i="2"/>
  <c r="G95" i="2"/>
  <c r="G89" i="2"/>
  <c r="G88" i="2"/>
  <c r="G87" i="2"/>
  <c r="G86" i="2"/>
  <c r="G85" i="2"/>
  <c r="G79" i="2"/>
  <c r="G78" i="2"/>
  <c r="G77" i="2"/>
  <c r="G76" i="2"/>
  <c r="G75" i="2"/>
  <c r="G69" i="2"/>
  <c r="G68" i="2"/>
  <c r="G67" i="2"/>
  <c r="G66" i="2"/>
  <c r="G65" i="2"/>
  <c r="G59" i="2"/>
  <c r="G58" i="2"/>
  <c r="G57" i="2"/>
  <c r="G56" i="2"/>
  <c r="G55" i="2"/>
  <c r="G49" i="2"/>
  <c r="G48" i="2"/>
  <c r="G47" i="2"/>
  <c r="G46" i="2"/>
  <c r="G45" i="2"/>
  <c r="G39" i="2"/>
  <c r="G38" i="2"/>
  <c r="G37" i="2"/>
  <c r="G36" i="2"/>
  <c r="G35" i="2"/>
  <c r="G29" i="2"/>
  <c r="G28" i="2"/>
  <c r="G27" i="2"/>
  <c r="G26" i="2"/>
  <c r="G25" i="2"/>
  <c r="G19" i="2"/>
  <c r="G18" i="2"/>
  <c r="G20" i="2"/>
  <c r="G21" i="2"/>
  <c r="G17" i="2"/>
  <c r="J15" i="6"/>
  <c r="F15" i="6"/>
  <c r="H15" i="6" s="1"/>
  <c r="I15" i="6" s="1"/>
  <c r="F10" i="6"/>
  <c r="L12" i="4"/>
  <c r="I10" i="4"/>
  <c r="G21" i="4"/>
  <c r="N12" i="4"/>
  <c r="I9" i="4"/>
  <c r="I52" i="3"/>
  <c r="I48" i="3"/>
  <c r="I61" i="3"/>
  <c r="M12" i="4" l="1"/>
  <c r="R9" i="4"/>
  <c r="T9" i="4" s="1"/>
  <c r="U9" i="4" s="1"/>
  <c r="H9" i="4"/>
  <c r="H10" i="4"/>
  <c r="I97" i="3"/>
  <c r="J97" i="3" s="1"/>
  <c r="I88" i="3"/>
  <c r="I79" i="3"/>
  <c r="J61" i="3"/>
  <c r="I70" i="3"/>
  <c r="J70" i="3" s="1"/>
  <c r="I42" i="3"/>
  <c r="J42" i="3" s="1"/>
  <c r="J88" i="3"/>
  <c r="J79" i="3"/>
  <c r="J52" i="3"/>
  <c r="I33" i="3"/>
  <c r="J33" i="3" s="1"/>
  <c r="I24" i="3"/>
  <c r="J24" i="3" s="1"/>
  <c r="F21" i="2" l="1"/>
  <c r="F20" i="2"/>
  <c r="H19" i="2" s="1"/>
  <c r="F18" i="2"/>
  <c r="F17" i="2"/>
  <c r="J19" i="2"/>
  <c r="G43" i="4"/>
  <c r="G40" i="4" s="1"/>
  <c r="G36" i="4"/>
  <c r="G35" i="4" s="1"/>
  <c r="I35" i="4" s="1"/>
  <c r="H5" i="4"/>
  <c r="G2" i="4"/>
  <c r="G37" i="4"/>
  <c r="G30" i="4"/>
  <c r="G28" i="4"/>
  <c r="H28" i="4" s="1"/>
  <c r="G27" i="4"/>
  <c r="G26" i="4"/>
  <c r="H26" i="4" s="1"/>
  <c r="I21" i="4"/>
  <c r="G18" i="4"/>
  <c r="I18" i="4" s="1"/>
  <c r="G19" i="4"/>
  <c r="H19" i="4" s="1"/>
  <c r="G17" i="4"/>
  <c r="I17" i="4" s="1"/>
  <c r="N42" i="4"/>
  <c r="N35" i="4"/>
  <c r="I29" i="4"/>
  <c r="H29" i="4"/>
  <c r="Z22" i="4"/>
  <c r="W22" i="4"/>
  <c r="N27" i="4"/>
  <c r="Z21" i="4"/>
  <c r="W21" i="4"/>
  <c r="Z20" i="4"/>
  <c r="W20" i="4"/>
  <c r="X19" i="4" s="1"/>
  <c r="Y19" i="4" s="1"/>
  <c r="Z19" i="4"/>
  <c r="I20" i="4"/>
  <c r="H20" i="4"/>
  <c r="N19" i="4"/>
  <c r="G33" i="4" l="1"/>
  <c r="I33" i="4" s="1"/>
  <c r="H6" i="4"/>
  <c r="AZ51" i="4" s="1"/>
  <c r="I36" i="4"/>
  <c r="I43" i="4"/>
  <c r="J43" i="4" s="1"/>
  <c r="G34" i="4"/>
  <c r="I34" i="4" s="1"/>
  <c r="J29" i="4"/>
  <c r="J36" i="4"/>
  <c r="J35" i="4"/>
  <c r="K35" i="4" s="1"/>
  <c r="J18" i="4"/>
  <c r="J20" i="4"/>
  <c r="J21" i="4"/>
  <c r="J17" i="4"/>
  <c r="I40" i="4"/>
  <c r="J40" i="4" s="1"/>
  <c r="H40" i="4"/>
  <c r="J34" i="4"/>
  <c r="G42" i="4"/>
  <c r="H42" i="4" s="1"/>
  <c r="G41" i="4"/>
  <c r="I41" i="4" s="1"/>
  <c r="H33" i="4"/>
  <c r="L27" i="4"/>
  <c r="H21" i="4"/>
  <c r="I19" i="4"/>
  <c r="J19" i="4" s="1"/>
  <c r="L19" i="4"/>
  <c r="R10" i="4" s="1"/>
  <c r="T10" i="4" s="1"/>
  <c r="U10" i="4" s="1"/>
  <c r="X20" i="4"/>
  <c r="Y20" i="4" s="1"/>
  <c r="I26" i="4"/>
  <c r="J26" i="4" s="1"/>
  <c r="R11" i="4"/>
  <c r="T11" i="4" s="1"/>
  <c r="U11" i="4" s="1"/>
  <c r="M27" i="4"/>
  <c r="H41" i="4"/>
  <c r="L35" i="4"/>
  <c r="I28" i="4"/>
  <c r="J28" i="4" s="1"/>
  <c r="X21" i="4"/>
  <c r="Y21" i="4" s="1"/>
  <c r="H17" i="4"/>
  <c r="H27" i="4"/>
  <c r="I27" i="4"/>
  <c r="H35" i="4"/>
  <c r="H18" i="4"/>
  <c r="J27" i="4" l="1"/>
  <c r="AZ37" i="4"/>
  <c r="AZ34" i="4"/>
  <c r="AZ30" i="4"/>
  <c r="AZ29" i="4"/>
  <c r="AZ36" i="4"/>
  <c r="AZ27" i="4"/>
  <c r="AZ28" i="4"/>
  <c r="AZ31" i="4"/>
  <c r="AZ35" i="4"/>
  <c r="BA35" i="4" s="1"/>
  <c r="J41" i="4"/>
  <c r="AZ17" i="4"/>
  <c r="AZ55" i="4"/>
  <c r="BA55" i="4" s="1"/>
  <c r="AZ18" i="4"/>
  <c r="AZ16" i="4"/>
  <c r="BA16" i="4" s="1"/>
  <c r="AZ20" i="4"/>
  <c r="AZ58" i="4"/>
  <c r="AZ56" i="4"/>
  <c r="AZ54" i="4"/>
  <c r="AZ57" i="4"/>
  <c r="AZ19" i="4"/>
  <c r="AZ47" i="4"/>
  <c r="AZ48" i="4"/>
  <c r="AZ46" i="4"/>
  <c r="AZ50" i="4"/>
  <c r="BA50" i="4" s="1"/>
  <c r="AZ9" i="4"/>
  <c r="AZ10" i="4"/>
  <c r="AZ12" i="4"/>
  <c r="AZ49" i="4"/>
  <c r="AZ11" i="4"/>
  <c r="AZ13" i="4"/>
  <c r="AK23" i="4"/>
  <c r="AK35" i="4"/>
  <c r="AK19" i="4"/>
  <c r="AK13" i="4"/>
  <c r="AK39" i="4"/>
  <c r="AK38" i="4"/>
  <c r="AK29" i="4"/>
  <c r="AK9" i="4"/>
  <c r="AK14" i="4"/>
  <c r="AK18" i="4"/>
  <c r="AK36" i="4"/>
  <c r="AK37" i="4"/>
  <c r="AK27" i="4"/>
  <c r="AK28" i="4"/>
  <c r="AK21" i="4"/>
  <c r="AK20" i="4"/>
  <c r="AK31" i="4"/>
  <c r="AK22" i="4"/>
  <c r="AK40" i="4"/>
  <c r="AK10" i="4"/>
  <c r="AK30" i="4"/>
  <c r="AK11" i="4"/>
  <c r="AK12" i="4"/>
  <c r="J11" i="4"/>
  <c r="J12" i="4"/>
  <c r="J13" i="4"/>
  <c r="K19" i="4"/>
  <c r="H34" i="4"/>
  <c r="J10" i="4"/>
  <c r="J9" i="4"/>
  <c r="J33" i="4"/>
  <c r="I42" i="4"/>
  <c r="J42" i="4" s="1"/>
  <c r="K42" i="4" s="1"/>
  <c r="L42" i="4"/>
  <c r="K27" i="4"/>
  <c r="M19" i="4"/>
  <c r="R12" i="4"/>
  <c r="T12" i="4" s="1"/>
  <c r="U12" i="4" s="1"/>
  <c r="M35" i="4"/>
  <c r="BA30" i="4" l="1"/>
  <c r="K12" i="4"/>
  <c r="AL38" i="4"/>
  <c r="AL22" i="4"/>
  <c r="BA12" i="4"/>
  <c r="AL30" i="4"/>
  <c r="AL13" i="4"/>
  <c r="M42" i="4"/>
  <c r="R13" i="4"/>
  <c r="T13" i="4" s="1"/>
  <c r="U13" i="4" s="1"/>
  <c r="F51" i="2" l="1"/>
  <c r="F47" i="2" s="1"/>
  <c r="F50" i="2" s="1"/>
  <c r="F46" i="2" s="1"/>
  <c r="F49" i="2" s="1"/>
  <c r="F45" i="2"/>
  <c r="F41" i="2"/>
  <c r="F37" i="2"/>
  <c r="F40" i="2" s="1"/>
  <c r="F36" i="2" s="1"/>
  <c r="F39" i="2" s="1"/>
  <c r="F35" i="2"/>
  <c r="F60" i="2"/>
  <c r="F56" i="2"/>
  <c r="F57" i="2"/>
  <c r="F58" i="2"/>
  <c r="F55" i="2"/>
  <c r="F61" i="2"/>
  <c r="F71" i="2"/>
  <c r="F69" i="2"/>
  <c r="F68" i="2"/>
  <c r="F67" i="2"/>
  <c r="F66" i="2"/>
  <c r="F65" i="2"/>
  <c r="F81" i="2"/>
  <c r="F79" i="2"/>
  <c r="F78" i="2"/>
  <c r="F77" i="2"/>
  <c r="F76" i="2"/>
  <c r="F75" i="2"/>
  <c r="F91" i="2"/>
  <c r="F89" i="2"/>
  <c r="F88" i="2"/>
  <c r="F87" i="2"/>
  <c r="F86" i="2"/>
  <c r="F85" i="2"/>
  <c r="F99" i="2"/>
  <c r="F96" i="2"/>
  <c r="F97" i="2"/>
  <c r="F98" i="2"/>
  <c r="F95" i="2"/>
  <c r="I93" i="3"/>
  <c r="I76" i="3"/>
  <c r="I84" i="3"/>
  <c r="I67" i="3"/>
  <c r="I58" i="3"/>
  <c r="F50" i="3"/>
  <c r="I39" i="3"/>
  <c r="I30" i="3"/>
  <c r="I21" i="3"/>
  <c r="F31" i="2" l="1"/>
  <c r="F27" i="2" s="1"/>
  <c r="F30" i="2" s="1"/>
  <c r="F25" i="2"/>
  <c r="J28" i="2"/>
  <c r="H28" i="2" l="1"/>
  <c r="F26" i="2"/>
  <c r="F29" i="2" s="1"/>
  <c r="J45" i="2"/>
  <c r="J55" i="2"/>
  <c r="J65" i="2"/>
  <c r="J75" i="2"/>
  <c r="J85" i="2"/>
  <c r="J95" i="2"/>
  <c r="J38" i="2"/>
  <c r="F101" i="2"/>
  <c r="H95" i="2"/>
  <c r="H85" i="2"/>
  <c r="H75" i="2"/>
  <c r="H65" i="2"/>
  <c r="H55" i="2"/>
  <c r="H45" i="2"/>
  <c r="H38" i="2"/>
  <c r="I6" i="2"/>
  <c r="I7" i="2"/>
  <c r="I8" i="2"/>
  <c r="I9" i="2"/>
  <c r="I10" i="2"/>
  <c r="I11" i="2"/>
  <c r="D1" i="2"/>
  <c r="D2" i="2"/>
  <c r="F23" i="3" l="1"/>
  <c r="F22" i="3"/>
  <c r="F21" i="3"/>
  <c r="F20" i="3"/>
  <c r="F18" i="3"/>
  <c r="F29" i="3"/>
  <c r="F30" i="3"/>
  <c r="F31" i="3"/>
  <c r="G30" i="3" s="1"/>
  <c r="F41" i="3"/>
  <c r="F40" i="3"/>
  <c r="F39" i="3"/>
  <c r="F37" i="3"/>
  <c r="F36" i="3"/>
  <c r="F51" i="3"/>
  <c r="F49" i="3"/>
  <c r="F48" i="3"/>
  <c r="F46" i="3"/>
  <c r="F45" i="3"/>
  <c r="F60" i="3"/>
  <c r="F59" i="3"/>
  <c r="F58" i="3"/>
  <c r="F56" i="3"/>
  <c r="F55" i="3"/>
  <c r="F69" i="3"/>
  <c r="F68" i="3"/>
  <c r="F67" i="3"/>
  <c r="F65" i="3"/>
  <c r="F64" i="3"/>
  <c r="F78" i="3"/>
  <c r="F77" i="3"/>
  <c r="F76" i="3"/>
  <c r="F74" i="3"/>
  <c r="F73" i="3"/>
  <c r="F87" i="3"/>
  <c r="F86" i="3"/>
  <c r="F85" i="3"/>
  <c r="G84" i="3" s="1"/>
  <c r="F83" i="3"/>
  <c r="F82" i="3"/>
  <c r="F94" i="3"/>
  <c r="G93" i="3" s="1"/>
  <c r="F95" i="3"/>
  <c r="F92" i="3"/>
  <c r="G48" i="3" l="1"/>
  <c r="G76" i="3"/>
  <c r="G21" i="3"/>
  <c r="G39" i="3"/>
  <c r="G67" i="3"/>
  <c r="G58" i="3"/>
  <c r="F96" i="3"/>
  <c r="F91" i="3"/>
  <c r="F32" i="3"/>
  <c r="F27" i="3"/>
  <c r="C7" i="3"/>
  <c r="B4" i="3"/>
  <c r="F7" i="2"/>
  <c r="G7" i="2" s="1"/>
  <c r="B7" i="2"/>
  <c r="H7" i="2" s="1"/>
  <c r="J7" i="2" s="1"/>
  <c r="I19" i="2" s="1"/>
  <c r="F5" i="2"/>
  <c r="G5" i="2" s="1"/>
  <c r="F10" i="2"/>
  <c r="G10" i="2" s="1"/>
  <c r="B10" i="2"/>
  <c r="H10" i="2" s="1"/>
  <c r="J10" i="2" s="1"/>
  <c r="B5" i="2"/>
  <c r="I28" i="2" l="1"/>
  <c r="I38" i="2"/>
  <c r="I55" i="2"/>
  <c r="I95" i="2"/>
  <c r="I45" i="2"/>
  <c r="I75" i="2"/>
  <c r="I65" i="2"/>
  <c r="I85" i="2"/>
  <c r="D7" i="3"/>
  <c r="B11" i="2"/>
  <c r="H11" i="2" s="1"/>
  <c r="J11" i="2" s="1"/>
  <c r="F8" i="2"/>
  <c r="G8" i="2" s="1"/>
  <c r="F9" i="2"/>
  <c r="G9" i="2" s="1"/>
  <c r="F11" i="2"/>
  <c r="G11" i="2" s="1"/>
  <c r="B8" i="2"/>
  <c r="H8" i="2" s="1"/>
  <c r="J8" i="2" s="1"/>
  <c r="B9" i="2"/>
  <c r="H9" i="2" s="1"/>
  <c r="J9" i="2" s="1"/>
  <c r="B6" i="2"/>
  <c r="H6" i="2" s="1"/>
  <c r="J6" i="2" s="1"/>
  <c r="F6" i="2"/>
  <c r="G6" i="2" s="1"/>
  <c r="H24" i="3" l="1"/>
  <c r="H88" i="3"/>
  <c r="H79" i="3"/>
  <c r="H70" i="3"/>
  <c r="H52" i="3"/>
  <c r="H42" i="3"/>
  <c r="H97" i="3"/>
  <c r="H61" i="3"/>
  <c r="H33" i="3"/>
  <c r="H84" i="3"/>
  <c r="H48" i="3"/>
  <c r="H76" i="3"/>
  <c r="H93" i="3"/>
  <c r="H67" i="3"/>
  <c r="H58" i="3"/>
  <c r="H21" i="3"/>
  <c r="H30" i="3"/>
  <c r="H39" i="3"/>
  <c r="F43" i="7"/>
  <c r="G43" i="7" s="1"/>
  <c r="F28" i="7"/>
  <c r="G28" i="7" s="1"/>
  <c r="F45" i="7"/>
  <c r="G45" i="7" s="1"/>
  <c r="F30" i="7"/>
  <c r="G30" i="7" s="1"/>
  <c r="F42" i="7"/>
  <c r="G42" i="7" s="1"/>
  <c r="F33" i="7"/>
  <c r="G33" i="7" s="1"/>
  <c r="F41" i="7"/>
  <c r="G41" i="7" s="1"/>
  <c r="F52" i="7"/>
  <c r="G52" i="7" s="1"/>
  <c r="F55" i="7"/>
  <c r="G55" i="7" s="1"/>
  <c r="F56" i="7"/>
  <c r="G56" i="7" s="1"/>
  <c r="F29" i="7"/>
  <c r="G29" i="7" s="1"/>
  <c r="F32" i="7"/>
  <c r="G32" i="7" s="1"/>
  <c r="F44" i="7"/>
  <c r="G44" i="7" s="1"/>
  <c r="F53" i="7"/>
  <c r="F31" i="7"/>
  <c r="F54" i="7"/>
  <c r="G54" i="7" s="1"/>
  <c r="H42" i="7" l="1"/>
  <c r="H30" i="7"/>
  <c r="H53" i="7"/>
  <c r="G53" i="7"/>
  <c r="G31" i="7"/>
  <c r="V17" i="8"/>
  <c r="W17" i="8" s="1"/>
  <c r="V19" i="8"/>
  <c r="W19" i="8" s="1"/>
  <c r="X21" i="8"/>
  <c r="V18" i="8"/>
  <c r="W18" i="8" s="1"/>
  <c r="BT16" i="7"/>
  <c r="BT17" i="7"/>
  <c r="J53" i="7" l="1"/>
  <c r="I53" i="7"/>
  <c r="J30" i="7"/>
  <c r="I30" i="7"/>
  <c r="J42" i="7"/>
  <c r="I42" i="7"/>
  <c r="J19" i="7"/>
  <c r="I19" i="7"/>
  <c r="Z21" i="8"/>
  <c r="Y21" i="8"/>
  <c r="BW17" i="7" l="1"/>
  <c r="BV17" i="7"/>
  <c r="G32" i="8"/>
  <c r="F32" i="8" s="1"/>
  <c r="G34" i="8"/>
  <c r="F34" i="8" s="1"/>
  <c r="H34" i="8" s="1"/>
  <c r="F33" i="8"/>
  <c r="BT27" i="7"/>
  <c r="BS27" i="7" s="1"/>
  <c r="BT30" i="7"/>
  <c r="BS30" i="7"/>
  <c r="BS28" i="7"/>
  <c r="BT29" i="7"/>
  <c r="BS29" i="7"/>
  <c r="BU28" i="7" s="1"/>
  <c r="BW28" i="7" s="1"/>
  <c r="J34" i="8" l="1"/>
  <c r="I34" i="8"/>
  <c r="V61" i="8"/>
</calcChain>
</file>

<file path=xl/sharedStrings.xml><?xml version="1.0" encoding="utf-8"?>
<sst xmlns="http://schemas.openxmlformats.org/spreadsheetml/2006/main" count="1089" uniqueCount="126">
  <si>
    <t>Na</t>
  </si>
  <si>
    <t>Cl</t>
  </si>
  <si>
    <t>total</t>
  </si>
  <si>
    <t>U</t>
  </si>
  <si>
    <t>mass of UCl3</t>
  </si>
  <si>
    <t>g/mol</t>
  </si>
  <si>
    <t># molecules</t>
  </si>
  <si>
    <t># atoms</t>
  </si>
  <si>
    <t># moles</t>
  </si>
  <si>
    <t>total mass</t>
  </si>
  <si>
    <t>total mass (g)</t>
  </si>
  <si>
    <t>E</t>
  </si>
  <si>
    <t>KE</t>
  </si>
  <si>
    <t>P</t>
  </si>
  <si>
    <t>V</t>
  </si>
  <si>
    <t>Voll fit</t>
  </si>
  <si>
    <t>Density</t>
  </si>
  <si>
    <t>Energy Fit</t>
  </si>
  <si>
    <t>T</t>
  </si>
  <si>
    <t>NaCl</t>
  </si>
  <si>
    <t>UCl3</t>
  </si>
  <si>
    <t>mass/mol</t>
  </si>
  <si>
    <t>U mol %</t>
  </si>
  <si>
    <t>NaCl-33UCl3</t>
  </si>
  <si>
    <t>linear</t>
  </si>
  <si>
    <t>scale</t>
  </si>
  <si>
    <t>Lx</t>
  </si>
  <si>
    <t>V in cc</t>
  </si>
  <si>
    <t>density g/cc</t>
  </si>
  <si>
    <t>density fit</t>
  </si>
  <si>
    <t>vol fit</t>
  </si>
  <si>
    <t>Lx fit</t>
  </si>
  <si>
    <t>Energy fit</t>
  </si>
  <si>
    <t>Bulk Modulus</t>
  </si>
  <si>
    <t>-V*dP/dV</t>
  </si>
  <si>
    <t>kbar</t>
  </si>
  <si>
    <t>eV/K</t>
  </si>
  <si>
    <t>J/mol-K</t>
  </si>
  <si>
    <t>Vol</t>
  </si>
  <si>
    <t>Energy</t>
  </si>
  <si>
    <t>TE</t>
  </si>
  <si>
    <t>Cp</t>
  </si>
  <si>
    <t>E/mol</t>
  </si>
  <si>
    <t>Vol/mol</t>
  </si>
  <si>
    <t>Mg</t>
  </si>
  <si>
    <t>molar mass of NaCl</t>
  </si>
  <si>
    <t>in my system, 162 atoms, 81 individual molecules</t>
  </si>
  <si>
    <t>moles</t>
  </si>
  <si>
    <t>Compressibility</t>
  </si>
  <si>
    <t>Gpa</t>
  </si>
  <si>
    <t>polyfit</t>
  </si>
  <si>
    <t>Bulk Mod</t>
  </si>
  <si>
    <t>Compressibility (Gpa)</t>
  </si>
  <si>
    <t>redoing 1300K</t>
  </si>
  <si>
    <t>Vol fit</t>
  </si>
  <si>
    <t>molecules</t>
  </si>
  <si>
    <t>density (g/cc)</t>
  </si>
  <si>
    <t>Denyatnik Expt</t>
  </si>
  <si>
    <t>Janz</t>
  </si>
  <si>
    <t>Frac UCl3</t>
  </si>
  <si>
    <t>Volume/molecule</t>
  </si>
  <si>
    <t>Energy/molecule</t>
  </si>
  <si>
    <t>density</t>
  </si>
  <si>
    <t>Desyatnik</t>
  </si>
  <si>
    <t>Cp (eV/K)</t>
  </si>
  <si>
    <t>Cp (J/mol-K)</t>
  </si>
  <si>
    <t>Cp (J/g-K)</t>
  </si>
  <si>
    <t>VdW+U</t>
  </si>
  <si>
    <t>V/mol</t>
  </si>
  <si>
    <t>Heat Capacity (/mol-K)</t>
  </si>
  <si>
    <t>Compressibility (1/Gpa)</t>
  </si>
  <si>
    <t>Formation Enthalpy (eV/molecule)</t>
  </si>
  <si>
    <t>VdW</t>
  </si>
  <si>
    <t>Na_s</t>
  </si>
  <si>
    <t>vdW+U</t>
  </si>
  <si>
    <t>ENCUT 400</t>
  </si>
  <si>
    <t>VdW+U2</t>
  </si>
  <si>
    <t>VdW+U4</t>
  </si>
  <si>
    <t>VdW+U3</t>
  </si>
  <si>
    <t>vdw+U</t>
  </si>
  <si>
    <t>vdw Na_s</t>
  </si>
  <si>
    <t>vdw 400</t>
  </si>
  <si>
    <t>vdw+U2</t>
  </si>
  <si>
    <t>vdw+U3</t>
  </si>
  <si>
    <t>vdw+U4</t>
  </si>
  <si>
    <t>vdw+U5</t>
  </si>
  <si>
    <t>Na_400</t>
  </si>
  <si>
    <t>vdW+U2</t>
  </si>
  <si>
    <t>vdW+U4</t>
  </si>
  <si>
    <t>vdW+U3</t>
  </si>
  <si>
    <t>Na_500</t>
  </si>
  <si>
    <t>Experimental Density</t>
  </si>
  <si>
    <t>fraction UCl3</t>
  </si>
  <si>
    <t>Janz_alt</t>
  </si>
  <si>
    <t>Janz states a range from 980-1270  K</t>
  </si>
  <si>
    <t>1220-1300</t>
  </si>
  <si>
    <t>1080-1300</t>
  </si>
  <si>
    <t>Encut 400 pv</t>
  </si>
  <si>
    <t>vdW 400</t>
  </si>
  <si>
    <t>U1</t>
  </si>
  <si>
    <t>U4</t>
  </si>
  <si>
    <t>U0</t>
  </si>
  <si>
    <t>400 U0</t>
  </si>
  <si>
    <t>400 U1</t>
  </si>
  <si>
    <t>400 U4</t>
  </si>
  <si>
    <t>VdW+U2 400</t>
  </si>
  <si>
    <t>VdW+U3 400</t>
  </si>
  <si>
    <t>VdW+U4 400</t>
  </si>
  <si>
    <t>VdW+U 400</t>
  </si>
  <si>
    <t>vdw+U 400</t>
  </si>
  <si>
    <t>vdw+U4 400</t>
  </si>
  <si>
    <t>vdw Na_s 400</t>
  </si>
  <si>
    <t>pv</t>
  </si>
  <si>
    <t>pv 400</t>
  </si>
  <si>
    <t>s</t>
  </si>
  <si>
    <t>s400</t>
  </si>
  <si>
    <t>Na_s 400</t>
  </si>
  <si>
    <t>approx</t>
  </si>
  <si>
    <t>U0 400</t>
  </si>
  <si>
    <t>U1 400</t>
  </si>
  <si>
    <t>U4 400</t>
  </si>
  <si>
    <t>U0 s</t>
  </si>
  <si>
    <t>U0 s 400</t>
  </si>
  <si>
    <t>pv 500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</si>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</sst>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0" xfId="0" applyNumberFormat="1"/>
    <xf numFmtId="165" fontId="1" fillId="0" borderId="0" xfId="0" applyNumberFormat="1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11" fontId="0" fillId="0" borderId="1" xfId="0" applyNumberFormat="1" applyBorder="1"/>
    <xf numFmtId="0" fontId="4" fillId="0" borderId="0" xfId="0" applyFont="1"/>
    <xf numFmtId="2" fontId="4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166" fontId="0" fillId="0" borderId="0" xfId="0" applyNumberFormat="1"/>
    <xf numFmtId="164" fontId="4" fillId="0" borderId="0" xfId="0" applyNumberFormat="1" applyFont="1"/>
    <xf numFmtId="2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501990376202974"/>
                  <c:y val="-0.688432487605715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NaCl!$G$17:$G$21</c:f>
              <c:numCache>
                <c:formatCode>General</c:formatCode>
                <c:ptCount val="5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  <c:pt idx="4">
                  <c:v>5687.4169310399993</c:v>
                </c:pt>
              </c:numCache>
            </c:numRef>
          </c:xVal>
          <c:yVal>
            <c:numRef>
              <c:f>NaCl!$F$17:$F$21</c:f>
              <c:numCache>
                <c:formatCode>General</c:formatCode>
                <c:ptCount val="5"/>
                <c:pt idx="0">
                  <c:v>5.220116</c:v>
                </c:pt>
                <c:pt idx="1">
                  <c:v>2.8218830000000001</c:v>
                </c:pt>
                <c:pt idx="2">
                  <c:v>1.2173499999999999</c:v>
                </c:pt>
                <c:pt idx="3">
                  <c:v>-0.45123799999999997</c:v>
                </c:pt>
                <c:pt idx="4">
                  <c:v>-2.1589999999999998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6-024B-9598-67FA504E84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4643482064742"/>
                  <c:y val="-0.690365995917177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NaCl!$G$26:$G$29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NaCl!$F$26:$F$29</c:f>
              <c:numCache>
                <c:formatCode>General</c:formatCode>
                <c:ptCount val="4"/>
                <c:pt idx="0">
                  <c:v>3.9115624999999974</c:v>
                </c:pt>
                <c:pt idx="1">
                  <c:v>1.6068712499999975</c:v>
                </c:pt>
                <c:pt idx="2">
                  <c:v>-0.108003853658536</c:v>
                </c:pt>
                <c:pt idx="3">
                  <c:v>-1.46102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6-024B-9598-67FA504E84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201465441819771"/>
                  <c:y val="-0.56389617964421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NaCl!$G$33:$G$36</c:f>
              <c:numCache>
                <c:formatCode>General</c:formatCode>
                <c:ptCount val="4"/>
                <c:pt idx="0">
                  <c:v>4725.5625075409998</c:v>
                </c:pt>
                <c:pt idx="1">
                  <c:v>4873.2258186640001</c:v>
                </c:pt>
                <c:pt idx="2">
                  <c:v>5023.9336273830004</c:v>
                </c:pt>
                <c:pt idx="3">
                  <c:v>5177.7170000000006</c:v>
                </c:pt>
              </c:numCache>
            </c:numRef>
          </c:xVal>
          <c:yVal>
            <c:numRef>
              <c:f>NaCl!$F$33:$F$36</c:f>
              <c:numCache>
                <c:formatCode>General</c:formatCode>
                <c:ptCount val="4"/>
                <c:pt idx="0">
                  <c:v>4.3089029999999999</c:v>
                </c:pt>
                <c:pt idx="1">
                  <c:v>2.1333687499999971</c:v>
                </c:pt>
                <c:pt idx="2">
                  <c:v>0.126773</c:v>
                </c:pt>
                <c:pt idx="3">
                  <c:v>-1.2259789999999999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26-024B-9598-67FA504E846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039479440069992"/>
                  <c:y val="-0.387842300962379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NaCl!$G$40:$G$43</c:f>
              <c:numCache>
                <c:formatCode>General</c:formatCode>
                <c:ptCount val="4"/>
                <c:pt idx="0">
                  <c:v>4547.4040634211815</c:v>
                </c:pt>
                <c:pt idx="1">
                  <c:v>4689.5003196758407</c:v>
                </c:pt>
                <c:pt idx="2">
                  <c:v>4834.5262929148867</c:v>
                </c:pt>
                <c:pt idx="3">
                  <c:v>4982.5118782095906</c:v>
                </c:pt>
              </c:numCache>
            </c:numRef>
          </c:xVal>
          <c:yVal>
            <c:numRef>
              <c:f>NaCl!$F$40:$F$43</c:f>
              <c:numCache>
                <c:formatCode>General</c:formatCode>
                <c:ptCount val="4"/>
                <c:pt idx="0">
                  <c:v>6.0660540000000003</c:v>
                </c:pt>
                <c:pt idx="1">
                  <c:v>3.262632</c:v>
                </c:pt>
                <c:pt idx="2">
                  <c:v>1.3344</c:v>
                </c:pt>
                <c:pt idx="3">
                  <c:v>-0.8383112499999994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26-024B-9598-67FA504E846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077362204724409"/>
                  <c:y val="-0.27681722076407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NaCl!$G$9:$G$13</c:f>
              <c:numCache>
                <c:formatCode>General</c:formatCode>
                <c:ptCount val="5"/>
                <c:pt idx="0">
                  <c:v>4741.63</c:v>
                </c:pt>
                <c:pt idx="1">
                  <c:v>5044.1987473777472</c:v>
                </c:pt>
                <c:pt idx="2">
                  <c:v>5200.1940097045899</c:v>
                </c:pt>
                <c:pt idx="3">
                  <c:v>5359.3727394386588</c:v>
                </c:pt>
                <c:pt idx="4">
                  <c:v>5521.7670928163907</c:v>
                </c:pt>
              </c:numCache>
            </c:numRef>
          </c:xVal>
          <c:yVal>
            <c:numRef>
              <c:f>NaCl!$F$9:$F$13</c:f>
              <c:numCache>
                <c:formatCode>General</c:formatCode>
                <c:ptCount val="5"/>
                <c:pt idx="0">
                  <c:v>8.4335026666666693</c:v>
                </c:pt>
                <c:pt idx="1">
                  <c:v>3.8971893333333298</c:v>
                </c:pt>
                <c:pt idx="2">
                  <c:v>1.70618133333333</c:v>
                </c:pt>
                <c:pt idx="3">
                  <c:v>0.631697333333334</c:v>
                </c:pt>
                <c:pt idx="4">
                  <c:v>-0.61530799999999997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41-074F-BA4F-ED673DFD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4287"/>
        <c:axId val="1798917615"/>
      </c:scatterChart>
      <c:valAx>
        <c:axId val="1712624287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17615"/>
        <c:crosses val="autoZero"/>
        <c:crossBetween val="midCat"/>
      </c:valAx>
      <c:valAx>
        <c:axId val="17989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'NaCl-33UCl3'!$I$64:$M$64</c:f>
              <c:strCache>
                <c:ptCount val="5"/>
                <c:pt idx="3">
                  <c:v>U3</c:v>
                </c:pt>
                <c:pt idx="4">
                  <c:v>U4</c:v>
                </c:pt>
              </c:strCache>
            </c:strRef>
          </c:cat>
          <c:val>
            <c:numRef>
              <c:f>'NaCl-33UCl3'!$I$65:$M$65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2.8198524997652195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5-A34F-9884-6BEBEAA5EB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'NaCl-33UCl3'!$I$64:$M$64</c:f>
              <c:strCache>
                <c:ptCount val="5"/>
                <c:pt idx="3">
                  <c:v>U3</c:v>
                </c:pt>
                <c:pt idx="4">
                  <c:v>U4</c:v>
                </c:pt>
              </c:strCache>
            </c:strRef>
          </c:cat>
          <c:val>
            <c:numRef>
              <c:f>'NaCl-33UCl3'!$I$66:$M$66</c:f>
              <c:numCache>
                <c:formatCode>General</c:formatCode>
                <c:ptCount val="5"/>
                <c:pt idx="0">
                  <c:v>2.7838062593559969</c:v>
                </c:pt>
                <c:pt idx="1">
                  <c:v>2.7659426145492829</c:v>
                </c:pt>
                <c:pt idx="2">
                  <c:v>2.8071041756568049</c:v>
                </c:pt>
                <c:pt idx="4">
                  <c:v>2.9935667658944904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5-A34F-9884-6BEBEAA5E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05551"/>
        <c:axId val="1874985887"/>
      </c:lineChart>
      <c:catAx>
        <c:axId val="18685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85887"/>
        <c:crosses val="autoZero"/>
        <c:auto val="1"/>
        <c:lblAlgn val="ctr"/>
        <c:lblOffset val="100"/>
        <c:noMultiLvlLbl val="0"/>
      </c:catAx>
      <c:valAx>
        <c:axId val="187498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0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91251093613299E-3"/>
                  <c:y val="-0.5305825313502479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'NaCl-33UCl3'!$AT$39:$AT$41</c:f>
              <c:numCache>
                <c:formatCode>0.0000</c:formatCode>
                <c:ptCount val="3"/>
                <c:pt idx="0">
                  <c:v>6418.5010964177281</c:v>
                </c:pt>
                <c:pt idx="1">
                  <c:v>6609.1373675898185</c:v>
                </c:pt>
                <c:pt idx="2">
                  <c:v>6803.5114862692653</c:v>
                </c:pt>
              </c:numCache>
            </c:numRef>
          </c:xVal>
          <c:yVal>
            <c:numRef>
              <c:f>'NaCl-33UCl3'!$AS$39:$AS$41</c:f>
              <c:numCache>
                <c:formatCode>General</c:formatCode>
                <c:ptCount val="3"/>
                <c:pt idx="0">
                  <c:v>5.2800517363933848</c:v>
                </c:pt>
                <c:pt idx="1">
                  <c:v>3.6179303861679402</c:v>
                </c:pt>
                <c:pt idx="2">
                  <c:v>1.7704501774079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A-514D-8382-B51D1282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5312"/>
        <c:axId val="1709436495"/>
      </c:scatterChart>
      <c:valAx>
        <c:axId val="3560531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36495"/>
        <c:crosses val="autoZero"/>
        <c:crossBetween val="midCat"/>
      </c:valAx>
      <c:valAx>
        <c:axId val="170943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20166229221348"/>
                  <c:y val="-0.7371416593759113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'UCl3'!$F$16:$F$20</c:f>
              <c:numCache>
                <c:formatCode>0.000</c:formatCode>
                <c:ptCount val="5"/>
                <c:pt idx="0">
                  <c:v>4937.3160059519987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'UCl3'!$E$16:$E$20</c:f>
              <c:numCache>
                <c:formatCode>General</c:formatCode>
                <c:ptCount val="5"/>
                <c:pt idx="0">
                  <c:v>11.1465453333333</c:v>
                </c:pt>
                <c:pt idx="1">
                  <c:v>7.9640800000000098</c:v>
                </c:pt>
                <c:pt idx="2">
                  <c:v>4.4624759999999997</c:v>
                </c:pt>
                <c:pt idx="3">
                  <c:v>1.116652</c:v>
                </c:pt>
                <c:pt idx="4">
                  <c:v>-1.1893146666666701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8-8148-BA52-5697F04F85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5863079615048115E-2"/>
                  <c:y val="-0.6542053076698746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'UCl3'!$F$28:$F$32</c:f>
              <c:numCache>
                <c:formatCode>0.00</c:formatCode>
                <c:ptCount val="5"/>
                <c:pt idx="0">
                  <c:v>4937.3160059520014</c:v>
                </c:pt>
                <c:pt idx="1">
                  <c:v>5088.4479999999976</c:v>
                </c:pt>
                <c:pt idx="2">
                  <c:v>5242.6330628479982</c:v>
                </c:pt>
                <c:pt idx="3">
                  <c:v>5399.9017251839996</c:v>
                </c:pt>
                <c:pt idx="4">
                  <c:v>5560.284517696</c:v>
                </c:pt>
              </c:numCache>
            </c:numRef>
          </c:xVal>
          <c:yVal>
            <c:numRef>
              <c:f>'UCl3'!$E$28:$E$32</c:f>
              <c:numCache>
                <c:formatCode>General</c:formatCode>
                <c:ptCount val="5"/>
                <c:pt idx="0">
                  <c:v>10.4188733333333</c:v>
                </c:pt>
                <c:pt idx="1">
                  <c:v>6.1217600000000001</c:v>
                </c:pt>
                <c:pt idx="2">
                  <c:v>3.7435386666666601</c:v>
                </c:pt>
                <c:pt idx="3">
                  <c:v>-0.33006342799597199</c:v>
                </c:pt>
                <c:pt idx="4">
                  <c:v>-2.4206185163177998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8-8148-BA52-5697F04F854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036942257217847"/>
                  <c:y val="-0.47227653834937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'UCl3'!$F$40:$F$43</c:f>
              <c:numCache>
                <c:formatCode>0.00</c:formatCode>
                <c:ptCount val="4"/>
                <c:pt idx="0">
                  <c:v>4937.3160059520014</c:v>
                </c:pt>
                <c:pt idx="1">
                  <c:v>5088.4479999999976</c:v>
                </c:pt>
                <c:pt idx="2">
                  <c:v>5242.6330628479982</c:v>
                </c:pt>
                <c:pt idx="3">
                  <c:v>5399.9017251839996</c:v>
                </c:pt>
              </c:numCache>
            </c:numRef>
          </c:xVal>
          <c:yVal>
            <c:numRef>
              <c:f>'UCl3'!$E$40:$E$43</c:f>
              <c:numCache>
                <c:formatCode>General</c:formatCode>
                <c:ptCount val="4"/>
                <c:pt idx="0">
                  <c:v>9.0789080000000002</c:v>
                </c:pt>
                <c:pt idx="1">
                  <c:v>5.2613479885550802</c:v>
                </c:pt>
                <c:pt idx="2">
                  <c:v>1.62017733333333</c:v>
                </c:pt>
                <c:pt idx="3">
                  <c:v>-1.77084666666667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8-8148-BA52-5697F04F854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7596675415573052"/>
                  <c:y val="-0.4178933362496354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'UCl3'!$F$52:$F$55</c:f>
              <c:numCache>
                <c:formatCode>0.00</c:formatCode>
                <c:ptCount val="4"/>
                <c:pt idx="0">
                  <c:v>4937.3160059520014</c:v>
                </c:pt>
                <c:pt idx="1">
                  <c:v>5088.4479999999976</c:v>
                </c:pt>
                <c:pt idx="2">
                  <c:v>5242.6330628479982</c:v>
                </c:pt>
                <c:pt idx="3">
                  <c:v>5399.9017251839996</c:v>
                </c:pt>
              </c:numCache>
            </c:numRef>
          </c:xVal>
          <c:yVal>
            <c:numRef>
              <c:f>'UCl3'!$E$52:$E$55</c:f>
              <c:numCache>
                <c:formatCode>General</c:formatCode>
                <c:ptCount val="4"/>
                <c:pt idx="0">
                  <c:v>8.0376759999999994</c:v>
                </c:pt>
                <c:pt idx="1">
                  <c:v>3.8244213333333299</c:v>
                </c:pt>
                <c:pt idx="2">
                  <c:v>-7.7112535279804995E-2</c:v>
                </c:pt>
                <c:pt idx="3">
                  <c:v>-3.3407973333333301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E8-8148-BA52-5697F04F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8831"/>
        <c:axId val="1193750287"/>
      </c:scatterChart>
      <c:valAx>
        <c:axId val="707388831"/>
        <c:scaling>
          <c:orientation val="minMax"/>
          <c:min val="45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50287"/>
        <c:crosses val="autoZero"/>
        <c:crossBetween val="midCat"/>
      </c:valAx>
      <c:valAx>
        <c:axId val="119375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684245461052908"/>
                  <c:y val="0.16531848480576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'UCl3'!$N$17:$N$20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'UCl3'!$O$17:$O$20</c:f>
              <c:numCache>
                <c:formatCode>General</c:formatCode>
                <c:ptCount val="4"/>
                <c:pt idx="0">
                  <c:v>4.1775925516374537</c:v>
                </c:pt>
                <c:pt idx="1">
                  <c:v>4.2250301332337798</c:v>
                </c:pt>
                <c:pt idx="2">
                  <c:v>4.3046697019440439</c:v>
                </c:pt>
                <c:pt idx="3">
                  <c:v>4.3579574924952675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E-4E4E-BCB7-E416A0C418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1704952170235"/>
                  <c:y val="-0.18857200394707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'UCl3'!$M$3:$M$9</c:f>
              <c:numCache>
                <c:formatCode>General</c:formatCode>
                <c:ptCount val="7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</c:numCache>
            </c:numRef>
          </c:xVal>
          <c:yVal>
            <c:numRef>
              <c:f>'UCl3'!$N$3:$N$9</c:f>
              <c:numCache>
                <c:formatCode>General</c:formatCode>
                <c:ptCount val="7"/>
                <c:pt idx="0">
                  <c:v>4.7002799999999993</c:v>
                </c:pt>
                <c:pt idx="1">
                  <c:v>4.6241699999999994</c:v>
                </c:pt>
                <c:pt idx="2">
                  <c:v>4.5480599999999995</c:v>
                </c:pt>
                <c:pt idx="3">
                  <c:v>4.4719499999999996</c:v>
                </c:pt>
                <c:pt idx="4">
                  <c:v>4.3958399999999997</c:v>
                </c:pt>
                <c:pt idx="5">
                  <c:v>4.3197299999999998</c:v>
                </c:pt>
                <c:pt idx="6">
                  <c:v>4.2436199999999999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E-4E4E-BCB7-E416A0C418C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58306761241617"/>
                  <c:y val="-8.2284874237267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'UCl3'!$M$5:$M$7</c:f>
              <c:numCache>
                <c:formatCode>General</c:formatCode>
                <c:ptCount val="3"/>
                <c:pt idx="0">
                  <c:v>1200</c:v>
                </c:pt>
                <c:pt idx="1">
                  <c:v>1250</c:v>
                </c:pt>
                <c:pt idx="2">
                  <c:v>1300</c:v>
                </c:pt>
              </c:numCache>
            </c:numRef>
          </c:xVal>
          <c:yVal>
            <c:numRef>
              <c:f>'UCl3'!$O$5:$O$7</c:f>
              <c:numCache>
                <c:formatCode>General</c:formatCode>
                <c:ptCount val="3"/>
                <c:pt idx="0">
                  <c:v>4.1203999999999983</c:v>
                </c:pt>
                <c:pt idx="1">
                  <c:v>3.7232499999999984</c:v>
                </c:pt>
                <c:pt idx="2">
                  <c:v>3.3260999999999985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E-4E4E-BCB7-E416A0C41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223968"/>
        <c:axId val="722622143"/>
      </c:scatterChart>
      <c:valAx>
        <c:axId val="1743223968"/>
        <c:scaling>
          <c:orientation val="minMax"/>
          <c:min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22143"/>
        <c:crosses val="autoZero"/>
        <c:crossBetween val="midCat"/>
      </c:valAx>
      <c:valAx>
        <c:axId val="722622143"/>
        <c:scaling>
          <c:orientation val="minMax"/>
          <c:min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'UCl3'!$F$15:$F$20</c:f>
              <c:numCache>
                <c:formatCode>0.000</c:formatCode>
                <c:ptCount val="6"/>
                <c:pt idx="0">
                  <c:v>4789.2065500159979</c:v>
                </c:pt>
                <c:pt idx="1">
                  <c:v>4937.3160059519987</c:v>
                </c:pt>
                <c:pt idx="2">
                  <c:v>5088.4479999999994</c:v>
                </c:pt>
                <c:pt idx="3">
                  <c:v>5242.633062848</c:v>
                </c:pt>
                <c:pt idx="4">
                  <c:v>5399.9017251840005</c:v>
                </c:pt>
                <c:pt idx="5">
                  <c:v>5560.2845176960009</c:v>
                </c:pt>
              </c:numCache>
            </c:numRef>
          </c:xVal>
          <c:yVal>
            <c:numRef>
              <c:f>'UCl3'!$E$15:$E$20</c:f>
              <c:numCache>
                <c:formatCode>General</c:formatCode>
                <c:ptCount val="6"/>
                <c:pt idx="1">
                  <c:v>11.1465453333333</c:v>
                </c:pt>
                <c:pt idx="2">
                  <c:v>7.9640800000000098</c:v>
                </c:pt>
                <c:pt idx="3">
                  <c:v>4.4624759999999997</c:v>
                </c:pt>
                <c:pt idx="4">
                  <c:v>1.116652</c:v>
                </c:pt>
                <c:pt idx="5">
                  <c:v>-1.1893146666666701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0-DA4E-BEE6-3BD5DC0FAEB4}"/>
            </c:ext>
          </c:extLst>
        </c:ser>
        <c:ser>
          <c:idx val="1"/>
          <c:order val="1"/>
          <c:tx>
            <c:v>U1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'UCl3'!$AC$14:$AC$18</c:f>
              <c:numCache>
                <c:formatCode>0.000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'UCl3'!$AB$14:$AB$18</c:f>
              <c:numCache>
                <c:formatCode>General</c:formatCode>
                <c:ptCount val="5"/>
                <c:pt idx="0">
                  <c:v>18.027567999999999</c:v>
                </c:pt>
                <c:pt idx="1">
                  <c:v>9.1893266666666698</c:v>
                </c:pt>
                <c:pt idx="2">
                  <c:v>3.6160653333333399</c:v>
                </c:pt>
                <c:pt idx="3">
                  <c:v>1.51973333333333</c:v>
                </c:pt>
                <c:pt idx="4">
                  <c:v>-1.061364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0-DA4E-BEE6-3BD5DC0FAEB4}"/>
            </c:ext>
          </c:extLst>
        </c:ser>
        <c:ser>
          <c:idx val="2"/>
          <c:order val="2"/>
          <c:tx>
            <c:v>U2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'UCl3'!$AQ$14:$AQ$18</c:f>
              <c:numCache>
                <c:formatCode>0.00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'UCl3'!$AP$14:$AP$18</c:f>
              <c:numCache>
                <c:formatCode>General</c:formatCode>
                <c:ptCount val="5"/>
                <c:pt idx="0">
                  <c:v>17.857573333333299</c:v>
                </c:pt>
                <c:pt idx="1">
                  <c:v>7.67809866666666</c:v>
                </c:pt>
                <c:pt idx="2">
                  <c:v>3.5509919999999999</c:v>
                </c:pt>
                <c:pt idx="3">
                  <c:v>0.42905066666666802</c:v>
                </c:pt>
                <c:pt idx="4">
                  <c:v>-1.32508133333334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0-DA4E-BEE6-3BD5DC0FAEB4}"/>
            </c:ext>
          </c:extLst>
        </c:ser>
        <c:ser>
          <c:idx val="3"/>
          <c:order val="3"/>
          <c:tx>
            <c:v>U3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'UCl3'!$BE$14:$BE$18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'UCl3'!$BD$14:$BD$18</c:f>
              <c:numCache>
                <c:formatCode>General</c:formatCode>
                <c:ptCount val="5"/>
                <c:pt idx="0">
                  <c:v>19.183073333333301</c:v>
                </c:pt>
                <c:pt idx="1">
                  <c:v>7.7711586666666603</c:v>
                </c:pt>
                <c:pt idx="2">
                  <c:v>3.4890746666666699</c:v>
                </c:pt>
                <c:pt idx="3">
                  <c:v>5.6660000000001202E-2</c:v>
                </c:pt>
                <c:pt idx="4">
                  <c:v>-2.0568413333333302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0-DA4E-BEE6-3BD5DC0FAE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'UCl3'!$BS$14:$BS$18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'UCl3'!$BR$14:$BR$18</c:f>
              <c:numCache>
                <c:formatCode>General</c:formatCode>
                <c:ptCount val="5"/>
                <c:pt idx="0">
                  <c:v>17.787570666666699</c:v>
                </c:pt>
                <c:pt idx="1">
                  <c:v>7.8135906666666601</c:v>
                </c:pt>
                <c:pt idx="2">
                  <c:v>3.59719733333334</c:v>
                </c:pt>
                <c:pt idx="3">
                  <c:v>0.75174666666666701</c:v>
                </c:pt>
                <c:pt idx="4">
                  <c:v>-2.5879613333333298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0-DA4E-BEE6-3BD5DC0FAEB4}"/>
            </c:ext>
          </c:extLst>
        </c:ser>
        <c:ser>
          <c:idx val="5"/>
          <c:order val="5"/>
          <c:tx>
            <c:v>U0 400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'UCl3'!$CG$14:$CG$19</c:f>
              <c:numCache>
                <c:formatCode>0.00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'UCl3'!$CF$14:$CF$19</c:f>
              <c:numCache>
                <c:formatCode>General</c:formatCode>
                <c:ptCount val="6"/>
                <c:pt idx="0">
                  <c:v>19.4544866666667</c:v>
                </c:pt>
                <c:pt idx="1">
                  <c:v>10.0054586666667</c:v>
                </c:pt>
                <c:pt idx="2">
                  <c:v>6.8433280592193801</c:v>
                </c:pt>
                <c:pt idx="3">
                  <c:v>3.51915333333333</c:v>
                </c:pt>
                <c:pt idx="4">
                  <c:v>0.48293066666666701</c:v>
                </c:pt>
                <c:pt idx="5">
                  <c:v>-2.0476898864970599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40-DA4E-BEE6-3BD5DC0F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43359"/>
        <c:axId val="754997199"/>
      </c:scatterChart>
      <c:valAx>
        <c:axId val="755143359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7199"/>
        <c:crosses val="autoZero"/>
        <c:crossBetween val="midCat"/>
      </c:valAx>
      <c:valAx>
        <c:axId val="75499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'UCl3'!$P$43</c:f>
              <c:strCache>
                <c:ptCount val="1"/>
                <c:pt idx="0">
                  <c:v>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'UCl3'!$P$44:$P$45</c:f>
              <c:numCache>
                <c:formatCode>General</c:formatCode>
                <c:ptCount val="2"/>
                <c:pt idx="0">
                  <c:v>4.1775420375688332</c:v>
                </c:pt>
                <c:pt idx="1">
                  <c:v>4.3672848864000109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D-E14E-88CD-2AA81ABDD99E}"/>
            </c:ext>
          </c:extLst>
        </c:ser>
        <c:ser>
          <c:idx val="1"/>
          <c:order val="1"/>
          <c:tx>
            <c:strRef>
              <c:f>'UCl3'!$Q$43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'UCl3'!$Q$44:$Q$45</c:f>
              <c:numCache>
                <c:formatCode>General</c:formatCode>
                <c:ptCount val="2"/>
                <c:pt idx="0">
                  <c:v>4.1647928404139867</c:v>
                </c:pt>
                <c:pt idx="1">
                  <c:v>4.3703020406367896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D-E14E-88CD-2AA81ABDD99E}"/>
            </c:ext>
          </c:extLst>
        </c:ser>
        <c:ser>
          <c:idx val="2"/>
          <c:order val="2"/>
          <c:tx>
            <c:strRef>
              <c:f>'UCl3'!$R$43</c:f>
              <c:strCache>
                <c:ptCount val="1"/>
                <c:pt idx="0">
                  <c:v>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'UCl3'!$R$44:$R$45</c:f>
              <c:numCache>
                <c:formatCode>General</c:formatCode>
                <c:ptCount val="2"/>
                <c:pt idx="0">
                  <c:v>4.2094832940648921</c:v>
                </c:pt>
                <c:pt idx="1">
                  <c:v>4.3938060224673698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D-E14E-88CD-2AA81ABDD99E}"/>
            </c:ext>
          </c:extLst>
        </c:ser>
        <c:ser>
          <c:idx val="3"/>
          <c:order val="3"/>
          <c:tx>
            <c:strRef>
              <c:f>'UCl3'!$S$43</c:f>
              <c:strCache>
                <c:ptCount val="1"/>
                <c:pt idx="0">
                  <c:v>400 U0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'UCl3'!$S$44:$S$45</c:f>
              <c:numCache>
                <c:formatCode>General</c:formatCode>
                <c:ptCount val="2"/>
                <c:pt idx="0">
                  <c:v>4.1108766890504738</c:v>
                </c:pt>
                <c:pt idx="1">
                  <c:v>4.2726880415226391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D-E14E-88CD-2AA81ABDD99E}"/>
            </c:ext>
          </c:extLst>
        </c:ser>
        <c:ser>
          <c:idx val="4"/>
          <c:order val="4"/>
          <c:tx>
            <c:strRef>
              <c:f>'UCl3'!$T$43</c:f>
              <c:strCache>
                <c:ptCount val="1"/>
                <c:pt idx="0">
                  <c:v>400 U1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'UCl3'!$T$44:$T$45</c:f>
              <c:numCache>
                <c:formatCode>General</c:formatCode>
                <c:ptCount val="2"/>
                <c:pt idx="0">
                  <c:v>4.0556581539005654</c:v>
                </c:pt>
                <c:pt idx="1">
                  <c:v>4.2806126843490961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CD-E14E-88CD-2AA81ABDD99E}"/>
            </c:ext>
          </c:extLst>
        </c:ser>
        <c:ser>
          <c:idx val="5"/>
          <c:order val="5"/>
          <c:tx>
            <c:strRef>
              <c:f>'UCl3'!$U$43</c:f>
              <c:strCache>
                <c:ptCount val="1"/>
                <c:pt idx="0">
                  <c:v>400 U4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'UCl3'!$U$44:$U$45</c:f>
              <c:numCache>
                <c:formatCode>General</c:formatCode>
                <c:ptCount val="2"/>
                <c:pt idx="0">
                  <c:v>4.0572725944546377</c:v>
                </c:pt>
                <c:pt idx="1">
                  <c:v>4.2536668623248355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CD-E14E-88CD-2AA81ABDD99E}"/>
            </c:ext>
          </c:extLst>
        </c:ser>
        <c:ser>
          <c:idx val="6"/>
          <c:order val="6"/>
          <c:tx>
            <c:strRef>
              <c:f>'UCl3'!$V$43</c:f>
              <c:strCache>
                <c:ptCount val="1"/>
                <c:pt idx="0">
                  <c:v>Desyatnik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'UCl3'!$V$44:$V$45</c:f>
              <c:numCache>
                <c:formatCode>General</c:formatCode>
                <c:ptCount val="2"/>
                <c:pt idx="0">
                  <c:v>4.2436199999999999</c:v>
                </c:pt>
                <c:pt idx="1">
                  <c:v>4.7002799999999993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CD-E14E-88CD-2AA81ABD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81584"/>
        <c:axId val="169604480"/>
      </c:scatterChart>
      <c:valAx>
        <c:axId val="1454581584"/>
        <c:scaling>
          <c:orientation val="minMax"/>
          <c:min val="10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80"/>
        <c:crosses val="autoZero"/>
        <c:crossBetween val="midCat"/>
      </c:valAx>
      <c:valAx>
        <c:axId val="16960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8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'UCl3'!$F$15:$F$20</c:f>
              <c:numCache>
                <c:formatCode>0.000</c:formatCode>
                <c:ptCount val="6"/>
                <c:pt idx="0">
                  <c:v>4789.2065500159979</c:v>
                </c:pt>
                <c:pt idx="1">
                  <c:v>4937.3160059519987</c:v>
                </c:pt>
                <c:pt idx="2">
                  <c:v>5088.4479999999994</c:v>
                </c:pt>
                <c:pt idx="3">
                  <c:v>5242.633062848</c:v>
                </c:pt>
                <c:pt idx="4">
                  <c:v>5399.9017251840005</c:v>
                </c:pt>
                <c:pt idx="5">
                  <c:v>5560.2845176960009</c:v>
                </c:pt>
              </c:numCache>
            </c:numRef>
          </c:xVal>
          <c:yVal>
            <c:numRef>
              <c:f>'UCl3'!$E$15:$E$20</c:f>
              <c:numCache>
                <c:formatCode>General</c:formatCode>
                <c:ptCount val="6"/>
                <c:pt idx="1">
                  <c:v>11.1465453333333</c:v>
                </c:pt>
                <c:pt idx="2">
                  <c:v>7.9640800000000098</c:v>
                </c:pt>
                <c:pt idx="3">
                  <c:v>4.4624759999999997</c:v>
                </c:pt>
                <c:pt idx="4">
                  <c:v>1.116652</c:v>
                </c:pt>
                <c:pt idx="5">
                  <c:v>-1.1893146666666701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0-6A4C-B619-0A0F953350A6}"/>
            </c:ext>
          </c:extLst>
        </c:ser>
        <c:ser>
          <c:idx val="1"/>
          <c:order val="1"/>
          <c:tx>
            <c:v>U1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'UCl3'!$AC$14:$AC$18</c:f>
              <c:numCache>
                <c:formatCode>0.000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'UCl3'!$AB$14:$AB$18</c:f>
              <c:numCache>
                <c:formatCode>General</c:formatCode>
                <c:ptCount val="5"/>
                <c:pt idx="0">
                  <c:v>18.027567999999999</c:v>
                </c:pt>
                <c:pt idx="1">
                  <c:v>9.1893266666666698</c:v>
                </c:pt>
                <c:pt idx="2">
                  <c:v>3.6160653333333399</c:v>
                </c:pt>
                <c:pt idx="3">
                  <c:v>1.51973333333333</c:v>
                </c:pt>
                <c:pt idx="4">
                  <c:v>-1.061364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0-6A4C-B619-0A0F953350A6}"/>
            </c:ext>
          </c:extLst>
        </c:ser>
        <c:ser>
          <c:idx val="2"/>
          <c:order val="2"/>
          <c:tx>
            <c:v>U2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'UCl3'!$AQ$14:$AQ$18</c:f>
              <c:numCache>
                <c:formatCode>0.00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'UCl3'!$AP$14:$AP$18</c:f>
              <c:numCache>
                <c:formatCode>General</c:formatCode>
                <c:ptCount val="5"/>
                <c:pt idx="0">
                  <c:v>17.857573333333299</c:v>
                </c:pt>
                <c:pt idx="1">
                  <c:v>7.67809866666666</c:v>
                </c:pt>
                <c:pt idx="2">
                  <c:v>3.5509919999999999</c:v>
                </c:pt>
                <c:pt idx="3">
                  <c:v>0.42905066666666802</c:v>
                </c:pt>
                <c:pt idx="4">
                  <c:v>-1.32508133333334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0-6A4C-B619-0A0F953350A6}"/>
            </c:ext>
          </c:extLst>
        </c:ser>
        <c:ser>
          <c:idx val="3"/>
          <c:order val="3"/>
          <c:tx>
            <c:v>U3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'UCl3'!$BE$14:$BE$18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'UCl3'!$BD$14:$BD$18</c:f>
              <c:numCache>
                <c:formatCode>General</c:formatCode>
                <c:ptCount val="5"/>
                <c:pt idx="0">
                  <c:v>19.183073333333301</c:v>
                </c:pt>
                <c:pt idx="1">
                  <c:v>7.7711586666666603</c:v>
                </c:pt>
                <c:pt idx="2">
                  <c:v>3.4890746666666699</c:v>
                </c:pt>
                <c:pt idx="3">
                  <c:v>5.6660000000001202E-2</c:v>
                </c:pt>
                <c:pt idx="4">
                  <c:v>-2.0568413333333302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6A4C-B619-0A0F953350A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'UCl3'!$BS$14:$BS$18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'UCl3'!$BR$14:$BR$18</c:f>
              <c:numCache>
                <c:formatCode>General</c:formatCode>
                <c:ptCount val="5"/>
                <c:pt idx="0">
                  <c:v>17.787570666666699</c:v>
                </c:pt>
                <c:pt idx="1">
                  <c:v>7.8135906666666601</c:v>
                </c:pt>
                <c:pt idx="2">
                  <c:v>3.59719733333334</c:v>
                </c:pt>
                <c:pt idx="3">
                  <c:v>0.75174666666666701</c:v>
                </c:pt>
                <c:pt idx="4">
                  <c:v>-2.5879613333333298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A0-6A4C-B619-0A0F953350A6}"/>
            </c:ext>
          </c:extLst>
        </c:ser>
        <c:ser>
          <c:idx val="5"/>
          <c:order val="5"/>
          <c:tx>
            <c:v>U0 400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'UCl3'!$CG$14:$CG$19</c:f>
              <c:numCache>
                <c:formatCode>0.00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'UCl3'!$CF$14:$CF$19</c:f>
              <c:numCache>
                <c:formatCode>General</c:formatCode>
                <c:ptCount val="6"/>
                <c:pt idx="0">
                  <c:v>19.4544866666667</c:v>
                </c:pt>
                <c:pt idx="1">
                  <c:v>10.0054586666667</c:v>
                </c:pt>
                <c:pt idx="2">
                  <c:v>6.8433280592193801</c:v>
                </c:pt>
                <c:pt idx="3">
                  <c:v>3.51915333333333</c:v>
                </c:pt>
                <c:pt idx="4">
                  <c:v>0.48293066666666701</c:v>
                </c:pt>
                <c:pt idx="5">
                  <c:v>-2.0476898864970599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A0-6A4C-B619-0A0F95335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43359"/>
        <c:axId val="754997199"/>
      </c:scatterChart>
      <c:valAx>
        <c:axId val="755143359"/>
        <c:scaling>
          <c:orientation val="minMax"/>
          <c:min val="5200"/>
        </c:scaling>
        <c:delete val="0"/>
        <c:axPos val="b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7199"/>
        <c:crosses val="autoZero"/>
        <c:crossBetween val="midCat"/>
      </c:valAx>
      <c:valAx>
        <c:axId val="754997199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1400 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'UCl3'!$P$43:$U$43</c:f>
              <c:strCache>
                <c:ptCount val="6"/>
                <c:pt idx="0">
                  <c:v>U0</c:v>
                </c:pt>
                <c:pt idx="1">
                  <c:v>U1</c:v>
                </c:pt>
                <c:pt idx="2">
                  <c:v>U4</c:v>
                </c:pt>
                <c:pt idx="3">
                  <c:v>400 U0</c:v>
                </c:pt>
                <c:pt idx="4">
                  <c:v>400 U1</c:v>
                </c:pt>
                <c:pt idx="5">
                  <c:v>400 U4</c:v>
                </c:pt>
              </c:strCache>
            </c:strRef>
          </c:cat>
          <c:val>
            <c:numRef>
              <c:f>'UCl3'!$P$44:$U$44</c:f>
              <c:numCache>
                <c:formatCode>General</c:formatCode>
                <c:ptCount val="6"/>
                <c:pt idx="0">
                  <c:v>4.1775420375688332</c:v>
                </c:pt>
                <c:pt idx="1">
                  <c:v>4.1647928404139867</c:v>
                </c:pt>
                <c:pt idx="2">
                  <c:v>4.2094832940648921</c:v>
                </c:pt>
                <c:pt idx="3">
                  <c:v>4.1108766890504738</c:v>
                </c:pt>
                <c:pt idx="4">
                  <c:v>4.0556581539005654</c:v>
                </c:pt>
                <c:pt idx="5">
                  <c:v>4.0572725944546377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B-5140-89B6-BE6610D80218}"/>
            </c:ext>
          </c:extLst>
        </c:ser>
        <c:ser>
          <c:idx val="1"/>
          <c:order val="1"/>
          <c:tx>
            <c:v>1100 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'UCl3'!$P$43:$U$43</c:f>
              <c:strCache>
                <c:ptCount val="6"/>
                <c:pt idx="0">
                  <c:v>U0</c:v>
                </c:pt>
                <c:pt idx="1">
                  <c:v>U1</c:v>
                </c:pt>
                <c:pt idx="2">
                  <c:v>U4</c:v>
                </c:pt>
                <c:pt idx="3">
                  <c:v>400 U0</c:v>
                </c:pt>
                <c:pt idx="4">
                  <c:v>400 U1</c:v>
                </c:pt>
                <c:pt idx="5">
                  <c:v>400 U4</c:v>
                </c:pt>
              </c:strCache>
            </c:strRef>
          </c:cat>
          <c:val>
            <c:numRef>
              <c:f>'UCl3'!$P$45:$U$45</c:f>
              <c:numCache>
                <c:formatCode>General</c:formatCode>
                <c:ptCount val="6"/>
                <c:pt idx="0">
                  <c:v>4.3672848864000109</c:v>
                </c:pt>
                <c:pt idx="1">
                  <c:v>4.3703020406367896</c:v>
                </c:pt>
                <c:pt idx="2">
                  <c:v>4.3938060224673698</c:v>
                </c:pt>
                <c:pt idx="3">
                  <c:v>4.2726880415226391</c:v>
                </c:pt>
                <c:pt idx="4">
                  <c:v>4.2806126843490961</c:v>
                </c:pt>
                <c:pt idx="5">
                  <c:v>4.2536668623248355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B-5140-89B6-BE6610D8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122015"/>
        <c:axId val="1867408927"/>
      </c:lineChart>
      <c:catAx>
        <c:axId val="17081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08927"/>
        <c:crosses val="autoZero"/>
        <c:auto val="1"/>
        <c:lblAlgn val="ctr"/>
        <c:lblOffset val="100"/>
        <c:noMultiLvlLbl val="0"/>
      </c:catAx>
      <c:valAx>
        <c:axId val="186740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1400 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'UCl3'!$P$39:$T$39</c:f>
              <c:strCache>
                <c:ptCount val="5"/>
                <c:pt idx="0">
                  <c:v>U0</c:v>
                </c:pt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</c:strCache>
            </c:strRef>
          </c:cat>
          <c:val>
            <c:numRef>
              <c:f>'UCl3'!$P$40:$T$40</c:f>
              <c:numCache>
                <c:formatCode>General</c:formatCode>
                <c:ptCount val="5"/>
                <c:pt idx="0">
                  <c:v>4.1775420375688332</c:v>
                </c:pt>
                <c:pt idx="1">
                  <c:v>4.1647928404139867</c:v>
                </c:pt>
                <c:pt idx="2">
                  <c:v>4.2070627748031404</c:v>
                </c:pt>
                <c:pt idx="3">
                  <c:v>4.2342543637867127</c:v>
                </c:pt>
                <c:pt idx="4">
                  <c:v>4.2094832940648921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8-DC43-8289-3F88CD60C5C0}"/>
            </c:ext>
          </c:extLst>
        </c:ser>
        <c:ser>
          <c:idx val="1"/>
          <c:order val="1"/>
          <c:tx>
            <c:v>1100 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'UCl3'!$P$39:$T$39</c:f>
              <c:strCache>
                <c:ptCount val="5"/>
                <c:pt idx="0">
                  <c:v>U0</c:v>
                </c:pt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</c:strCache>
            </c:strRef>
          </c:cat>
          <c:val>
            <c:numRef>
              <c:f>'UCl3'!$P$41:$T$41</c:f>
              <c:numCache>
                <c:formatCode>General</c:formatCode>
                <c:ptCount val="5"/>
                <c:pt idx="0">
                  <c:v>4.3672848864000109</c:v>
                </c:pt>
                <c:pt idx="1">
                  <c:v>4.3703020406367896</c:v>
                </c:pt>
                <c:pt idx="2">
                  <c:v>4.3667228238928173</c:v>
                </c:pt>
                <c:pt idx="3">
                  <c:v>4.4355098527077663</c:v>
                </c:pt>
                <c:pt idx="4">
                  <c:v>4.3938060224673698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8-DC43-8289-3F88CD60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122015"/>
        <c:axId val="1867408927"/>
      </c:lineChart>
      <c:catAx>
        <c:axId val="17081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08927"/>
        <c:crosses val="autoZero"/>
        <c:auto val="1"/>
        <c:lblAlgn val="ctr"/>
        <c:lblOffset val="100"/>
        <c:noMultiLvlLbl val="0"/>
      </c:catAx>
      <c:valAx>
        <c:axId val="1867408927"/>
        <c:scaling>
          <c:orientation val="minMax"/>
          <c:min val="4.099999999999999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UCl3_old!$L$17:$L$25</c:f>
              <c:numCache>
                <c:formatCode>General</c:formatCode>
                <c:ptCount val="9"/>
                <c:pt idx="0">
                  <c:v>1450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1250</c:v>
                </c:pt>
                <c:pt idx="5">
                  <c:v>1200</c:v>
                </c:pt>
                <c:pt idx="6">
                  <c:v>1150</c:v>
                </c:pt>
                <c:pt idx="7">
                  <c:v>1100</c:v>
                </c:pt>
                <c:pt idx="8">
                  <c:v>1050</c:v>
                </c:pt>
              </c:numCache>
            </c:numRef>
          </c:xVal>
          <c:yVal>
            <c:numRef>
              <c:f>UCl3_old!$M$17:$M$25</c:f>
              <c:numCache>
                <c:formatCode>General</c:formatCode>
                <c:ptCount val="9"/>
                <c:pt idx="0">
                  <c:v>4.2200598446912654</c:v>
                </c:pt>
                <c:pt idx="1">
                  <c:v>4.1986838652185368</c:v>
                </c:pt>
                <c:pt idx="2">
                  <c:v>4.2495601295254355</c:v>
                </c:pt>
                <c:pt idx="3">
                  <c:v>4.3</c:v>
                </c:pt>
                <c:pt idx="4">
                  <c:v>4.3237033188519352</c:v>
                </c:pt>
                <c:pt idx="5">
                  <c:v>4.3548004777899578</c:v>
                </c:pt>
                <c:pt idx="6">
                  <c:v>4.3479741905445897</c:v>
                </c:pt>
                <c:pt idx="7">
                  <c:v>4.3705241796554253</c:v>
                </c:pt>
                <c:pt idx="8">
                  <c:v>4.420017037409611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B-1D41-BB5A-027E9889551A}"/>
            </c:ext>
          </c:extLst>
        </c:ser>
        <c:ser>
          <c:idx val="1"/>
          <c:order val="1"/>
          <c:tx>
            <c:v>Desyatnik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UCl3_old!$P$15:$P$21</c:f>
              <c:numCache>
                <c:formatCode>General</c:formatCode>
                <c:ptCount val="7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</c:numCache>
            </c:numRef>
          </c:xVal>
          <c:yVal>
            <c:numRef>
              <c:f>UCl3_old!$T$15:$T$21</c:f>
              <c:numCache>
                <c:formatCode>General</c:formatCode>
                <c:ptCount val="7"/>
                <c:pt idx="0">
                  <c:v>4.7002799999999993</c:v>
                </c:pt>
                <c:pt idx="1">
                  <c:v>4.6241699999999994</c:v>
                </c:pt>
                <c:pt idx="2">
                  <c:v>4.5480599999999995</c:v>
                </c:pt>
                <c:pt idx="3">
                  <c:v>4.4719499999999996</c:v>
                </c:pt>
                <c:pt idx="4">
                  <c:v>4.3958399999999997</c:v>
                </c:pt>
                <c:pt idx="5">
                  <c:v>4.3197299999999998</c:v>
                </c:pt>
                <c:pt idx="6">
                  <c:v>4.2436199999999999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6-E248-84AC-C189B6D5E949}"/>
            </c:ext>
          </c:extLst>
        </c:ser>
        <c:ser>
          <c:idx val="2"/>
          <c:order val="2"/>
          <c:tx>
            <c:v>Janz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UCl3_old!$P$17:$P$20</c:f>
              <c:numCache>
                <c:formatCode>General</c:formatCode>
                <c:ptCount val="4"/>
                <c:pt idx="0">
                  <c:v>1200</c:v>
                </c:pt>
                <c:pt idx="1">
                  <c:v>1250</c:v>
                </c:pt>
                <c:pt idx="2">
                  <c:v>1300</c:v>
                </c:pt>
                <c:pt idx="3">
                  <c:v>1350</c:v>
                </c:pt>
              </c:numCache>
            </c:numRef>
          </c:xVal>
          <c:yVal>
            <c:numRef>
              <c:f>UCl3_old!$V$17:$V$23</c:f>
              <c:numCache>
                <c:formatCode>General</c:formatCode>
                <c:ptCount val="7"/>
                <c:pt idx="0">
                  <c:v>4.1203999999999983</c:v>
                </c:pt>
                <c:pt idx="1">
                  <c:v>3.7232499999999984</c:v>
                </c:pt>
                <c:pt idx="2">
                  <c:v>3.3260999999999985</c:v>
                </c:pt>
                <c:pt idx="3">
                  <c:v>2.9289499999999986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6-E248-84AC-C189B6D5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562800"/>
        <c:axId val="1407796096"/>
      </c:scatterChart>
      <c:valAx>
        <c:axId val="1407562800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7796096"/>
        <c:crosses val="autoZero"/>
        <c:crossBetween val="midCat"/>
      </c:valAx>
      <c:valAx>
        <c:axId val="1407796096"/>
        <c:scaling>
          <c:orientation val="minMax"/>
          <c:max val="5.5"/>
          <c:min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7562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7323474159638675"/>
          <c:y val="5.6235554074671637E-2"/>
          <c:w val="0.41982013669611096"/>
          <c:h val="7.06697297581677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1300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NaCl!$G$17:$G$21</c:f>
              <c:numCache>
                <c:formatCode>General</c:formatCode>
                <c:ptCount val="5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  <c:pt idx="4">
                  <c:v>5687.4169310399993</c:v>
                </c:pt>
              </c:numCache>
            </c:numRef>
          </c:xVal>
          <c:yVal>
            <c:numRef>
              <c:f>NaCl!$F$17:$F$21</c:f>
              <c:numCache>
                <c:formatCode>General</c:formatCode>
                <c:ptCount val="5"/>
                <c:pt idx="0">
                  <c:v>5.220116</c:v>
                </c:pt>
                <c:pt idx="1">
                  <c:v>2.8218830000000001</c:v>
                </c:pt>
                <c:pt idx="2">
                  <c:v>1.2173499999999999</c:v>
                </c:pt>
                <c:pt idx="3">
                  <c:v>-0.45123799999999997</c:v>
                </c:pt>
                <c:pt idx="4">
                  <c:v>-2.1589999999999998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3-3D4D-9FA6-0160B3DC434F}"/>
            </c:ext>
          </c:extLst>
        </c:ser>
        <c:ser>
          <c:idx val="1"/>
          <c:order val="1"/>
          <c:tx>
            <c:v>1200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NaCl!$G$26:$G$29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NaCl!$F$26:$F$29</c:f>
              <c:numCache>
                <c:formatCode>General</c:formatCode>
                <c:ptCount val="4"/>
                <c:pt idx="0">
                  <c:v>3.9115624999999974</c:v>
                </c:pt>
                <c:pt idx="1">
                  <c:v>1.6068712499999975</c:v>
                </c:pt>
                <c:pt idx="2">
                  <c:v>-0.108003853658536</c:v>
                </c:pt>
                <c:pt idx="3">
                  <c:v>-1.46102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93-3D4D-9FA6-0160B3DC434F}"/>
            </c:ext>
          </c:extLst>
        </c:ser>
        <c:ser>
          <c:idx val="2"/>
          <c:order val="2"/>
          <c:tx>
            <c:v>1100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NaCl!$G$33:$G$36</c:f>
              <c:numCache>
                <c:formatCode>General</c:formatCode>
                <c:ptCount val="4"/>
                <c:pt idx="0">
                  <c:v>4725.5625075409998</c:v>
                </c:pt>
                <c:pt idx="1">
                  <c:v>4873.2258186640001</c:v>
                </c:pt>
                <c:pt idx="2">
                  <c:v>5023.9336273830004</c:v>
                </c:pt>
                <c:pt idx="3">
                  <c:v>5177.7170000000006</c:v>
                </c:pt>
              </c:numCache>
            </c:numRef>
          </c:xVal>
          <c:yVal>
            <c:numRef>
              <c:f>NaCl!$F$33:$F$36</c:f>
              <c:numCache>
                <c:formatCode>General</c:formatCode>
                <c:ptCount val="4"/>
                <c:pt idx="0">
                  <c:v>4.3089029999999999</c:v>
                </c:pt>
                <c:pt idx="1">
                  <c:v>2.1333687499999971</c:v>
                </c:pt>
                <c:pt idx="2">
                  <c:v>0.126773</c:v>
                </c:pt>
                <c:pt idx="3">
                  <c:v>-1.2259789999999999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93-3D4D-9FA6-0160B3DC434F}"/>
            </c:ext>
          </c:extLst>
        </c:ser>
        <c:ser>
          <c:idx val="3"/>
          <c:order val="3"/>
          <c:tx>
            <c:v>1000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NaCl!$G$40:$G$43</c:f>
              <c:numCache>
                <c:formatCode>General</c:formatCode>
                <c:ptCount val="4"/>
                <c:pt idx="0">
                  <c:v>4547.4040634211815</c:v>
                </c:pt>
                <c:pt idx="1">
                  <c:v>4689.5003196758407</c:v>
                </c:pt>
                <c:pt idx="2">
                  <c:v>4834.5262929148867</c:v>
                </c:pt>
                <c:pt idx="3">
                  <c:v>4982.5118782095906</c:v>
                </c:pt>
              </c:numCache>
            </c:numRef>
          </c:xVal>
          <c:yVal>
            <c:numRef>
              <c:f>NaCl!$F$40:$F$43</c:f>
              <c:numCache>
                <c:formatCode>General</c:formatCode>
                <c:ptCount val="4"/>
                <c:pt idx="0">
                  <c:v>6.0660540000000003</c:v>
                </c:pt>
                <c:pt idx="1">
                  <c:v>3.262632</c:v>
                </c:pt>
                <c:pt idx="2">
                  <c:v>1.3344</c:v>
                </c:pt>
                <c:pt idx="3">
                  <c:v>-0.8383112499999994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93-3D4D-9FA6-0160B3DC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4287"/>
        <c:axId val="1798917615"/>
      </c:scatterChart>
      <c:valAx>
        <c:axId val="1712624287"/>
        <c:scaling>
          <c:orientation val="minMax"/>
          <c:max val="6000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8917615"/>
        <c:crosses val="autoZero"/>
        <c:crossBetween val="midCat"/>
      </c:valAx>
      <c:valAx>
        <c:axId val="179891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6242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1185668197725294"/>
          <c:y val="8.1197142023913663E-2"/>
          <c:w val="0.20133776246719159"/>
          <c:h val="0.35149460484106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596412948381453"/>
                  <c:y val="-0.5851264946048410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UCl3_old!$F$46:$F$50</c:f>
              <c:numCache>
                <c:formatCode>General</c:formatCode>
                <c:ptCount val="5"/>
                <c:pt idx="0">
                  <c:v>4937.3179465499998</c:v>
                </c:pt>
                <c:pt idx="1">
                  <c:v>5088.45</c:v>
                </c:pt>
                <c:pt idx="2">
                  <c:v>5242.6351234499998</c:v>
                </c:pt>
                <c:pt idx="3">
                  <c:v>5399.9038475999996</c:v>
                </c:pt>
                <c:pt idx="4">
                  <c:v>5560.28670315</c:v>
                </c:pt>
              </c:numCache>
            </c:numRef>
          </c:xVal>
          <c:yVal>
            <c:numRef>
              <c:f>UCl3_old!$E$46:$E$50</c:f>
              <c:numCache>
                <c:formatCode>General</c:formatCode>
                <c:ptCount val="5"/>
                <c:pt idx="0">
                  <c:v>8.9457330093719492</c:v>
                </c:pt>
                <c:pt idx="1">
                  <c:v>5.3131796854537097</c:v>
                </c:pt>
                <c:pt idx="2">
                  <c:v>3.6246568098546375</c:v>
                </c:pt>
                <c:pt idx="3">
                  <c:v>-0.85239535053395799</c:v>
                </c:pt>
                <c:pt idx="4">
                  <c:v>-3.16065984467973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B-044B-AC1C-E3662A84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79743"/>
        <c:axId val="1154722047"/>
      </c:scatterChart>
      <c:valAx>
        <c:axId val="1278179743"/>
        <c:scaling>
          <c:orientation val="minMax"/>
          <c:min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22047"/>
        <c:crosses val="autoZero"/>
        <c:crossBetween val="midCat"/>
      </c:valAx>
      <c:valAx>
        <c:axId val="11547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7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1450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UCl3_old!$F$18:$F$23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5088.45</c:v>
                </c:pt>
                <c:pt idx="2">
                  <c:v>5242.6351234499998</c:v>
                </c:pt>
                <c:pt idx="3">
                  <c:v>5399.9038475999996</c:v>
                </c:pt>
                <c:pt idx="4">
                  <c:v>5560.28670315</c:v>
                </c:pt>
                <c:pt idx="5">
                  <c:v>5890.5169312500002</c:v>
                </c:pt>
              </c:numCache>
            </c:numRef>
          </c:xVal>
          <c:yVal>
            <c:numRef>
              <c:f>UCl3_old!$E$18:$E$23</c:f>
              <c:numCache>
                <c:formatCode>General</c:formatCode>
                <c:ptCount val="6"/>
                <c:pt idx="0">
                  <c:v>39.981274660581498</c:v>
                </c:pt>
                <c:pt idx="1">
                  <c:v>7.8357373495612102</c:v>
                </c:pt>
                <c:pt idx="2">
                  <c:v>3.1758287080500902</c:v>
                </c:pt>
                <c:pt idx="3">
                  <c:v>0.219018430969559</c:v>
                </c:pt>
                <c:pt idx="4">
                  <c:v>-1.3439099187597479</c:v>
                </c:pt>
                <c:pt idx="5">
                  <c:v>-3.97334577409113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3-7445-A77C-AEE7AA80B96A}"/>
            </c:ext>
          </c:extLst>
        </c:ser>
        <c:ser>
          <c:idx val="1"/>
          <c:order val="1"/>
          <c:tx>
            <c:v>1350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UCl3_old!$F$36:$F$41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4937.3179465499998</c:v>
                </c:pt>
                <c:pt idx="2">
                  <c:v>5088.45</c:v>
                </c:pt>
                <c:pt idx="3">
                  <c:v>5242.6351234499998</c:v>
                </c:pt>
                <c:pt idx="4">
                  <c:v>5399.9038475999996</c:v>
                </c:pt>
                <c:pt idx="5">
                  <c:v>5890.5169312500002</c:v>
                </c:pt>
              </c:numCache>
            </c:numRef>
          </c:xVal>
          <c:yVal>
            <c:numRef>
              <c:f>UCl3_old!$E$36:$E$41</c:f>
              <c:numCache>
                <c:formatCode>General</c:formatCode>
                <c:ptCount val="6"/>
                <c:pt idx="0">
                  <c:v>38.098140749518699</c:v>
                </c:pt>
                <c:pt idx="1">
                  <c:v>10.071165011543201</c:v>
                </c:pt>
                <c:pt idx="2">
                  <c:v>5.9847680473019302</c:v>
                </c:pt>
                <c:pt idx="3">
                  <c:v>1.9087870145969099</c:v>
                </c:pt>
                <c:pt idx="4">
                  <c:v>-0.20373067488841251</c:v>
                </c:pt>
                <c:pt idx="5">
                  <c:v>-4.7693520451289304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3-7445-A77C-AEE7AA80B96A}"/>
            </c:ext>
          </c:extLst>
        </c:ser>
        <c:ser>
          <c:idx val="2"/>
          <c:order val="2"/>
          <c:tx>
            <c:v>1250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UCl3_old!$F$55:$F$60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4937.3179465499998</c:v>
                </c:pt>
                <c:pt idx="2">
                  <c:v>5088.45</c:v>
                </c:pt>
                <c:pt idx="3">
                  <c:v>5242.6351234499998</c:v>
                </c:pt>
                <c:pt idx="4">
                  <c:v>5399.9038475999996</c:v>
                </c:pt>
                <c:pt idx="5">
                  <c:v>5890.5169312500002</c:v>
                </c:pt>
              </c:numCache>
            </c:numRef>
          </c:xVal>
          <c:yVal>
            <c:numRef>
              <c:f>UCl3_old!$E$55:$E$60</c:f>
              <c:numCache>
                <c:formatCode>General</c:formatCode>
                <c:ptCount val="6"/>
                <c:pt idx="0">
                  <c:v>36.407748466372702</c:v>
                </c:pt>
                <c:pt idx="1">
                  <c:v>8.3383599999999891</c:v>
                </c:pt>
                <c:pt idx="2">
                  <c:v>3.70498353366014</c:v>
                </c:pt>
                <c:pt idx="3">
                  <c:v>0.80344141580970874</c:v>
                </c:pt>
                <c:pt idx="4">
                  <c:v>-1.5049362527446699</c:v>
                </c:pt>
                <c:pt idx="5">
                  <c:v>-5.5323177102093899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53-7445-A77C-AEE7AA80B96A}"/>
            </c:ext>
          </c:extLst>
        </c:ser>
        <c:ser>
          <c:idx val="3"/>
          <c:order val="3"/>
          <c:tx>
            <c:v>1150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UCl3_old!$F$73:$F$78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4937.3179465499998</c:v>
                </c:pt>
                <c:pt idx="2">
                  <c:v>5088.45</c:v>
                </c:pt>
                <c:pt idx="3">
                  <c:v>5242.6351234499998</c:v>
                </c:pt>
                <c:pt idx="4">
                  <c:v>5399.9038475999996</c:v>
                </c:pt>
                <c:pt idx="5">
                  <c:v>5890.5169312500002</c:v>
                </c:pt>
              </c:numCache>
            </c:numRef>
          </c:xVal>
          <c:yVal>
            <c:numRef>
              <c:f>UCl3_old!$E$73:$E$78</c:f>
              <c:numCache>
                <c:formatCode>General</c:formatCode>
                <c:ptCount val="6"/>
                <c:pt idx="0">
                  <c:v>35.081085300312402</c:v>
                </c:pt>
                <c:pt idx="1">
                  <c:v>7.9150647399228902</c:v>
                </c:pt>
                <c:pt idx="2">
                  <c:v>3.1708303482907199</c:v>
                </c:pt>
                <c:pt idx="3">
                  <c:v>0.25940676994578044</c:v>
                </c:pt>
                <c:pt idx="4">
                  <c:v>-1.7581140990991</c:v>
                </c:pt>
                <c:pt idx="5">
                  <c:v>-6.9668437737083098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53-7445-A77C-AEE7AA80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79743"/>
        <c:axId val="1154722047"/>
      </c:scatterChart>
      <c:valAx>
        <c:axId val="1278179743"/>
        <c:scaling>
          <c:orientation val="minMax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4722047"/>
        <c:crosses val="autoZero"/>
        <c:crossBetween val="midCat"/>
      </c:valAx>
      <c:valAx>
        <c:axId val="1154722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81797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9183945756780407"/>
          <c:y val="8.1016331291921831E-2"/>
          <c:w val="0.21441054243219596"/>
          <c:h val="0.277782152230971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summary!$J$23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summary!$L$23:$R$23</c:f>
              <c:numCache>
                <c:formatCode>General</c:formatCode>
                <c:ptCount val="7"/>
                <c:pt idx="0">
                  <c:v>1.5420400000000001</c:v>
                </c:pt>
                <c:pt idx="1">
                  <c:v>1.58545</c:v>
                </c:pt>
                <c:pt idx="2">
                  <c:v>2.0285199999999999</c:v>
                </c:pt>
                <c:pt idx="3">
                  <c:v>2.54067</c:v>
                </c:pt>
                <c:pt idx="4">
                  <c:v>2.743238275862069</c:v>
                </c:pt>
                <c:pt idx="5">
                  <c:v>3.2749800000000002</c:v>
                </c:pt>
                <c:pt idx="6">
                  <c:v>4.9146999999999981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C-D642-B498-539E7723DA9A}"/>
            </c:ext>
          </c:extLst>
        </c:ser>
        <c:ser>
          <c:idx val="1"/>
          <c:order val="1"/>
          <c:tx>
            <c:strRef>
              <c:f>summary!$J$24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summary!$L$24:$R$24</c:f>
              <c:numCache>
                <c:formatCode>General</c:formatCode>
                <c:ptCount val="7"/>
                <c:pt idx="0">
                  <c:v>1.51491</c:v>
                </c:pt>
                <c:pt idx="1">
                  <c:v>1.557175</c:v>
                </c:pt>
                <c:pt idx="2">
                  <c:v>1.9943799999999998</c:v>
                </c:pt>
                <c:pt idx="3">
                  <c:v>2.4611549999999998</c:v>
                </c:pt>
                <c:pt idx="4">
                  <c:v>2.6434763793103446</c:v>
                </c:pt>
                <c:pt idx="5">
                  <c:v>3.1220700000000003</c:v>
                </c:pt>
                <c:pt idx="6">
                  <c:v>4.5175499999999982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C-D642-B498-539E7723DA9A}"/>
            </c:ext>
          </c:extLst>
        </c:ser>
        <c:ser>
          <c:idx val="2"/>
          <c:order val="2"/>
          <c:tx>
            <c:strRef>
              <c:f>summary!$J$25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summary!$L$25:$R$25</c:f>
              <c:numCache>
                <c:formatCode>General</c:formatCode>
                <c:ptCount val="7"/>
                <c:pt idx="0">
                  <c:v>1.4877800000000001</c:v>
                </c:pt>
                <c:pt idx="1">
                  <c:v>1.5288999999999999</c:v>
                </c:pt>
                <c:pt idx="2">
                  <c:v>1.9602399999999998</c:v>
                </c:pt>
                <c:pt idx="3">
                  <c:v>2.38164</c:v>
                </c:pt>
                <c:pt idx="4">
                  <c:v>2.5437144827586207</c:v>
                </c:pt>
                <c:pt idx="5">
                  <c:v>2.96916</c:v>
                </c:pt>
                <c:pt idx="6">
                  <c:v>4.1203999999999983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C-D642-B498-539E7723DA9A}"/>
            </c:ext>
          </c:extLst>
        </c:ser>
        <c:ser>
          <c:idx val="3"/>
          <c:order val="3"/>
          <c:tx>
            <c:strRef>
              <c:f>summary!$J$26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summary!$L$26:$R$26</c:f>
              <c:numCache>
                <c:formatCode>General</c:formatCode>
                <c:ptCount val="7"/>
                <c:pt idx="0">
                  <c:v>1.4606500000000002</c:v>
                </c:pt>
                <c:pt idx="1">
                  <c:v>1.5006249999999999</c:v>
                </c:pt>
                <c:pt idx="2">
                  <c:v>1.9260999999999999</c:v>
                </c:pt>
                <c:pt idx="3">
                  <c:v>2.3021250000000002</c:v>
                </c:pt>
                <c:pt idx="4">
                  <c:v>2.4439525862068967</c:v>
                </c:pt>
                <c:pt idx="5">
                  <c:v>2.8162500000000001</c:v>
                </c:pt>
                <c:pt idx="6">
                  <c:v>3.7232499999999984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C-D642-B498-539E7723DA9A}"/>
            </c:ext>
          </c:extLst>
        </c:ser>
        <c:ser>
          <c:idx val="4"/>
          <c:order val="4"/>
          <c:tx>
            <c:strRef>
              <c:f>summary!$J$27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summary!$L$27:$R$27</c:f>
              <c:numCache>
                <c:formatCode>General</c:formatCode>
                <c:ptCount val="7"/>
                <c:pt idx="0">
                  <c:v>1.4335200000000001</c:v>
                </c:pt>
                <c:pt idx="1">
                  <c:v>1.47235</c:v>
                </c:pt>
                <c:pt idx="2">
                  <c:v>1.8919599999999999</c:v>
                </c:pt>
                <c:pt idx="3">
                  <c:v>2.22261</c:v>
                </c:pt>
                <c:pt idx="4">
                  <c:v>2.3441906896551723</c:v>
                </c:pt>
                <c:pt idx="5">
                  <c:v>2.6633400000000003</c:v>
                </c:pt>
                <c:pt idx="6">
                  <c:v>3.3260999999999985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FC-D642-B498-539E7723DA9A}"/>
            </c:ext>
          </c:extLst>
        </c:ser>
        <c:ser>
          <c:idx val="5"/>
          <c:order val="5"/>
          <c:tx>
            <c:strRef>
              <c:f>summary!$J$28</c:f>
              <c:strCache>
                <c:ptCount val="1"/>
                <c:pt idx="0">
                  <c:v>1350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summary!$L$28:$R$28</c:f>
              <c:numCache>
                <c:formatCode>General</c:formatCode>
                <c:ptCount val="7"/>
                <c:pt idx="0">
                  <c:v>1.40639</c:v>
                </c:pt>
                <c:pt idx="1">
                  <c:v>1.444075</c:v>
                </c:pt>
                <c:pt idx="2">
                  <c:v>1.8578199999999998</c:v>
                </c:pt>
                <c:pt idx="3">
                  <c:v>2.1430950000000002</c:v>
                </c:pt>
                <c:pt idx="4">
                  <c:v>2.2444287931034483</c:v>
                </c:pt>
                <c:pt idx="5">
                  <c:v>2.5104300000000004</c:v>
                </c:pt>
                <c:pt idx="6">
                  <c:v>2.9289499999999986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FC-D642-B498-539E7723DA9A}"/>
            </c:ext>
          </c:extLst>
        </c:ser>
        <c:ser>
          <c:idx val="6"/>
          <c:order val="6"/>
          <c:tx>
            <c:strRef>
              <c:f>summary!$J$29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summary!$L$29:$R$29</c:f>
              <c:numCache>
                <c:formatCode>General</c:formatCode>
                <c:ptCount val="7"/>
                <c:pt idx="0">
                  <c:v>1.3792599999999999</c:v>
                </c:pt>
                <c:pt idx="1">
                  <c:v>1.4157999999999999</c:v>
                </c:pt>
                <c:pt idx="2">
                  <c:v>1.82368</c:v>
                </c:pt>
                <c:pt idx="3">
                  <c:v>2.06358</c:v>
                </c:pt>
                <c:pt idx="4">
                  <c:v>2.1446668965517239</c:v>
                </c:pt>
                <c:pt idx="5">
                  <c:v>2.3575200000000001</c:v>
                </c:pt>
                <c:pt idx="6">
                  <c:v>2.5317999999999987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FC-D642-B498-539E7723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80752"/>
        <c:axId val="1601340320"/>
      </c:scatterChart>
      <c:valAx>
        <c:axId val="174578075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40320"/>
        <c:crosses val="autoZero"/>
        <c:crossBetween val="midCat"/>
      </c:valAx>
      <c:valAx>
        <c:axId val="160134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Na_s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NaCl!$AC$45:$AC$48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NaCl!$AD$45:$AD$48</c:f>
              <c:numCache>
                <c:formatCode>General</c:formatCode>
                <c:ptCount val="4"/>
                <c:pt idx="0">
                  <c:v>1.4532026290949156</c:v>
                </c:pt>
                <c:pt idx="1">
                  <c:v>1.4865480962106208</c:v>
                </c:pt>
                <c:pt idx="2">
                  <c:v>1.5291104483311759</c:v>
                </c:pt>
                <c:pt idx="3">
                  <c:v>1.5766944702565235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B-F54D-BD01-11E993DEAB9A}"/>
            </c:ext>
          </c:extLst>
        </c:ser>
        <c:ser>
          <c:idx val="1"/>
          <c:order val="1"/>
          <c:tx>
            <c:v>Na_pv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NaCl!$Q$18:$Q$21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NaCl!$R$18:$R$21</c:f>
              <c:numCache>
                <c:formatCode>General</c:formatCode>
                <c:ptCount val="4"/>
                <c:pt idx="0">
                  <c:v>1.4468101500880695</c:v>
                </c:pt>
                <c:pt idx="1">
                  <c:v>1.4808467138625432</c:v>
                </c:pt>
                <c:pt idx="2">
                  <c:v>1.5165939492692213</c:v>
                </c:pt>
                <c:pt idx="3">
                  <c:v>1.5623919353476561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B-F54D-BD01-11E993DEAB9A}"/>
            </c:ext>
          </c:extLst>
        </c:ser>
        <c:ser>
          <c:idx val="2"/>
          <c:order val="2"/>
          <c:tx>
            <c:v>Janz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NaCl!$AI$51:$AI$54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NaCl!$AJ$51:$AJ$54</c:f>
              <c:numCache>
                <c:formatCode>General</c:formatCode>
                <c:ptCount val="4"/>
                <c:pt idx="0">
                  <c:v>1.5417191000000001</c:v>
                </c:pt>
                <c:pt idx="1">
                  <c:v>1.4874191000000001</c:v>
                </c:pt>
                <c:pt idx="2">
                  <c:v>1.4331191000000001</c:v>
                </c:pt>
                <c:pt idx="3">
                  <c:v>1.3788191000000001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2-6F4F-AED8-285708734BB4}"/>
            </c:ext>
          </c:extLst>
        </c:ser>
        <c:ser>
          <c:idx val="3"/>
          <c:order val="3"/>
          <c:tx>
            <c:v>Na_pv 400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NaCl!$AI$51:$AI$54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NaCl!$AK$51:$AK$54</c:f>
              <c:numCache>
                <c:formatCode>General</c:formatCode>
                <c:ptCount val="4"/>
                <c:pt idx="3">
                  <c:v>1.3993798588103539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2-6F4F-AED8-28570873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6815"/>
        <c:axId val="1182302847"/>
      </c:scatterChart>
      <c:valAx>
        <c:axId val="430096815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2302847"/>
        <c:crosses val="autoZero"/>
        <c:crossBetween val="midCat"/>
      </c:valAx>
      <c:valAx>
        <c:axId val="118230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NaCl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0968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275282863176741"/>
          <c:y val="8.2966513801159464E-2"/>
          <c:w val="0.28815999562554678"/>
          <c:h val="0.354668999708369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NaCl!$AC$45:$AC$48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NaCl!$AK$45:$AK$48</c:f>
              <c:numCache>
                <c:formatCode>General</c:formatCode>
                <c:ptCount val="4"/>
                <c:pt idx="0">
                  <c:v>42.074264290601747</c:v>
                </c:pt>
                <c:pt idx="1">
                  <c:v>45.816866463047241</c:v>
                </c:pt>
                <c:pt idx="2">
                  <c:v>41.9143075409022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9-3541-AAAF-43FF3519AE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NaCl!$Q$18:$Q$21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NaCl!$Y$18:$Y$20</c:f>
              <c:numCache>
                <c:formatCode>General</c:formatCode>
                <c:ptCount val="3"/>
                <c:pt idx="0">
                  <c:v>31.951819064380878</c:v>
                </c:pt>
                <c:pt idx="1">
                  <c:v>45.480778413112361</c:v>
                </c:pt>
                <c:pt idx="2">
                  <c:v>46.26012934325172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9-3541-AAAF-43FF3519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6815"/>
        <c:axId val="1182302847"/>
      </c:scatterChart>
      <c:valAx>
        <c:axId val="4300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02847"/>
        <c:crosses val="autoZero"/>
        <c:crossBetween val="midCat"/>
      </c:valAx>
      <c:valAx>
        <c:axId val="11823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9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Na_pv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NaCl!$G$9:$G$13</c:f>
              <c:numCache>
                <c:formatCode>General</c:formatCode>
                <c:ptCount val="5"/>
                <c:pt idx="0">
                  <c:v>4741.63</c:v>
                </c:pt>
                <c:pt idx="1">
                  <c:v>5044.1987473777472</c:v>
                </c:pt>
                <c:pt idx="2">
                  <c:v>5200.1940097045899</c:v>
                </c:pt>
                <c:pt idx="3">
                  <c:v>5359.3727394386588</c:v>
                </c:pt>
                <c:pt idx="4">
                  <c:v>5521.7670928163907</c:v>
                </c:pt>
              </c:numCache>
            </c:numRef>
          </c:xVal>
          <c:yVal>
            <c:numRef>
              <c:f>NaCl!$F$9:$F$13</c:f>
              <c:numCache>
                <c:formatCode>General</c:formatCode>
                <c:ptCount val="5"/>
                <c:pt idx="0">
                  <c:v>8.4335026666666693</c:v>
                </c:pt>
                <c:pt idx="1">
                  <c:v>3.8971893333333298</c:v>
                </c:pt>
                <c:pt idx="2">
                  <c:v>1.70618133333333</c:v>
                </c:pt>
                <c:pt idx="3">
                  <c:v>0.631697333333334</c:v>
                </c:pt>
                <c:pt idx="4">
                  <c:v>-0.61530799999999997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E-184A-BE30-C84C2D6DFFE6}"/>
            </c:ext>
          </c:extLst>
        </c:ser>
        <c:ser>
          <c:idx val="1"/>
          <c:order val="1"/>
          <c:tx>
            <c:v>Na_s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NaCl!$AH$9:$AH$14</c:f>
              <c:numCache>
                <c:formatCode>General</c:formatCode>
                <c:ptCount val="6"/>
                <c:pt idx="0">
                  <c:v>4689.51</c:v>
                </c:pt>
                <c:pt idx="1">
                  <c:v>4834.5362726096264</c:v>
                </c:pt>
                <c:pt idx="2">
                  <c:v>4982.5221633843048</c:v>
                </c:pt>
                <c:pt idx="3">
                  <c:v>5133.4975674570105</c:v>
                </c:pt>
                <c:pt idx="4">
                  <c:v>5287.4923799607313</c:v>
                </c:pt>
                <c:pt idx="5">
                  <c:v>5444.5364960284405</c:v>
                </c:pt>
              </c:numCache>
            </c:numRef>
          </c:xVal>
          <c:yVal>
            <c:numRef>
              <c:f>NaCl!$AG$9:$AG$14</c:f>
              <c:numCache>
                <c:formatCode>General</c:formatCode>
                <c:ptCount val="6"/>
                <c:pt idx="0">
                  <c:v>8.9841466666666605</c:v>
                </c:pt>
                <c:pt idx="1">
                  <c:v>6.0229946666666603</c:v>
                </c:pt>
                <c:pt idx="2">
                  <c:v>4.0118720000000003</c:v>
                </c:pt>
                <c:pt idx="3">
                  <c:v>2.0158386666666699</c:v>
                </c:pt>
                <c:pt idx="4">
                  <c:v>0.74687466666666702</c:v>
                </c:pt>
                <c:pt idx="5">
                  <c:v>-0.157677333333334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E-184A-BE30-C84C2D6DFFE6}"/>
            </c:ext>
          </c:extLst>
        </c:ser>
        <c:ser>
          <c:idx val="2"/>
          <c:order val="2"/>
          <c:tx>
            <c:v>Na_pv_400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NaCl!$AW$9:$AW$13</c:f>
              <c:numCache>
                <c:formatCode>General</c:formatCode>
                <c:ptCount val="5"/>
                <c:pt idx="0">
                  <c:v>5044.2008749999986</c:v>
                </c:pt>
                <c:pt idx="1">
                  <c:v>5200.1962031249996</c:v>
                </c:pt>
                <c:pt idx="2">
                  <c:v>5359.375</c:v>
                </c:pt>
                <c:pt idx="3">
                  <c:v>5521.7694218750012</c:v>
                </c:pt>
                <c:pt idx="4">
                  <c:v>5687.4116250000015</c:v>
                </c:pt>
              </c:numCache>
            </c:numRef>
          </c:xVal>
          <c:yVal>
            <c:numRef>
              <c:f>NaCl!$AV$9:$AV$13</c:f>
              <c:numCache>
                <c:formatCode>General</c:formatCode>
                <c:ptCount val="5"/>
                <c:pt idx="0">
                  <c:v>5.1731066666666647</c:v>
                </c:pt>
                <c:pt idx="1">
                  <c:v>3.1563315833333299</c:v>
                </c:pt>
                <c:pt idx="2">
                  <c:v>2.1220066666666701</c:v>
                </c:pt>
                <c:pt idx="3">
                  <c:v>0.619918328151986</c:v>
                </c:pt>
                <c:pt idx="4">
                  <c:v>-0.36554666666666702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E-184A-BE30-C84C2D6D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6815"/>
        <c:axId val="1182302847"/>
      </c:scatterChart>
      <c:valAx>
        <c:axId val="430096815"/>
        <c:scaling>
          <c:orientation val="minMax"/>
          <c:min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2302847"/>
        <c:crosses val="autoZero"/>
        <c:crossBetween val="midCat"/>
      </c:valAx>
      <c:valAx>
        <c:axId val="118230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NaCl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0968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275282863176741"/>
          <c:y val="8.2966513801159464E-2"/>
          <c:w val="0.29857666229221347"/>
          <c:h val="0.26600174978127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NaCl!$BH$7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NaCl!$BH$8:$BH$9</c:f>
              <c:numCache>
                <c:formatCode>General</c:formatCode>
                <c:ptCount val="2"/>
                <c:pt idx="0">
                  <c:v>1.4468101500880695</c:v>
                </c:pt>
                <c:pt idx="1">
                  <c:v>1.5623919353476561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7-4B43-8EEA-863DC126751B}"/>
            </c:ext>
          </c:extLst>
        </c:ser>
        <c:ser>
          <c:idx val="1"/>
          <c:order val="1"/>
          <c:tx>
            <c:strRef>
              <c:f>NaCl!$BI$7</c:f>
              <c:strCache>
                <c:ptCount val="1"/>
                <c:pt idx="0">
                  <c:v>pv 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NaCl!$BI$8:$BI$9</c:f>
              <c:numCache>
                <c:formatCode>General</c:formatCode>
                <c:ptCount val="2"/>
                <c:pt idx="0">
                  <c:v>1.3993798588103539</c:v>
                </c:pt>
                <c:pt idx="1">
                  <c:v>1.5254816355216421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4B43-8EEA-863DC126751B}"/>
            </c:ext>
          </c:extLst>
        </c:ser>
        <c:ser>
          <c:idx val="2"/>
          <c:order val="2"/>
          <c:tx>
            <c:strRef>
              <c:f>NaCl!$BJ$7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NaCl!$BJ$8:$BJ$9</c:f>
              <c:numCache>
                <c:formatCode>General</c:formatCode>
                <c:ptCount val="2"/>
                <c:pt idx="0">
                  <c:v>1.4532026290949156</c:v>
                </c:pt>
                <c:pt idx="1">
                  <c:v>1.5766944702565235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87-4B43-8EEA-863DC126751B}"/>
            </c:ext>
          </c:extLst>
        </c:ser>
        <c:ser>
          <c:idx val="3"/>
          <c:order val="3"/>
          <c:tx>
            <c:strRef>
              <c:f>NaCl!$BK$7</c:f>
              <c:strCache>
                <c:ptCount val="1"/>
                <c:pt idx="0">
                  <c:v>s400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NaCl!$BK$8:$BK$9</c:f>
              <c:numCache>
                <c:formatCode>General</c:formatCode>
                <c:ptCount val="2"/>
                <c:pt idx="0">
                  <c:v>1.3527358326435219</c:v>
                </c:pt>
                <c:pt idx="1">
                  <c:v>1.4812143284252643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87-4B43-8EEA-863DC126751B}"/>
            </c:ext>
          </c:extLst>
        </c:ser>
        <c:ser>
          <c:idx val="4"/>
          <c:order val="4"/>
          <c:tx>
            <c:strRef>
              <c:f>NaCl!$BM$7</c:f>
              <c:strCache>
                <c:ptCount val="1"/>
                <c:pt idx="0">
                  <c:v>Janz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NaCl!$BM$8:$BM$9</c:f>
              <c:numCache>
                <c:formatCode>General</c:formatCode>
                <c:ptCount val="2"/>
                <c:pt idx="0">
                  <c:v>1.3792599999999999</c:v>
                </c:pt>
                <c:pt idx="1">
                  <c:v>1.5420400000000001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87-4B43-8EEA-863DC1267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6879"/>
        <c:axId val="2084645119"/>
      </c:scatterChart>
      <c:valAx>
        <c:axId val="486536879"/>
        <c:scaling>
          <c:orientation val="minMax"/>
          <c:min val="10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45119"/>
        <c:crosses val="autoZero"/>
        <c:crossBetween val="midCat"/>
      </c:valAx>
      <c:valAx>
        <c:axId val="208464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53444881889766"/>
          <c:y val="3.7602070574511786E-3"/>
          <c:w val="0.21010444006999124"/>
          <c:h val="0.385419947506561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99562554680665"/>
                  <c:y val="-0.730191382327209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'NaCl-15UCl3'!$F$11:$F$16</c:f>
              <c:numCache>
                <c:formatCode>General</c:formatCode>
                <c:ptCount val="6"/>
                <c:pt idx="0">
                  <c:v>5868.6580695028451</c:v>
                </c:pt>
                <c:pt idx="1">
                  <c:v>6048.2985857996773</c:v>
                </c:pt>
                <c:pt idx="2">
                  <c:v>6231.5680812479941</c:v>
                </c:pt>
                <c:pt idx="3">
                  <c:v>6418.5028456393056</c:v>
                </c:pt>
                <c:pt idx="4">
                  <c:v>6609.1391687651267</c:v>
                </c:pt>
                <c:pt idx="5">
                  <c:v>6803.5133404169719</c:v>
                </c:pt>
              </c:numCache>
            </c:numRef>
          </c:xVal>
          <c:yVal>
            <c:numRef>
              <c:f>'NaCl-15UCl3'!$E$11:$E$16</c:f>
              <c:numCache>
                <c:formatCode>General</c:formatCode>
                <c:ptCount val="6"/>
                <c:pt idx="0">
                  <c:v>7.1766573333333401</c:v>
                </c:pt>
                <c:pt idx="1">
                  <c:v>4.56999043112513</c:v>
                </c:pt>
                <c:pt idx="2">
                  <c:v>2.828068</c:v>
                </c:pt>
                <c:pt idx="3">
                  <c:v>1.16588266666667</c:v>
                </c:pt>
                <c:pt idx="4">
                  <c:v>0.36669866666666601</c:v>
                </c:pt>
                <c:pt idx="5">
                  <c:v>-0.72470133333333397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8-E14E-9115-C6DD9DC438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343416447944006"/>
                  <c:y val="-0.671674686497521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'NaCl-15UCl3'!$F$24:$F$28</c:f>
              <c:numCache>
                <c:formatCode>General</c:formatCode>
                <c:ptCount val="5"/>
                <c:pt idx="0">
                  <c:v>5868.6580695028451</c:v>
                </c:pt>
                <c:pt idx="1">
                  <c:v>6048.2985857996773</c:v>
                </c:pt>
                <c:pt idx="2">
                  <c:v>6231.5680812479941</c:v>
                </c:pt>
                <c:pt idx="3">
                  <c:v>6418.5028456393056</c:v>
                </c:pt>
                <c:pt idx="4">
                  <c:v>6609.1391687651267</c:v>
                </c:pt>
              </c:numCache>
            </c:numRef>
          </c:xVal>
          <c:yVal>
            <c:numRef>
              <c:f>'NaCl-15UCl3'!$E$24:$E$28</c:f>
              <c:numCache>
                <c:formatCode>General</c:formatCode>
                <c:ptCount val="5"/>
                <c:pt idx="0">
                  <c:v>5.7517560000000003</c:v>
                </c:pt>
                <c:pt idx="1">
                  <c:v>3.6304240000000001</c:v>
                </c:pt>
                <c:pt idx="2">
                  <c:v>1.3773880000000001</c:v>
                </c:pt>
                <c:pt idx="3">
                  <c:v>0.26086666666666602</c:v>
                </c:pt>
                <c:pt idx="4">
                  <c:v>-1.1329320000000001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8-E14E-9115-C6DD9DC438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0755664916885389"/>
                  <c:y val="-0.5193212306794984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'NaCl-15UCl3'!$F$36:$F$40</c:f>
              <c:numCache>
                <c:formatCode>General</c:formatCode>
                <c:ptCount val="5"/>
                <c:pt idx="0">
                  <c:v>5692.6102425659737</c:v>
                </c:pt>
                <c:pt idx="1">
                  <c:v>5868.6580695028451</c:v>
                </c:pt>
                <c:pt idx="2">
                  <c:v>6048.2985857996773</c:v>
                </c:pt>
                <c:pt idx="3">
                  <c:v>6231.5680812479941</c:v>
                </c:pt>
                <c:pt idx="4">
                  <c:v>6418.5028456393056</c:v>
                </c:pt>
              </c:numCache>
            </c:numRef>
          </c:xVal>
          <c:yVal>
            <c:numRef>
              <c:f>'NaCl-15UCl3'!$E$36:$E$40</c:f>
              <c:numCache>
                <c:formatCode>General</c:formatCode>
                <c:ptCount val="5"/>
                <c:pt idx="0">
                  <c:v>7.4694266666666698</c:v>
                </c:pt>
                <c:pt idx="1">
                  <c:v>4.6737186666666704</c:v>
                </c:pt>
                <c:pt idx="2">
                  <c:v>2.0257826666666698</c:v>
                </c:pt>
                <c:pt idx="3">
                  <c:v>0.49536266666666701</c:v>
                </c:pt>
                <c:pt idx="4">
                  <c:v>-1.2533232164296999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8-E14E-9115-C6DD9DC438E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115682414698162"/>
                  <c:y val="-0.403505395158938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'NaCl-15UCl3'!$F$48:$F$51</c:f>
              <c:numCache>
                <c:formatCode>General</c:formatCode>
                <c:ptCount val="4"/>
                <c:pt idx="0">
                  <c:v>5692.6102425659737</c:v>
                </c:pt>
                <c:pt idx="1">
                  <c:v>5868.6580695028451</c:v>
                </c:pt>
                <c:pt idx="2">
                  <c:v>6048.2985857996773</c:v>
                </c:pt>
                <c:pt idx="3">
                  <c:v>6231.5680812479941</c:v>
                </c:pt>
              </c:numCache>
            </c:numRef>
          </c:xVal>
          <c:yVal>
            <c:numRef>
              <c:f>'NaCl-15UCl3'!$E$48:$E$51</c:f>
              <c:numCache>
                <c:formatCode>General</c:formatCode>
                <c:ptCount val="4"/>
                <c:pt idx="0">
                  <c:v>5.8861244444444472</c:v>
                </c:pt>
                <c:pt idx="1">
                  <c:v>2.6608600000000022</c:v>
                </c:pt>
                <c:pt idx="2">
                  <c:v>1.35563066666667</c:v>
                </c:pt>
                <c:pt idx="3">
                  <c:v>-0.74962333333333153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8-E14E-9115-C6DD9DC4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23583"/>
        <c:axId val="722958879"/>
      </c:scatterChart>
      <c:valAx>
        <c:axId val="430823583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58879"/>
        <c:crosses val="autoZero"/>
        <c:crossBetween val="midCat"/>
      </c:valAx>
      <c:valAx>
        <c:axId val="72295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2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'NaCl-33UCl3'!$D$61</c:f>
              <c:strCache>
                <c:ptCount val="1"/>
                <c:pt idx="0">
                  <c:v>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'NaCl-33UCl3'!$D$62:$D$63</c:f>
              <c:numCache>
                <c:formatCode>0.00</c:formatCode>
                <c:ptCount val="2"/>
                <c:pt idx="0">
                  <c:v>2.7838062593559969</c:v>
                </c:pt>
                <c:pt idx="1">
                  <c:v>2.9899593412654659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E-9548-89F5-70DA78C36A2A}"/>
            </c:ext>
          </c:extLst>
        </c:ser>
        <c:ser>
          <c:idx val="1"/>
          <c:order val="1"/>
          <c:tx>
            <c:strRef>
              <c:f>'NaCl-33UCl3'!$E$61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'NaCl-33UCl3'!$E$62:$E$63</c:f>
              <c:numCache>
                <c:formatCode>0.00</c:formatCode>
                <c:ptCount val="2"/>
                <c:pt idx="0">
                  <c:v>2.7659426145492829</c:v>
                </c:pt>
                <c:pt idx="1">
                  <c:v>2.9530960312475609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E-9548-89F5-70DA78C36A2A}"/>
            </c:ext>
          </c:extLst>
        </c:ser>
        <c:ser>
          <c:idx val="2"/>
          <c:order val="2"/>
          <c:tx>
            <c:strRef>
              <c:f>'NaCl-33UCl3'!$F$61</c:f>
              <c:strCache>
                <c:ptCount val="1"/>
                <c:pt idx="0">
                  <c:v>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'NaCl-33UCl3'!$F$62:$F$63</c:f>
              <c:numCache>
                <c:formatCode>0.00</c:formatCode>
                <c:ptCount val="2"/>
                <c:pt idx="0">
                  <c:v>2.8198524997652195</c:v>
                </c:pt>
                <c:pt idx="1">
                  <c:v>2.9935667658944904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E-9548-89F5-70DA78C36A2A}"/>
            </c:ext>
          </c:extLst>
        </c:ser>
        <c:ser>
          <c:idx val="3"/>
          <c:order val="3"/>
          <c:tx>
            <c:strRef>
              <c:f>'NaCl-33UCl3'!$G$61</c:f>
              <c:strCache>
                <c:ptCount val="1"/>
                <c:pt idx="0">
                  <c:v>U0 400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'NaCl-33UCl3'!$G$62:$G$63</c:f>
              <c:numCache>
                <c:formatCode>0.00</c:formatCode>
                <c:ptCount val="2"/>
                <c:pt idx="0">
                  <c:v>2.7233666586744576</c:v>
                </c:pt>
                <c:pt idx="1">
                  <c:v>2.9129004034350547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E-9548-89F5-70DA78C36A2A}"/>
            </c:ext>
          </c:extLst>
        </c:ser>
        <c:ser>
          <c:idx val="4"/>
          <c:order val="4"/>
          <c:tx>
            <c:strRef>
              <c:f>'NaCl-33UCl3'!$H$61</c:f>
              <c:strCache>
                <c:ptCount val="1"/>
                <c:pt idx="0">
                  <c:v>U1 400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'NaCl-33UCl3'!$H$62:$H$63</c:f>
              <c:numCache>
                <c:formatCode>0.00</c:formatCode>
                <c:ptCount val="2"/>
                <c:pt idx="0">
                  <c:v>2.722597314654188</c:v>
                </c:pt>
                <c:pt idx="1">
                  <c:v>2.8927853394566694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E-9548-89F5-70DA78C36A2A}"/>
            </c:ext>
          </c:extLst>
        </c:ser>
        <c:ser>
          <c:idx val="5"/>
          <c:order val="5"/>
          <c:tx>
            <c:strRef>
              <c:f>'NaCl-33UCl3'!$I$61</c:f>
              <c:strCache>
                <c:ptCount val="1"/>
                <c:pt idx="0">
                  <c:v>U4 400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'NaCl-33UCl3'!$I$62:$I$63</c:f>
              <c:numCache>
                <c:formatCode>0.00</c:formatCode>
                <c:ptCount val="2"/>
                <c:pt idx="0">
                  <c:v>2.7369881861745031</c:v>
                </c:pt>
                <c:pt idx="1">
                  <c:v>2.922414118113382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1E-9548-89F5-70DA78C36A2A}"/>
            </c:ext>
          </c:extLst>
        </c:ser>
        <c:ser>
          <c:idx val="6"/>
          <c:order val="6"/>
          <c:tx>
            <c:strRef>
              <c:f>'NaCl-33UCl3'!$J$61</c:f>
              <c:strCache>
                <c:ptCount val="1"/>
                <c:pt idx="0">
                  <c:v>U0 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'NaCl-33UCl3'!$J$62:$J$63</c:f>
              <c:numCache>
                <c:formatCode>0.00</c:formatCode>
                <c:ptCount val="2"/>
                <c:pt idx="0">
                  <c:v>2.7983475752220062</c:v>
                </c:pt>
                <c:pt idx="1">
                  <c:v>2.9736472029438414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1E-9548-89F5-70DA78C36A2A}"/>
            </c:ext>
          </c:extLst>
        </c:ser>
        <c:ser>
          <c:idx val="7"/>
          <c:order val="7"/>
          <c:tx>
            <c:strRef>
              <c:f>'NaCl-33UCl3'!$K$61</c:f>
              <c:strCache>
                <c:ptCount val="1"/>
                <c:pt idx="0">
                  <c:v>U0 s 400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'NaCl-33UCl3'!$K$62:$K$63</c:f>
              <c:numCache>
                <c:formatCode>0.00</c:formatCode>
                <c:ptCount val="2"/>
                <c:pt idx="0">
                  <c:v>2.7457622592527628</c:v>
                </c:pt>
                <c:pt idx="1">
                  <c:v>2.9266107916197877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E-9548-89F5-70DA78C3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53023"/>
        <c:axId val="1061465536"/>
      </c:scatterChart>
      <c:valAx>
        <c:axId val="1994853023"/>
        <c:scaling>
          <c:orientation val="minMax"/>
          <c:min val="10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65536"/>
        <c:crosses val="autoZero"/>
        <c:crossBetween val="midCat"/>
      </c:valAx>
      <c:valAx>
        <c:axId val="10614655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5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32877811761132"/>
          <c:y val="0.48379410906969961"/>
          <c:w val="0.24928830177219577"/>
          <c:h val="0.379634004082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1400 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'NaCl-33UCl3'!$D$61:$K$61</c:f>
              <c:strCache>
                <c:ptCount val="8"/>
                <c:pt idx="0">
                  <c:v>U0</c:v>
                </c:pt>
                <c:pt idx="1">
                  <c:v>U1</c:v>
                </c:pt>
                <c:pt idx="2">
                  <c:v>U4</c:v>
                </c:pt>
                <c:pt idx="3">
                  <c:v>U0 400</c:v>
                </c:pt>
                <c:pt idx="4">
                  <c:v>U1 400</c:v>
                </c:pt>
                <c:pt idx="5">
                  <c:v>U4 400</c:v>
                </c:pt>
                <c:pt idx="6">
                  <c:v>U0 s</c:v>
                </c:pt>
                <c:pt idx="7">
                  <c:v>U0 s 400</c:v>
                </c:pt>
              </c:strCache>
            </c:strRef>
          </c:cat>
          <c:val>
            <c:numRef>
              <c:f>'NaCl-33UCl3'!$D$62:$K$62</c:f>
              <c:numCache>
                <c:formatCode>0.00</c:formatCode>
                <c:ptCount val="8"/>
                <c:pt idx="0">
                  <c:v>2.7838062593559969</c:v>
                </c:pt>
                <c:pt idx="1">
                  <c:v>2.7659426145492829</c:v>
                </c:pt>
                <c:pt idx="2">
                  <c:v>2.8198524997652195</c:v>
                </c:pt>
                <c:pt idx="3">
                  <c:v>2.7233666586744576</c:v>
                </c:pt>
                <c:pt idx="4">
                  <c:v>2.722597314654188</c:v>
                </c:pt>
                <c:pt idx="5">
                  <c:v>2.7369881861745031</c:v>
                </c:pt>
                <c:pt idx="6">
                  <c:v>2.7983475752220062</c:v>
                </c:pt>
                <c:pt idx="7">
                  <c:v>2.7457622592527628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1-1744-8EDE-C6E7ADBB4517}"/>
            </c:ext>
          </c:extLst>
        </c:ser>
        <c:ser>
          <c:idx val="1"/>
          <c:order val="1"/>
          <c:tx>
            <c:v>1100 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'NaCl-33UCl3'!$D$61:$K$61</c:f>
              <c:strCache>
                <c:ptCount val="8"/>
                <c:pt idx="0">
                  <c:v>U0</c:v>
                </c:pt>
                <c:pt idx="1">
                  <c:v>U1</c:v>
                </c:pt>
                <c:pt idx="2">
                  <c:v>U4</c:v>
                </c:pt>
                <c:pt idx="3">
                  <c:v>U0 400</c:v>
                </c:pt>
                <c:pt idx="4">
                  <c:v>U1 400</c:v>
                </c:pt>
                <c:pt idx="5">
                  <c:v>U4 400</c:v>
                </c:pt>
                <c:pt idx="6">
                  <c:v>U0 s</c:v>
                </c:pt>
                <c:pt idx="7">
                  <c:v>U0 s 400</c:v>
                </c:pt>
              </c:strCache>
            </c:strRef>
          </c:cat>
          <c:val>
            <c:numRef>
              <c:f>'NaCl-33UCl3'!$D$63:$K$63</c:f>
              <c:numCache>
                <c:formatCode>0.00</c:formatCode>
                <c:ptCount val="8"/>
                <c:pt idx="0">
                  <c:v>2.9899593412654659</c:v>
                </c:pt>
                <c:pt idx="1">
                  <c:v>2.9530960312475609</c:v>
                </c:pt>
                <c:pt idx="2">
                  <c:v>2.9935667658944904</c:v>
                </c:pt>
                <c:pt idx="3">
                  <c:v>2.9129004034350547</c:v>
                </c:pt>
                <c:pt idx="4">
                  <c:v>2.8927853394566694</c:v>
                </c:pt>
                <c:pt idx="5">
                  <c:v>2.922414118113382</c:v>
                </c:pt>
                <c:pt idx="6">
                  <c:v>2.9736472029438414</c:v>
                </c:pt>
                <c:pt idx="7">
                  <c:v>2.9266107916197877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1-1744-8EDE-C6E7ADBB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05551"/>
        <c:axId val="1874985887"/>
      </c:lineChart>
      <c:catAx>
        <c:axId val="18685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85887"/>
        <c:crosses val="autoZero"/>
        <c:auto val="1"/>
        <c:lblAlgn val="ctr"/>
        <c:lblOffset val="100"/>
        <c:noMultiLvlLbl val="0"/>
      </c:catAx>
      <c:valAx>
        <c:axId val="18749858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0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30</xdr:row>
      <xdr:rowOff>38100</xdr:rowOff>
    </xdr:from>
    <xdr:to>
      <xdr:col>21</xdr:col>
      <xdr:colOff>76200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E9FC2-EB3F-E647-9A61-10AEAA17F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20</xdr:col>
      <xdr:colOff>355600</xdr:colOff>
      <xdr:row>58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575DE-4CA7-D54F-A61B-CC23FC61D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374650</xdr:colOff>
      <xdr:row>25</xdr:row>
      <xdr:rowOff>190500</xdr:rowOff>
    </xdr:from>
    <xdr:to>
      <xdr:col>33</xdr:col>
      <xdr:colOff>730250</xdr:colOff>
      <xdr:row>39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1B486-6649-954F-AEBF-BFAB1C7D7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558800</xdr:colOff>
      <xdr:row>38</xdr:row>
      <xdr:rowOff>139700</xdr:rowOff>
    </xdr:from>
    <xdr:to>
      <xdr:col>40</xdr:col>
      <xdr:colOff>6350</xdr:colOff>
      <xdr:row>52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794F4-E902-804F-8A1B-BAE0C5A88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444500</xdr:colOff>
      <xdr:row>14</xdr:row>
      <xdr:rowOff>38100</xdr:rowOff>
    </xdr:from>
    <xdr:to>
      <xdr:col>61</xdr:col>
      <xdr:colOff>800100</xdr:colOff>
      <xdr:row>27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24E1F0-E21A-E143-A9D6-073D44091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133350</xdr:colOff>
      <xdr:row>12</xdr:row>
      <xdr:rowOff>184150</xdr:rowOff>
    </xdr:from>
    <xdr:to>
      <xdr:col>66</xdr:col>
      <xdr:colOff>488950</xdr:colOff>
      <xdr:row>26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B385A-C7D9-CF4F-B3DF-DDFD2CA99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7</xdr:row>
      <xdr:rowOff>146050</xdr:rowOff>
    </xdr:from>
    <xdr:to>
      <xdr:col>17</xdr:col>
      <xdr:colOff>488950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E69F1-0CE4-8B4B-991B-F90434896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69</xdr:row>
      <xdr:rowOff>184150</xdr:rowOff>
    </xdr:from>
    <xdr:to>
      <xdr:col>7</xdr:col>
      <xdr:colOff>323850</xdr:colOff>
      <xdr:row>83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E1571-E28E-1345-98BC-5A2A884E3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768350</xdr:colOff>
      <xdr:row>68</xdr:row>
      <xdr:rowOff>146050</xdr:rowOff>
    </xdr:from>
    <xdr:to>
      <xdr:col>12</xdr:col>
      <xdr:colOff>393700</xdr:colOff>
      <xdr:row>82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4762FB-D329-2B4B-A979-7F6E3BC6B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762000</xdr:colOff>
      <xdr:row>83</xdr:row>
      <xdr:rowOff>76200</xdr:rowOff>
    </xdr:from>
    <xdr:to>
      <xdr:col>12</xdr:col>
      <xdr:colOff>393700</xdr:colOff>
      <xdr:row>96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3A8D13-E1EF-E242-B0A8-C6BCACD7D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577850</xdr:colOff>
      <xdr:row>32</xdr:row>
      <xdr:rowOff>171450</xdr:rowOff>
    </xdr:from>
    <xdr:to>
      <xdr:col>57</xdr:col>
      <xdr:colOff>196850</xdr:colOff>
      <xdr:row>46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11B018-EACD-3949-B505-DC2C92393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23</xdr:row>
      <xdr:rowOff>6350</xdr:rowOff>
    </xdr:from>
    <xdr:to>
      <xdr:col>22</xdr:col>
      <xdr:colOff>463550</xdr:colOff>
      <xdr:row>36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EF265-E3F4-7A40-8357-C656EA40E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0</xdr:row>
      <xdr:rowOff>158750</xdr:rowOff>
    </xdr:from>
    <xdr:to>
      <xdr:col>20</xdr:col>
      <xdr:colOff>806450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665AE-0F2D-6F42-9927-846A8C9A6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92</xdr:col>
      <xdr:colOff>196850</xdr:colOff>
      <xdr:row>1</xdr:row>
      <xdr:rowOff>171450</xdr:rowOff>
    </xdr:from>
    <xdr:to>
      <xdr:col>97</xdr:col>
      <xdr:colOff>406400</xdr:colOff>
      <xdr:row>21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CCED1A-61A6-0746-8B8A-468010701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501650</xdr:colOff>
      <xdr:row>46</xdr:row>
      <xdr:rowOff>107950</xdr:rowOff>
    </xdr:from>
    <xdr:to>
      <xdr:col>22</xdr:col>
      <xdr:colOff>254000</xdr:colOff>
      <xdr:row>59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D96E2-A725-6A47-88C7-D2BEF20F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92</xdr:col>
      <xdr:colOff>0</xdr:colOff>
      <xdr:row>22</xdr:row>
      <xdr:rowOff>0</xdr:rowOff>
    </xdr:from>
    <xdr:to>
      <xdr:col>97</xdr:col>
      <xdr:colOff>209550</xdr:colOff>
      <xdr:row>41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72CE55-CCDB-8E44-B114-29793800C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196850</xdr:colOff>
      <xdr:row>59</xdr:row>
      <xdr:rowOff>63500</xdr:rowOff>
    </xdr:from>
    <xdr:to>
      <xdr:col>15</xdr:col>
      <xdr:colOff>457200</xdr:colOff>
      <xdr:row>70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FCBF6-3D9E-804C-BFC5-00C011C32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711200</xdr:colOff>
      <xdr:row>60</xdr:row>
      <xdr:rowOff>114300</xdr:rowOff>
    </xdr:from>
    <xdr:to>
      <xdr:col>22</xdr:col>
      <xdr:colOff>50800</xdr:colOff>
      <xdr:row>72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BF8323-5ABF-A742-83F8-8BE0D2A1F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22</xdr:row>
      <xdr:rowOff>69850</xdr:rowOff>
    </xdr:from>
    <xdr:to>
      <xdr:col>22</xdr:col>
      <xdr:colOff>584200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04013-0DA0-5F4B-A26F-FB9A8B9A0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654050</xdr:colOff>
      <xdr:row>53</xdr:row>
      <xdr:rowOff>19050</xdr:rowOff>
    </xdr:from>
    <xdr:to>
      <xdr:col>17</xdr:col>
      <xdr:colOff>273050</xdr:colOff>
      <xdr:row>66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61C54-4EF3-3442-A0DD-F8AF17C1C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17</xdr:col>
      <xdr:colOff>355600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3B8F1-57FF-464D-8698-C36C23C24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31</xdr:row>
      <xdr:rowOff>57150</xdr:rowOff>
    </xdr:from>
    <xdr:to>
      <xdr:col>13</xdr:col>
      <xdr:colOff>260350</xdr:colOff>
      <xdr:row>44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D8874-F7E7-D744-811B-7FA9CC65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2593-4C4E-074F-AF12-FA50A151F183}">
  <dimension ref="B1:BO58"/>
  <sheetViews>
    <sheetView tabSelected="1" topLeftCell="AO1" workbookViewId="0">
      <selection activeCell="AU4" sqref="AU4"/>
    </sheetView>
  </sheetViews>
  <sheetFormatPr baseColWidth="10" defaultRowHeight="16" x14ac:dyDescent="0.2"/>
  <cols>
    <col min="9" max="9" width="12.1640625" bestFit="1" customWidth="1"/>
    <col min="27" max="27" width="10.83203125" style="12"/>
    <col min="43" max="43" width="10.83203125" style="11"/>
    <col min="51" max="51" width="12.1640625" bestFit="1" customWidth="1"/>
  </cols>
  <sheetData>
    <row r="1" spans="2:67" x14ac:dyDescent="0.2">
      <c r="G1" t="s">
        <v>45</v>
      </c>
    </row>
    <row r="2" spans="2:67" x14ac:dyDescent="0.2">
      <c r="D2" t="s">
        <v>0</v>
      </c>
      <c r="E2">
        <v>23</v>
      </c>
      <c r="G2">
        <f>E2+E4</f>
        <v>58.5</v>
      </c>
      <c r="H2" t="s">
        <v>5</v>
      </c>
      <c r="AX2">
        <v>-224.65484569333299</v>
      </c>
      <c r="AY2">
        <v>22.828594666666699</v>
      </c>
      <c r="AZ2">
        <v>-2.38388666666666</v>
      </c>
    </row>
    <row r="3" spans="2:67" x14ac:dyDescent="0.2">
      <c r="D3" t="s">
        <v>44</v>
      </c>
      <c r="E3">
        <v>24</v>
      </c>
    </row>
    <row r="4" spans="2:67" x14ac:dyDescent="0.2">
      <c r="D4" t="s">
        <v>1</v>
      </c>
      <c r="E4">
        <v>35.5</v>
      </c>
      <c r="G4" t="s">
        <v>46</v>
      </c>
      <c r="AC4" t="s">
        <v>73</v>
      </c>
      <c r="AR4" t="s">
        <v>86</v>
      </c>
      <c r="AX4">
        <v>-223.932811466667</v>
      </c>
      <c r="AY4">
        <v>22.9122573333334</v>
      </c>
      <c r="AZ4">
        <v>-2.12852</v>
      </c>
    </row>
    <row r="5" spans="2:67" x14ac:dyDescent="0.2">
      <c r="G5" t="s">
        <v>47</v>
      </c>
      <c r="H5" s="5">
        <f>81/(6.02E+23)</f>
        <v>1.3455149501661131E-22</v>
      </c>
      <c r="AX5">
        <v>-224.82418256</v>
      </c>
      <c r="AY5">
        <v>22.474672666666599</v>
      </c>
      <c r="AZ5">
        <v>-1.7574066666666699</v>
      </c>
    </row>
    <row r="6" spans="2:67" x14ac:dyDescent="0.2">
      <c r="G6" t="s">
        <v>9</v>
      </c>
      <c r="H6" s="5">
        <f>H5*G2</f>
        <v>7.8712624584717621E-21</v>
      </c>
      <c r="AX6">
        <v>-224.69496138666699</v>
      </c>
      <c r="AY6">
        <v>22.30538</v>
      </c>
      <c r="AZ6">
        <v>-2.30263333333333</v>
      </c>
    </row>
    <row r="7" spans="2:67" x14ac:dyDescent="0.2">
      <c r="H7" s="5"/>
      <c r="AX7">
        <f>AVERAGE(AX2:AX6)</f>
        <v>-224.52670027666676</v>
      </c>
      <c r="AY7">
        <f t="shared" ref="AY7:AZ7" si="0">AVERAGE(AY2:AY6)</f>
        <v>22.630226166666677</v>
      </c>
      <c r="AZ7">
        <f t="shared" si="0"/>
        <v>-2.1431116666666652</v>
      </c>
      <c r="BH7" t="s">
        <v>112</v>
      </c>
      <c r="BI7" t="s">
        <v>113</v>
      </c>
      <c r="BJ7" t="s">
        <v>114</v>
      </c>
      <c r="BK7" t="s">
        <v>115</v>
      </c>
      <c r="BM7" t="s">
        <v>58</v>
      </c>
      <c r="BO7" t="s">
        <v>123</v>
      </c>
    </row>
    <row r="8" spans="2:67" x14ac:dyDescent="0.2">
      <c r="B8">
        <v>1400</v>
      </c>
      <c r="C8" t="s">
        <v>25</v>
      </c>
      <c r="G8" t="s">
        <v>14</v>
      </c>
      <c r="H8" t="s">
        <v>26</v>
      </c>
      <c r="I8" t="s">
        <v>27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Q8" t="s">
        <v>33</v>
      </c>
      <c r="S8" s="2" t="s">
        <v>34</v>
      </c>
      <c r="T8" t="s">
        <v>48</v>
      </c>
      <c r="U8" t="s">
        <v>49</v>
      </c>
      <c r="AC8">
        <v>1400</v>
      </c>
      <c r="AD8" t="s">
        <v>25</v>
      </c>
      <c r="AH8" t="s">
        <v>14</v>
      </c>
      <c r="AI8" t="s">
        <v>26</v>
      </c>
      <c r="AJ8" t="s">
        <v>27</v>
      </c>
      <c r="AK8" t="s">
        <v>28</v>
      </c>
      <c r="AL8" t="s">
        <v>29</v>
      </c>
      <c r="AM8" t="s">
        <v>30</v>
      </c>
      <c r="AN8" t="s">
        <v>31</v>
      </c>
      <c r="AO8" t="s">
        <v>32</v>
      </c>
      <c r="AR8">
        <v>1400</v>
      </c>
      <c r="AS8" t="s">
        <v>25</v>
      </c>
      <c r="AW8" t="s">
        <v>14</v>
      </c>
      <c r="AX8" t="s">
        <v>26</v>
      </c>
      <c r="AY8" t="s">
        <v>27</v>
      </c>
      <c r="AZ8" t="s">
        <v>28</v>
      </c>
      <c r="BA8" t="s">
        <v>29</v>
      </c>
      <c r="BB8" t="s">
        <v>30</v>
      </c>
      <c r="BC8" t="s">
        <v>31</v>
      </c>
      <c r="BD8" t="s">
        <v>32</v>
      </c>
      <c r="BG8">
        <v>1400</v>
      </c>
      <c r="BH8">
        <v>1.4468101500880695</v>
      </c>
      <c r="BI8">
        <v>1.3993798588103539</v>
      </c>
      <c r="BJ8">
        <v>1.4532026290949156</v>
      </c>
      <c r="BK8">
        <v>1.3527358326435219</v>
      </c>
      <c r="BM8">
        <v>1.3792599999999999</v>
      </c>
      <c r="BO8">
        <v>1.3655047370710551</v>
      </c>
    </row>
    <row r="9" spans="2:67" x14ac:dyDescent="0.2">
      <c r="C9">
        <v>0.96</v>
      </c>
      <c r="D9">
        <v>-224.53311916266699</v>
      </c>
      <c r="E9">
        <v>28.0474429333334</v>
      </c>
      <c r="F9">
        <v>8.4335026666666693</v>
      </c>
      <c r="G9">
        <v>4741.63</v>
      </c>
      <c r="H9">
        <f>G9^(1/3)</f>
        <v>16.799997637943733</v>
      </c>
      <c r="I9">
        <f>G9*(10^-24)</f>
        <v>4.7416300000000003E-21</v>
      </c>
      <c r="J9" s="3">
        <f>$H$6/I9</f>
        <v>1.6600330389490032</v>
      </c>
      <c r="Q9">
        <v>1400</v>
      </c>
      <c r="R9">
        <f>-L12*(2*0.0000105*L12-0.119)</f>
        <v>25.71511544948957</v>
      </c>
      <c r="S9" t="s">
        <v>35</v>
      </c>
      <c r="T9">
        <f>1/R9</f>
        <v>3.8887634082928037E-2</v>
      </c>
      <c r="U9">
        <f>T9/0.1</f>
        <v>0.38887634082928035</v>
      </c>
      <c r="AD9">
        <v>0.98</v>
      </c>
      <c r="AE9">
        <v>-305.64860911199997</v>
      </c>
      <c r="AF9">
        <v>28.589103600000001</v>
      </c>
      <c r="AG9">
        <v>8.9841466666666605</v>
      </c>
      <c r="AH9">
        <v>4689.51</v>
      </c>
      <c r="AI9">
        <f>AH9^(1/3)</f>
        <v>16.73821551729878</v>
      </c>
      <c r="AJ9">
        <f>AH9*(10^-24)</f>
        <v>4.6895100000000009E-21</v>
      </c>
      <c r="AK9" s="3">
        <f>$H$6/AJ9</f>
        <v>1.6784829243293564</v>
      </c>
      <c r="AS9">
        <v>0.98</v>
      </c>
      <c r="AT9">
        <v>-221.99966026166675</v>
      </c>
      <c r="AU9">
        <v>29.120895833333325</v>
      </c>
      <c r="AV9">
        <v>5.1731066666666647</v>
      </c>
      <c r="AW9">
        <f>AX9^3</f>
        <v>5044.2008749999986</v>
      </c>
      <c r="AX9">
        <f>(AS9/AS$11)*AX$11</f>
        <v>17.149999999999999</v>
      </c>
      <c r="AY9">
        <f>AW9*(10^-24)</f>
        <v>5.0442008749999993E-21</v>
      </c>
      <c r="AZ9" s="3">
        <f>$H$6/AY9</f>
        <v>1.5604577719105532</v>
      </c>
      <c r="BG9">
        <v>1100</v>
      </c>
      <c r="BH9">
        <v>1.5623919353476561</v>
      </c>
      <c r="BI9">
        <v>1.5254816355216421</v>
      </c>
      <c r="BJ9">
        <v>1.5766944702565235</v>
      </c>
      <c r="BK9">
        <v>1.4812143284252643</v>
      </c>
      <c r="BM9">
        <v>1.5420400000000001</v>
      </c>
      <c r="BO9">
        <v>1.4778530439696116</v>
      </c>
    </row>
    <row r="10" spans="2:67" x14ac:dyDescent="0.2">
      <c r="C10">
        <v>0.98</v>
      </c>
      <c r="D10">
        <v>-221.735352858667</v>
      </c>
      <c r="E10">
        <v>28.253184399999999</v>
      </c>
      <c r="F10">
        <v>3.8971893333333298</v>
      </c>
      <c r="G10">
        <f>G$9*(C10/C$9)^3</f>
        <v>5044.1987473777472</v>
      </c>
      <c r="H10">
        <f>G10^(1/3)</f>
        <v>17.149997588734223</v>
      </c>
      <c r="I10">
        <f>G10*(10^-24)</f>
        <v>5.0441987473777479E-21</v>
      </c>
      <c r="J10" s="3">
        <f t="shared" ref="J10" si="1">$H$6/I10</f>
        <v>1.5604584301052129</v>
      </c>
      <c r="Q10">
        <v>1300</v>
      </c>
      <c r="R10">
        <f>-L19*(2*0.00000822*L19-0.0962)</f>
        <v>46.78098944973835</v>
      </c>
      <c r="S10" t="s">
        <v>35</v>
      </c>
      <c r="T10">
        <f>1/R10</f>
        <v>2.1376204560068217E-2</v>
      </c>
      <c r="U10">
        <f>T10/0.1</f>
        <v>0.21376204560068215</v>
      </c>
      <c r="AD10">
        <v>0.99</v>
      </c>
      <c r="AE10">
        <v>-305.12587996000002</v>
      </c>
      <c r="AF10">
        <v>28.551669733333402</v>
      </c>
      <c r="AG10">
        <v>6.0229946666666603</v>
      </c>
      <c r="AH10">
        <f>AH$9*(AD10/AD$9)^3</f>
        <v>4834.5362726096264</v>
      </c>
      <c r="AI10">
        <f>AH10^(1/3)</f>
        <v>16.909013634822244</v>
      </c>
      <c r="AJ10">
        <f>AH10*(10^-24)</f>
        <v>4.8345362726096269E-21</v>
      </c>
      <c r="AK10" s="3">
        <f t="shared" ref="AK10:AK13" si="2">$H$6/AJ10</f>
        <v>1.6281318444267139</v>
      </c>
      <c r="AS10">
        <v>0.99</v>
      </c>
      <c r="AT10">
        <v>-220.73471960275</v>
      </c>
      <c r="AU10">
        <v>29.1156057333333</v>
      </c>
      <c r="AV10">
        <v>3.1563315833333299</v>
      </c>
      <c r="AW10">
        <f t="shared" ref="AW10:AW13" si="3">AX10^3</f>
        <v>5200.1962031249996</v>
      </c>
      <c r="AX10">
        <f>(AS10/AS$11)*AX$11</f>
        <v>17.324999999999999</v>
      </c>
      <c r="AY10">
        <f>AW10*(10^-24)</f>
        <v>5.200196203125E-21</v>
      </c>
      <c r="AZ10" s="3">
        <f t="shared" ref="AZ10:AZ13" si="4">$H$6/AY10</f>
        <v>1.5136472069537712</v>
      </c>
    </row>
    <row r="11" spans="2:67" x14ac:dyDescent="0.2">
      <c r="C11">
        <v>0.99</v>
      </c>
      <c r="D11">
        <v>-221.01537894800001</v>
      </c>
      <c r="E11">
        <v>28.116235866666699</v>
      </c>
      <c r="F11">
        <v>1.70618133333333</v>
      </c>
      <c r="G11">
        <f t="shared" ref="G11:G13" si="5">G$9*(C11/C$9)^3</f>
        <v>5200.1940097045899</v>
      </c>
      <c r="H11">
        <f t="shared" ref="H11:H13" si="6">G11^(1/3)</f>
        <v>17.324997564129475</v>
      </c>
      <c r="I11">
        <f t="shared" ref="I11:I13" si="7">G11*(10^-24)</f>
        <v>5.2001940097045904E-21</v>
      </c>
      <c r="J11" s="3">
        <f t="shared" ref="J11:J13" si="8">$H$6/I11</f>
        <v>1.5136478454039273</v>
      </c>
      <c r="Q11">
        <v>1200</v>
      </c>
      <c r="R11">
        <f>-L27*(2*0.0000105*L27-0.119)</f>
        <v>51.91464422586909</v>
      </c>
      <c r="S11" t="s">
        <v>35</v>
      </c>
      <c r="T11">
        <f t="shared" ref="T11:T13" si="9">1/R11</f>
        <v>1.9262387615510222E-2</v>
      </c>
      <c r="U11">
        <f t="shared" ref="U11:U13" si="10">T11/0.1</f>
        <v>0.19262387615510221</v>
      </c>
      <c r="AD11">
        <v>1</v>
      </c>
      <c r="AE11">
        <v>-303.75014195866601</v>
      </c>
      <c r="AF11">
        <v>28.568766133333298</v>
      </c>
      <c r="AG11">
        <v>4.0118720000000003</v>
      </c>
      <c r="AH11">
        <f t="shared" ref="AH11:AH13" si="11">AH$9*(AD11/AD$9)^3</f>
        <v>4982.5221633843048</v>
      </c>
      <c r="AI11">
        <f t="shared" ref="AI11:AI14" si="12">AH11^(1/3)</f>
        <v>17.079811752345698</v>
      </c>
      <c r="AJ11">
        <f t="shared" ref="AJ11:AJ13" si="13">AH11*(10^-24)</f>
        <v>4.9825221633843051E-21</v>
      </c>
      <c r="AK11" s="3">
        <f t="shared" si="2"/>
        <v>1.5797747005153957</v>
      </c>
      <c r="AS11">
        <v>1</v>
      </c>
      <c r="AT11">
        <v>-219.20156645333299</v>
      </c>
      <c r="AU11">
        <v>29.094888933333301</v>
      </c>
      <c r="AV11">
        <v>2.1220066666666701</v>
      </c>
      <c r="AW11">
        <f t="shared" si="3"/>
        <v>5359.375</v>
      </c>
      <c r="AX11">
        <v>17.5</v>
      </c>
      <c r="AY11">
        <f t="shared" ref="AY11:AY13" si="14">AW11*(10^-24)</f>
        <v>5.3593750000000004E-21</v>
      </c>
      <c r="AZ11" s="3">
        <f t="shared" si="4"/>
        <v>1.4686903712600372</v>
      </c>
      <c r="BH11">
        <f>MAX(BH8:BK8)-MIN(BH8:BK8)</f>
        <v>0.10046679645139367</v>
      </c>
      <c r="BI11">
        <f>BH11/BH8</f>
        <v>6.9440207096472265E-2</v>
      </c>
      <c r="BJ11">
        <f>BH11/AVERAGE(BH8:BK8)</f>
        <v>7.1100150658870945E-2</v>
      </c>
    </row>
    <row r="12" spans="2:67" x14ac:dyDescent="0.2">
      <c r="C12">
        <v>1</v>
      </c>
      <c r="D12">
        <v>-219.40271999333299</v>
      </c>
      <c r="E12">
        <v>27.961973199999999</v>
      </c>
      <c r="F12">
        <v>0.631697333333334</v>
      </c>
      <c r="G12">
        <f t="shared" si="5"/>
        <v>5359.3727394386588</v>
      </c>
      <c r="H12">
        <f t="shared" si="6"/>
        <v>17.499997539524717</v>
      </c>
      <c r="I12">
        <f t="shared" si="7"/>
        <v>5.3593727394386591E-21</v>
      </c>
      <c r="J12" s="3">
        <f t="shared" si="8"/>
        <v>1.4686909907475849</v>
      </c>
      <c r="K12">
        <f>(J12-J13)/(F12-F13)*(0-F13)+J13</f>
        <v>1.4468101500880695</v>
      </c>
      <c r="L12">
        <f>(G12-G13)/(F12-F13)*(0-F13)+G13</f>
        <v>5441.6370868596032</v>
      </c>
      <c r="M12" s="4">
        <f>L12^(1/3)</f>
        <v>17.589082725436175</v>
      </c>
      <c r="N12">
        <f>(D12-D13)/(F12-F13)*(0-F13)+D13</f>
        <v>-218.66719105088694</v>
      </c>
      <c r="Q12">
        <v>1100</v>
      </c>
      <c r="R12">
        <f>-L35*(2*0.00000992*L35-0.111)</f>
        <v>55.619438244325892</v>
      </c>
      <c r="S12" t="s">
        <v>35</v>
      </c>
      <c r="T12">
        <f t="shared" si="9"/>
        <v>1.7979325781881959E-2</v>
      </c>
      <c r="U12">
        <f t="shared" si="10"/>
        <v>0.17979325781881958</v>
      </c>
      <c r="AD12">
        <v>1.01</v>
      </c>
      <c r="AE12">
        <v>-302.408778277333</v>
      </c>
      <c r="AF12">
        <v>28.534932266666701</v>
      </c>
      <c r="AG12">
        <v>2.0158386666666699</v>
      </c>
      <c r="AH12">
        <f t="shared" si="11"/>
        <v>5133.4975674570105</v>
      </c>
      <c r="AI12">
        <f t="shared" si="12"/>
        <v>17.250609869869159</v>
      </c>
      <c r="AJ12">
        <f t="shared" si="13"/>
        <v>5.1334975674570112E-21</v>
      </c>
      <c r="AK12" s="3">
        <f t="shared" si="2"/>
        <v>1.5333137602655886</v>
      </c>
      <c r="AN12" s="4"/>
      <c r="AS12">
        <v>1.01</v>
      </c>
      <c r="AT12">
        <v>-218.235548149755</v>
      </c>
      <c r="AU12">
        <v>28.7589702901554</v>
      </c>
      <c r="AV12">
        <v>0.619918328151986</v>
      </c>
      <c r="AW12">
        <f t="shared" si="3"/>
        <v>5521.7694218750012</v>
      </c>
      <c r="AX12">
        <f>(AS12/AS$11)*AX$11</f>
        <v>17.675000000000001</v>
      </c>
      <c r="AY12">
        <f t="shared" si="14"/>
        <v>5.5217694218750016E-21</v>
      </c>
      <c r="AZ12" s="3">
        <f t="shared" si="4"/>
        <v>1.4254964047011862</v>
      </c>
      <c r="BA12">
        <f>(AZ12-AZ13)/(AV12-AV13)*(0-AV13)+AZ13</f>
        <v>1.3993798588103539</v>
      </c>
      <c r="BB12">
        <f>(AW12-AW13)/(AV12-AV13)*(0-AV13)+AW13</f>
        <v>5625.9685950293533</v>
      </c>
      <c r="BC12" s="4">
        <f>BB12^(1/3)</f>
        <v>17.785487260656481</v>
      </c>
      <c r="BD12">
        <f>(AT12-AT13)/(AV12-AV13)*(0-AV13)+AT13</f>
        <v>-217.56993868828459</v>
      </c>
      <c r="BE12">
        <f>BD12/81</f>
        <v>-2.6860486257812912</v>
      </c>
      <c r="BH12">
        <f>MAX(BH9:BK9)-MIN(BH9:BK9)</f>
        <v>9.5480141831259191E-2</v>
      </c>
      <c r="BI12">
        <f>BH12/BH9</f>
        <v>6.1111517328725461E-2</v>
      </c>
      <c r="BJ12">
        <f>BH12/AVERAGE(BH9:BK9)</f>
        <v>6.2143522884448292E-2</v>
      </c>
    </row>
    <row r="13" spans="2:67" x14ac:dyDescent="0.2">
      <c r="C13">
        <v>1.01</v>
      </c>
      <c r="D13">
        <v>-217.95074534400001</v>
      </c>
      <c r="E13">
        <v>28.259074266666701</v>
      </c>
      <c r="F13">
        <v>-0.61530799999999997</v>
      </c>
      <c r="G13">
        <f t="shared" si="5"/>
        <v>5521.7670928163907</v>
      </c>
      <c r="H13">
        <f t="shared" si="6"/>
        <v>17.674997514919969</v>
      </c>
      <c r="I13">
        <f t="shared" si="7"/>
        <v>5.521767092816391E-21</v>
      </c>
      <c r="J13" s="3">
        <f t="shared" si="8"/>
        <v>1.4254970059696968</v>
      </c>
      <c r="Q13">
        <v>1000</v>
      </c>
      <c r="R13">
        <f>-L42*(2*0.00000851*L42-0.0967)</f>
        <v>63.387412955776931</v>
      </c>
      <c r="S13" t="s">
        <v>35</v>
      </c>
      <c r="T13">
        <f t="shared" si="9"/>
        <v>1.5776002732556121E-2</v>
      </c>
      <c r="U13">
        <f t="shared" si="10"/>
        <v>0.15776002732556119</v>
      </c>
      <c r="AD13">
        <v>1.02</v>
      </c>
      <c r="AE13">
        <v>-301.094754126667</v>
      </c>
      <c r="AF13">
        <v>28.674134800000001</v>
      </c>
      <c r="AG13">
        <v>0.74687466666666702</v>
      </c>
      <c r="AH13">
        <f t="shared" si="11"/>
        <v>5287.4923799607313</v>
      </c>
      <c r="AI13">
        <f t="shared" si="12"/>
        <v>17.421407987392612</v>
      </c>
      <c r="AJ13">
        <f t="shared" si="13"/>
        <v>5.2874923799607322E-21</v>
      </c>
      <c r="AK13" s="3">
        <f t="shared" si="2"/>
        <v>1.4886569838480257</v>
      </c>
      <c r="AL13">
        <f>(AK13-AK14)/(AG13-AG14)*(0-AG14)+AK14</f>
        <v>1.4532026290949156</v>
      </c>
      <c r="AM13">
        <f>(AH13-AH14)/(AG13-AG14)*(0-AG14)+AH14</f>
        <v>5417.1612899184029</v>
      </c>
      <c r="AN13" s="4">
        <f>AM13^(1/3)</f>
        <v>17.56267193011066</v>
      </c>
      <c r="AO13">
        <f>(AE13-AE14)/(AG13-AG14)*(0-AG14)+AE14</f>
        <v>-299.51681756759854</v>
      </c>
      <c r="AS13">
        <v>1.02</v>
      </c>
      <c r="AT13">
        <v>-217.17744937333299</v>
      </c>
      <c r="AU13">
        <v>28.7878166666667</v>
      </c>
      <c r="AV13">
        <v>-0.36554666666666702</v>
      </c>
      <c r="AW13">
        <f t="shared" si="3"/>
        <v>5687.4116250000015</v>
      </c>
      <c r="AX13">
        <f>(AS13/AS$11)*AX$11</f>
        <v>17.850000000000001</v>
      </c>
      <c r="AY13">
        <f t="shared" si="14"/>
        <v>5.6874116250000019E-21</v>
      </c>
      <c r="AZ13" s="3">
        <f t="shared" si="4"/>
        <v>1.3839797393725233</v>
      </c>
      <c r="BC13" s="4"/>
    </row>
    <row r="14" spans="2:67" x14ac:dyDescent="0.2">
      <c r="E14">
        <f>AVERAGE(E9:E13)</f>
        <v>28.127582133333362</v>
      </c>
      <c r="J14" s="3"/>
      <c r="AD14">
        <v>1.03</v>
      </c>
      <c r="AE14">
        <v>-299.183689614667</v>
      </c>
      <c r="AF14">
        <v>28.7524038666667</v>
      </c>
      <c r="AG14">
        <v>-0.157677333333334</v>
      </c>
      <c r="AH14">
        <f t="shared" ref="AH14" si="15">AH$9*(AD14/AD$9)^3</f>
        <v>5444.5364960284405</v>
      </c>
      <c r="AI14">
        <f t="shared" si="12"/>
        <v>17.59220610491607</v>
      </c>
      <c r="AJ14">
        <f t="shared" ref="AJ14" si="16">AH14*(10^-24)</f>
        <v>5.4445364960284408E-21</v>
      </c>
      <c r="AK14" s="3">
        <f t="shared" ref="AK14" si="17">$H$6/AJ14</f>
        <v>1.4457176408338002</v>
      </c>
      <c r="AZ14" s="3"/>
    </row>
    <row r="15" spans="2:67" x14ac:dyDescent="0.2">
      <c r="AR15">
        <v>1100</v>
      </c>
      <c r="AS15" t="s">
        <v>25</v>
      </c>
      <c r="AW15" t="s">
        <v>14</v>
      </c>
      <c r="AX15" t="s">
        <v>26</v>
      </c>
      <c r="AY15" t="s">
        <v>27</v>
      </c>
      <c r="AZ15" t="s">
        <v>28</v>
      </c>
      <c r="BA15" t="s">
        <v>29</v>
      </c>
      <c r="BB15" t="s">
        <v>30</v>
      </c>
      <c r="BC15" t="s">
        <v>31</v>
      </c>
      <c r="BD15" t="s">
        <v>32</v>
      </c>
    </row>
    <row r="16" spans="2:67" x14ac:dyDescent="0.2">
      <c r="B16">
        <v>1300</v>
      </c>
      <c r="C16" t="s">
        <v>25</v>
      </c>
      <c r="G16" t="s">
        <v>14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X16" t="s">
        <v>36</v>
      </c>
      <c r="Y16" t="s">
        <v>37</v>
      </c>
      <c r="AS16">
        <v>0.98</v>
      </c>
      <c r="AT16">
        <v>-228.50670286666701</v>
      </c>
      <c r="AU16">
        <v>22.789777999999998</v>
      </c>
      <c r="AV16">
        <v>1.0145293333333301</v>
      </c>
      <c r="AW16">
        <f>AX16^3</f>
        <v>5044.2008749999986</v>
      </c>
      <c r="AX16">
        <f>(AS16/AS$11)*AX$11</f>
        <v>17.149999999999999</v>
      </c>
      <c r="AY16">
        <f>AW16*(10^-24)</f>
        <v>5.0442008749999993E-21</v>
      </c>
      <c r="AZ16" s="3">
        <f>$H$6/AY16</f>
        <v>1.5604577719105532</v>
      </c>
      <c r="BA16">
        <f>(AZ16-AZ17)/(AV16-AV17)*(0-AV17)+AZ17</f>
        <v>1.5254816355216421</v>
      </c>
      <c r="BB16">
        <f>(AW16-AW17)/(AV16-AV17)*(0-AV17)+AW17</f>
        <v>5160.7581922972877</v>
      </c>
      <c r="BC16" s="4">
        <f>BB16^(1/3)</f>
        <v>17.281091520174439</v>
      </c>
      <c r="BD16">
        <f>(AT16-AT17)/(AV16-AV17)*(0-AV17)+AT17</f>
        <v>-227.52090237233006</v>
      </c>
      <c r="BE16">
        <f>BD16/81</f>
        <v>-2.8089000292880253</v>
      </c>
    </row>
    <row r="17" spans="2:56" x14ac:dyDescent="0.2">
      <c r="C17">
        <v>0.97</v>
      </c>
      <c r="D17">
        <v>-224.03106509599999</v>
      </c>
      <c r="E17">
        <v>27.030526299999998</v>
      </c>
      <c r="F17">
        <v>5.220116</v>
      </c>
      <c r="G17">
        <f>G$20*(C17/C$20)^3</f>
        <v>4891.3614227400003</v>
      </c>
      <c r="H17">
        <f>G17^(1/3)</f>
        <v>16.975005278909926</v>
      </c>
      <c r="I17">
        <f>G17*(10^-24)</f>
        <v>4.8913614227400009E-21</v>
      </c>
      <c r="J17" s="3">
        <f>$H$6/I17</f>
        <v>1.6092171030090241</v>
      </c>
      <c r="R17" t="s">
        <v>16</v>
      </c>
      <c r="S17" t="s">
        <v>38</v>
      </c>
      <c r="T17" t="s">
        <v>26</v>
      </c>
      <c r="U17" t="s">
        <v>39</v>
      </c>
      <c r="V17" t="s">
        <v>12</v>
      </c>
      <c r="W17" t="s">
        <v>40</v>
      </c>
      <c r="X17" t="s">
        <v>41</v>
      </c>
      <c r="Z17" t="s">
        <v>42</v>
      </c>
      <c r="AC17">
        <v>1300</v>
      </c>
      <c r="AD17" t="s">
        <v>25</v>
      </c>
      <c r="AH17" t="s">
        <v>14</v>
      </c>
      <c r="AI17" t="s">
        <v>26</v>
      </c>
      <c r="AJ17" t="s">
        <v>27</v>
      </c>
      <c r="AK17" t="s">
        <v>28</v>
      </c>
      <c r="AL17" t="s">
        <v>29</v>
      </c>
      <c r="AM17" t="s">
        <v>30</v>
      </c>
      <c r="AN17" t="s">
        <v>31</v>
      </c>
      <c r="AO17" t="s">
        <v>32</v>
      </c>
      <c r="AS17">
        <v>0.99</v>
      </c>
      <c r="AT17">
        <v>-227.18734964933401</v>
      </c>
      <c r="AU17">
        <v>22.649150800000001</v>
      </c>
      <c r="AV17">
        <v>-0.34327333333333399</v>
      </c>
      <c r="AW17">
        <f t="shared" ref="AW17:AW20" si="18">AX17^3</f>
        <v>5200.1962031249996</v>
      </c>
      <c r="AX17">
        <f>(AS17/AS$11)*AX$11</f>
        <v>17.324999999999999</v>
      </c>
      <c r="AY17">
        <f>AW17*(10^-24)</f>
        <v>5.200196203125E-21</v>
      </c>
      <c r="AZ17" s="3">
        <f t="shared" ref="AZ17:AZ20" si="19">$H$6/AY17</f>
        <v>1.5136472069537712</v>
      </c>
    </row>
    <row r="18" spans="2:56" x14ac:dyDescent="0.2">
      <c r="C18">
        <v>0.98</v>
      </c>
      <c r="D18">
        <v>-223.068735828</v>
      </c>
      <c r="E18">
        <v>27.033464200000001</v>
      </c>
      <c r="F18">
        <v>2.8218830000000001</v>
      </c>
      <c r="G18">
        <f>G$20*(C18/C$20)^3</f>
        <v>5044.2055809599997</v>
      </c>
      <c r="H18">
        <f>G18^(1/3)</f>
        <v>17.15000533333167</v>
      </c>
      <c r="I18">
        <f>G18*(10^-24)</f>
        <v>5.04420558096E-21</v>
      </c>
      <c r="J18" s="3">
        <f t="shared" ref="J18:J21" si="20">$H$6/I18</f>
        <v>1.5604563160912495</v>
      </c>
      <c r="Q18">
        <v>1400</v>
      </c>
      <c r="R18">
        <v>1.4468101500880695</v>
      </c>
      <c r="S18">
        <v>5441.6370868596032</v>
      </c>
      <c r="T18" s="4">
        <v>17.589082725436175</v>
      </c>
      <c r="U18">
        <v>-218.66719105088694</v>
      </c>
      <c r="V18">
        <v>28.127582133333362</v>
      </c>
      <c r="W18">
        <f>U18+V18</f>
        <v>-190.53960891755358</v>
      </c>
      <c r="X18">
        <f>(W18-W19)/(S18-S19)</f>
        <v>2.6827323370434621E-2</v>
      </c>
      <c r="Y18">
        <f>X18*(1.602*10^-19)*(6.022*10^23)/81</f>
        <v>31.951819064380878</v>
      </c>
      <c r="Z18">
        <f>U18/81</f>
        <v>-2.6995949512455177</v>
      </c>
      <c r="AD18">
        <v>0.98</v>
      </c>
      <c r="AE18">
        <v>-307.83644042266701</v>
      </c>
      <c r="AF18">
        <v>26.5471936</v>
      </c>
      <c r="AG18">
        <v>7.1982280000000003</v>
      </c>
      <c r="AH18">
        <v>4689.51</v>
      </c>
      <c r="AI18">
        <f>AH18^(1/3)</f>
        <v>16.73821551729878</v>
      </c>
      <c r="AJ18">
        <f>AH18*(10^-24)</f>
        <v>4.6895100000000009E-21</v>
      </c>
      <c r="AK18" s="3">
        <f>$H$6/AJ18</f>
        <v>1.6784829243293564</v>
      </c>
      <c r="AS18">
        <v>1</v>
      </c>
      <c r="AT18">
        <v>-225.463453332</v>
      </c>
      <c r="AU18">
        <v>22.773068533333301</v>
      </c>
      <c r="AV18">
        <v>-1.687684</v>
      </c>
      <c r="AW18">
        <f t="shared" si="18"/>
        <v>5359.375</v>
      </c>
      <c r="AX18">
        <v>17.5</v>
      </c>
      <c r="AY18">
        <f t="shared" ref="AY18:AY20" si="21">AW18*(10^-24)</f>
        <v>5.3593750000000004E-21</v>
      </c>
      <c r="AZ18" s="3">
        <f t="shared" si="19"/>
        <v>1.4686903712600372</v>
      </c>
    </row>
    <row r="19" spans="2:56" x14ac:dyDescent="0.2">
      <c r="C19">
        <v>0.99</v>
      </c>
      <c r="D19">
        <v>-221.971877928</v>
      </c>
      <c r="E19">
        <v>27.032720699999999</v>
      </c>
      <c r="F19">
        <v>1.2173499999999999</v>
      </c>
      <c r="G19">
        <f>G$20*(C19/C$20)^3</f>
        <v>5200.2010546199999</v>
      </c>
      <c r="H19">
        <f>G19^(1/3)</f>
        <v>17.325005387753421</v>
      </c>
      <c r="I19">
        <f>G19*(10^-24)</f>
        <v>5.2002010546200004E-21</v>
      </c>
      <c r="J19" s="3">
        <f t="shared" si="20"/>
        <v>1.5136457948060908</v>
      </c>
      <c r="K19">
        <f>(J19-J20)/(F19-F20)*(0-F20)+J20</f>
        <v>1.4808467138625432</v>
      </c>
      <c r="L19">
        <f>(G19-G20)/(F19-F20)*(0-F20)+G20</f>
        <v>5316.333071126377</v>
      </c>
      <c r="M19" s="4">
        <f>L19^(1/3)</f>
        <v>17.45302566410577</v>
      </c>
      <c r="N19">
        <f>(D19-D20)/(F19-F20)*(0-F20)+D20</f>
        <v>-220.93442494724286</v>
      </c>
      <c r="Q19">
        <v>1300</v>
      </c>
      <c r="R19">
        <v>1.4808467138625432</v>
      </c>
      <c r="S19">
        <v>5316.333071126377</v>
      </c>
      <c r="T19" s="4">
        <v>17.45302566410577</v>
      </c>
      <c r="U19">
        <v>-220.93442494724286</v>
      </c>
      <c r="V19">
        <v>27.033244680000003</v>
      </c>
      <c r="W19">
        <f t="shared" ref="W19:W22" si="22">U19+V19</f>
        <v>-193.90118026724286</v>
      </c>
      <c r="X19">
        <f>(W19-W20)/(S19-S20)</f>
        <v>3.8186481563668356E-2</v>
      </c>
      <c r="Y19">
        <f t="shared" ref="Y19:Y20" si="23">X19*(1.602*10^-19)*(6.022*10^23)/81</f>
        <v>45.480778413112361</v>
      </c>
      <c r="Z19">
        <f>U19/81</f>
        <v>-2.7275854931758379</v>
      </c>
      <c r="AD19">
        <v>0.99</v>
      </c>
      <c r="AE19">
        <v>-306.66322526266703</v>
      </c>
      <c r="AF19">
        <v>26.693998400000002</v>
      </c>
      <c r="AG19">
        <v>5.0985120000000004</v>
      </c>
      <c r="AH19">
        <f>AH$9*(AD19/AD$9)^3</f>
        <v>4834.5362726096264</v>
      </c>
      <c r="AI19">
        <f>AH19^(1/3)</f>
        <v>16.909013634822244</v>
      </c>
      <c r="AJ19">
        <f>AH19*(10^-24)</f>
        <v>4.8345362726096269E-21</v>
      </c>
      <c r="AK19" s="3">
        <f t="shared" ref="AK19:AK22" si="24">$H$6/AJ19</f>
        <v>1.6281318444267139</v>
      </c>
      <c r="AS19">
        <v>1.01</v>
      </c>
      <c r="AT19">
        <v>-224.52670027666676</v>
      </c>
      <c r="AU19">
        <v>22.630226166666677</v>
      </c>
      <c r="AV19">
        <v>-2.1431116666666652</v>
      </c>
      <c r="AW19">
        <f t="shared" si="18"/>
        <v>5521.7694218750012</v>
      </c>
      <c r="AX19">
        <f>(AS19/AS$11)*AX$11</f>
        <v>17.675000000000001</v>
      </c>
      <c r="AY19">
        <f t="shared" si="21"/>
        <v>5.5217694218750016E-21</v>
      </c>
      <c r="AZ19" s="3">
        <f t="shared" si="19"/>
        <v>1.4254964047011862</v>
      </c>
      <c r="BC19" s="4"/>
    </row>
    <row r="20" spans="2:56" x14ac:dyDescent="0.2">
      <c r="C20">
        <v>1</v>
      </c>
      <c r="D20">
        <v>-220.5498698003</v>
      </c>
      <c r="E20">
        <v>27.032427200000001</v>
      </c>
      <c r="F20">
        <v>-0.45123799999999997</v>
      </c>
      <c r="G20">
        <v>5359.38</v>
      </c>
      <c r="H20">
        <f>G20^(1/3)</f>
        <v>17.500005442175173</v>
      </c>
      <c r="I20">
        <f>G20*(10^-24)</f>
        <v>5.3593800000000004E-21</v>
      </c>
      <c r="J20" s="3">
        <f t="shared" si="20"/>
        <v>1.468689001054555</v>
      </c>
      <c r="Q20">
        <v>1200</v>
      </c>
      <c r="R20">
        <v>1.5165939492692213</v>
      </c>
      <c r="S20">
        <v>5190.3763669371328</v>
      </c>
      <c r="T20" s="4">
        <v>17.314087856446427</v>
      </c>
      <c r="U20">
        <v>-223.66634831302082</v>
      </c>
      <c r="V20">
        <v>24.955324683434963</v>
      </c>
      <c r="W20">
        <f t="shared" si="22"/>
        <v>-198.71102362958587</v>
      </c>
      <c r="X20">
        <f t="shared" ref="X20:X21" si="25">(W20-W21)/(S20-S21)</f>
        <v>3.8840838656132151E-2</v>
      </c>
      <c r="Y20">
        <f t="shared" si="23"/>
        <v>46.26012934325172</v>
      </c>
      <c r="Z20">
        <f t="shared" ref="Z20:Z22" si="26">U20/81</f>
        <v>-2.7613129421360596</v>
      </c>
      <c r="AD20">
        <v>1</v>
      </c>
      <c r="AE20">
        <v>-305.85902015733302</v>
      </c>
      <c r="AF20">
        <v>26.445340533333301</v>
      </c>
      <c r="AG20">
        <v>2.6972146666666701</v>
      </c>
      <c r="AH20">
        <f t="shared" ref="AH20:AH23" si="27">AH$9*(AD20/AD$9)^3</f>
        <v>4982.5221633843048</v>
      </c>
      <c r="AI20">
        <f t="shared" ref="AI20:AI23" si="28">AH20^(1/3)</f>
        <v>17.079811752345698</v>
      </c>
      <c r="AJ20">
        <f t="shared" ref="AJ20:AJ22" si="29">AH20*(10^-24)</f>
        <v>4.9825221633843051E-21</v>
      </c>
      <c r="AK20" s="3">
        <f t="shared" si="24"/>
        <v>1.5797747005153957</v>
      </c>
      <c r="AS20">
        <v>1.02</v>
      </c>
      <c r="AT20">
        <v>-223.182042230273</v>
      </c>
      <c r="AU20">
        <v>22.810703302001599</v>
      </c>
      <c r="AV20">
        <v>-3.4354914228807898</v>
      </c>
      <c r="AW20">
        <f t="shared" si="18"/>
        <v>5687.4116250000015</v>
      </c>
      <c r="AX20">
        <f>(AS20/AS$11)*AX$11</f>
        <v>17.850000000000001</v>
      </c>
      <c r="AY20">
        <f t="shared" si="21"/>
        <v>5.6874116250000019E-21</v>
      </c>
      <c r="AZ20" s="3">
        <f t="shared" si="19"/>
        <v>1.3839797393725233</v>
      </c>
      <c r="BC20" s="4"/>
    </row>
    <row r="21" spans="2:56" x14ac:dyDescent="0.2">
      <c r="C21">
        <v>1.02</v>
      </c>
      <c r="D21">
        <v>-218.44147426000001</v>
      </c>
      <c r="E21">
        <v>27.037085000000001</v>
      </c>
      <c r="F21">
        <v>-2.1589999999999998</v>
      </c>
      <c r="G21">
        <f>G$20*(C21/C$20)^3</f>
        <v>5687.4169310399993</v>
      </c>
      <c r="H21">
        <f>G21^(1/3)</f>
        <v>17.850005551018679</v>
      </c>
      <c r="I21">
        <f>G21*(10^-24)</f>
        <v>5.6874169310399998E-21</v>
      </c>
      <c r="J21" s="3">
        <f t="shared" si="20"/>
        <v>1.3839784481972952</v>
      </c>
      <c r="Q21">
        <v>1100</v>
      </c>
      <c r="R21">
        <v>1.5623919353476561</v>
      </c>
      <c r="S21">
        <v>5038.3427451631333</v>
      </c>
      <c r="T21" s="4">
        <v>17.143358323941971</v>
      </c>
      <c r="U21">
        <v>-227.49010335321722</v>
      </c>
      <c r="V21">
        <v>22.873966350000003</v>
      </c>
      <c r="W21">
        <f t="shared" si="22"/>
        <v>-204.6161370032172</v>
      </c>
      <c r="X21">
        <f t="shared" si="25"/>
        <v>4.6427733287130166E-2</v>
      </c>
      <c r="Y21">
        <f>X21*(1.602*10^-19)*(6.022*10^23)/81</f>
        <v>55.296255726897122</v>
      </c>
      <c r="Z21">
        <f t="shared" si="26"/>
        <v>-2.8085197944841633</v>
      </c>
      <c r="AD21">
        <v>1.01</v>
      </c>
      <c r="AE21">
        <v>-304.21075309999998</v>
      </c>
      <c r="AF21">
        <v>26.630898666666699</v>
      </c>
      <c r="AG21">
        <v>1.0884640000000001</v>
      </c>
      <c r="AH21">
        <f t="shared" si="27"/>
        <v>5133.4975674570105</v>
      </c>
      <c r="AI21">
        <f t="shared" si="28"/>
        <v>17.250609869869159</v>
      </c>
      <c r="AJ21">
        <f t="shared" si="29"/>
        <v>5.1334975674570112E-21</v>
      </c>
      <c r="AK21" s="3">
        <f t="shared" si="24"/>
        <v>1.5333137602655886</v>
      </c>
      <c r="AN21" s="4"/>
      <c r="AZ21" s="3"/>
    </row>
    <row r="22" spans="2:56" x14ac:dyDescent="0.2">
      <c r="E22">
        <f>AVERAGE(E17:E21)</f>
        <v>27.033244680000003</v>
      </c>
      <c r="J22" s="3"/>
      <c r="Q22">
        <v>1000</v>
      </c>
      <c r="R22">
        <v>1.598435950038072</v>
      </c>
      <c r="S22">
        <v>4925.4200716869418</v>
      </c>
      <c r="T22" s="4">
        <v>17.014313287628873</v>
      </c>
      <c r="U22">
        <v>-230.65159295068952</v>
      </c>
      <c r="V22">
        <v>20.79271218125</v>
      </c>
      <c r="W22">
        <f t="shared" si="22"/>
        <v>-209.85888076943951</v>
      </c>
      <c r="Z22">
        <f t="shared" si="26"/>
        <v>-2.8475505302554263</v>
      </c>
      <c r="AD22">
        <v>1.02</v>
      </c>
      <c r="AE22">
        <v>-302.81064279168601</v>
      </c>
      <c r="AF22">
        <v>26.4628725817409</v>
      </c>
      <c r="AG22">
        <v>6.8045808917197997E-2</v>
      </c>
      <c r="AH22">
        <f t="shared" si="27"/>
        <v>5287.4923799607313</v>
      </c>
      <c r="AI22">
        <f t="shared" si="28"/>
        <v>17.421407987392612</v>
      </c>
      <c r="AJ22">
        <f t="shared" si="29"/>
        <v>5.2874923799607322E-21</v>
      </c>
      <c r="AK22" s="3">
        <f t="shared" si="24"/>
        <v>1.4886569838480257</v>
      </c>
      <c r="AL22">
        <f>(AK22-AK23)/(AG22-AG23)*(0-AG23)+AK23</f>
        <v>1.4865480962106208</v>
      </c>
      <c r="AM22">
        <f>(AH22-AH23)/(AG22-AG23)*(0-AG23)+AH23</f>
        <v>5295.2053157360333</v>
      </c>
      <c r="AN22" s="4">
        <f>AM22^(1/3)</f>
        <v>17.429874818693001</v>
      </c>
      <c r="AO22">
        <f>(AE22-AE23)/(AG22-AG23)*(0-AG23)+AE23</f>
        <v>-302.73073477284862</v>
      </c>
    </row>
    <row r="23" spans="2:56" x14ac:dyDescent="0.2">
      <c r="AD23">
        <v>1.03</v>
      </c>
      <c r="AE23">
        <v>-301.18362494133299</v>
      </c>
      <c r="AF23">
        <v>26.7652054666667</v>
      </c>
      <c r="AG23">
        <v>-1.3174440000000001</v>
      </c>
      <c r="AH23">
        <f t="shared" si="27"/>
        <v>5444.5364960284405</v>
      </c>
      <c r="AI23">
        <f t="shared" si="28"/>
        <v>17.59220610491607</v>
      </c>
      <c r="AJ23">
        <f t="shared" ref="AJ23" si="30">AH23*(10^-24)</f>
        <v>5.4445364960284408E-21</v>
      </c>
      <c r="AK23" s="3">
        <f t="shared" ref="AK23" si="31">$H$6/AJ23</f>
        <v>1.4457176408338002</v>
      </c>
      <c r="AN23" s="4"/>
    </row>
    <row r="24" spans="2:56" x14ac:dyDescent="0.2">
      <c r="S24" t="s">
        <v>43</v>
      </c>
      <c r="AR24" t="s">
        <v>116</v>
      </c>
    </row>
    <row r="25" spans="2:56" x14ac:dyDescent="0.2">
      <c r="B25">
        <v>1200</v>
      </c>
      <c r="C25" t="s">
        <v>25</v>
      </c>
      <c r="G25" t="s">
        <v>14</v>
      </c>
      <c r="H25" t="s">
        <v>26</v>
      </c>
      <c r="I25" t="s">
        <v>27</v>
      </c>
      <c r="J25" t="s">
        <v>28</v>
      </c>
      <c r="K25" t="s">
        <v>29</v>
      </c>
      <c r="L25" t="s">
        <v>30</v>
      </c>
      <c r="M25" t="s">
        <v>31</v>
      </c>
      <c r="N25" t="s">
        <v>32</v>
      </c>
      <c r="R25">
        <v>1400</v>
      </c>
      <c r="S25">
        <f>S18/81</f>
        <v>67.180704776044479</v>
      </c>
    </row>
    <row r="26" spans="2:56" x14ac:dyDescent="0.2">
      <c r="C26">
        <v>0.97</v>
      </c>
      <c r="D26">
        <v>-223.19314820712501</v>
      </c>
      <c r="E26">
        <v>24.951785375000028</v>
      </c>
      <c r="F26">
        <v>3.9115624999999974</v>
      </c>
      <c r="G26">
        <f>G$20*(C26/C$20)^3</f>
        <v>4891.3614227400003</v>
      </c>
      <c r="H26">
        <f t="shared" ref="H26:H29" si="32">G26^(1/3)</f>
        <v>16.975005278909926</v>
      </c>
      <c r="I26">
        <f t="shared" ref="I26:I29" si="33">G26*(10^-24)</f>
        <v>4.8913614227400009E-21</v>
      </c>
      <c r="J26" s="3">
        <f>$H$6/I26</f>
        <v>1.6092171030090241</v>
      </c>
      <c r="R26">
        <v>1300</v>
      </c>
      <c r="S26">
        <f t="shared" ref="S26:S29" si="34">S19/81</f>
        <v>65.633741618844155</v>
      </c>
      <c r="AC26">
        <v>1200</v>
      </c>
      <c r="AD26" t="s">
        <v>25</v>
      </c>
      <c r="AH26" t="s">
        <v>14</v>
      </c>
      <c r="AI26" t="s">
        <v>26</v>
      </c>
      <c r="AJ26" t="s">
        <v>27</v>
      </c>
      <c r="AK26" t="s">
        <v>28</v>
      </c>
      <c r="AL26" t="s">
        <v>29</v>
      </c>
      <c r="AM26" t="s">
        <v>30</v>
      </c>
      <c r="AN26" t="s">
        <v>31</v>
      </c>
      <c r="AO26" t="s">
        <v>32</v>
      </c>
      <c r="AR26">
        <v>1400</v>
      </c>
      <c r="AS26" t="s">
        <v>25</v>
      </c>
      <c r="AW26" t="s">
        <v>14</v>
      </c>
      <c r="AX26" t="s">
        <v>26</v>
      </c>
      <c r="AY26" t="s">
        <v>27</v>
      </c>
      <c r="AZ26" t="s">
        <v>28</v>
      </c>
      <c r="BA26" t="s">
        <v>29</v>
      </c>
      <c r="BB26" t="s">
        <v>30</v>
      </c>
      <c r="BC26" t="s">
        <v>31</v>
      </c>
      <c r="BD26" t="s">
        <v>32</v>
      </c>
    </row>
    <row r="27" spans="2:56" x14ac:dyDescent="0.2">
      <c r="C27">
        <v>0.98</v>
      </c>
      <c r="D27">
        <v>-225.1965165025</v>
      </c>
      <c r="E27">
        <v>24.952377375000026</v>
      </c>
      <c r="F27">
        <v>1.6068712499999975</v>
      </c>
      <c r="G27">
        <f>G$20*(C27/C$20)^3</f>
        <v>5044.2055809599997</v>
      </c>
      <c r="H27">
        <f t="shared" si="32"/>
        <v>17.15000533333167</v>
      </c>
      <c r="I27">
        <f t="shared" si="33"/>
        <v>5.04420558096E-21</v>
      </c>
      <c r="J27" s="3">
        <f t="shared" ref="J27:J29" si="35">$H$6/I27</f>
        <v>1.5604563160912495</v>
      </c>
      <c r="K27">
        <f>(J27-J28)/(F27-F28)*(0-F28)+J28</f>
        <v>1.5165939492692213</v>
      </c>
      <c r="L27">
        <f>(G27-G28)/(F27-F28)*(0-F28)+G28</f>
        <v>5190.3763669371328</v>
      </c>
      <c r="M27" s="4">
        <f>L27^(1/3)</f>
        <v>17.314087856446427</v>
      </c>
      <c r="N27">
        <f>(D27-D28)/(F27-F28)*(0-F28)+D28</f>
        <v>-223.66634831302082</v>
      </c>
      <c r="R27">
        <v>1200</v>
      </c>
      <c r="S27">
        <f t="shared" si="34"/>
        <v>64.078720579470769</v>
      </c>
      <c r="AD27">
        <v>0.98</v>
      </c>
      <c r="AE27">
        <v>-309.56149017866699</v>
      </c>
      <c r="AF27">
        <v>24.759962266666701</v>
      </c>
      <c r="AG27">
        <v>5.6737000000000002</v>
      </c>
      <c r="AH27">
        <v>4689.51</v>
      </c>
      <c r="AI27">
        <f>AH27^(1/3)</f>
        <v>16.73821551729878</v>
      </c>
      <c r="AJ27">
        <f>AH27*(10^-24)</f>
        <v>4.6895100000000009E-21</v>
      </c>
      <c r="AK27" s="3">
        <f>$H$6/AJ27</f>
        <v>1.6784829243293564</v>
      </c>
      <c r="AS27">
        <v>0.98</v>
      </c>
      <c r="AT27">
        <v>-306.87547655666674</v>
      </c>
      <c r="AU27">
        <v>28.712571333333322</v>
      </c>
      <c r="AV27">
        <v>8.7708333333333304</v>
      </c>
      <c r="AW27">
        <f>AX27^3</f>
        <v>5044.2008749999986</v>
      </c>
      <c r="AX27">
        <f>(AS27/AS$11)*AX$11</f>
        <v>17.149999999999999</v>
      </c>
      <c r="AY27">
        <f>AW27*(10^-24)</f>
        <v>5.0442008749999993E-21</v>
      </c>
      <c r="AZ27" s="3">
        <f>$H$6/AY27</f>
        <v>1.5604577719105532</v>
      </c>
    </row>
    <row r="28" spans="2:56" x14ac:dyDescent="0.2">
      <c r="C28">
        <v>0.99</v>
      </c>
      <c r="D28">
        <v>-223.56349996022999</v>
      </c>
      <c r="E28">
        <v>24.9645474837398</v>
      </c>
      <c r="F28">
        <v>-0.108003853658536</v>
      </c>
      <c r="G28">
        <f>G$20*(C28/C$20)^3</f>
        <v>5200.2010546199999</v>
      </c>
      <c r="H28">
        <f t="shared" si="32"/>
        <v>17.325005387753421</v>
      </c>
      <c r="I28">
        <f t="shared" si="33"/>
        <v>5.2002010546200004E-21</v>
      </c>
      <c r="J28" s="3">
        <f t="shared" si="35"/>
        <v>1.5136457948060908</v>
      </c>
      <c r="R28">
        <v>1100</v>
      </c>
      <c r="S28">
        <f t="shared" si="34"/>
        <v>62.201762285964605</v>
      </c>
      <c r="AD28">
        <v>0.99</v>
      </c>
      <c r="AE28">
        <v>-309.18069411333403</v>
      </c>
      <c r="AF28">
        <v>24.1951753333333</v>
      </c>
      <c r="AG28">
        <v>2.9554320000000001</v>
      </c>
      <c r="AH28">
        <f>AH$9*(AD28/AD$9)^3</f>
        <v>4834.5362726096264</v>
      </c>
      <c r="AI28">
        <f>AH28^(1/3)</f>
        <v>16.909013634822244</v>
      </c>
      <c r="AJ28">
        <f>AH28*(10^-24)</f>
        <v>4.8345362726096269E-21</v>
      </c>
      <c r="AK28" s="3">
        <f t="shared" ref="AK28:AK31" si="36">$H$6/AJ28</f>
        <v>1.6281318444267139</v>
      </c>
      <c r="AS28">
        <v>0.99</v>
      </c>
      <c r="AW28">
        <f t="shared" ref="AW28:AW31" si="37">AX28^3</f>
        <v>5200.1962031249996</v>
      </c>
      <c r="AX28">
        <f>(AS28/AS$11)*AX$11</f>
        <v>17.324999999999999</v>
      </c>
      <c r="AY28">
        <f>AW28*(10^-24)</f>
        <v>5.200196203125E-21</v>
      </c>
      <c r="AZ28" s="3">
        <f t="shared" ref="AZ28:AZ31" si="38">$H$6/AY28</f>
        <v>1.5136472069537712</v>
      </c>
    </row>
    <row r="29" spans="2:56" x14ac:dyDescent="0.2">
      <c r="C29">
        <v>1</v>
      </c>
      <c r="D29">
        <v>-222.71142542875</v>
      </c>
      <c r="E29">
        <v>24.952588500000001</v>
      </c>
      <c r="F29">
        <v>-1.46102</v>
      </c>
      <c r="G29">
        <v>5359.38</v>
      </c>
      <c r="H29">
        <f t="shared" si="32"/>
        <v>17.500005442175173</v>
      </c>
      <c r="I29">
        <f t="shared" si="33"/>
        <v>5.3593800000000004E-21</v>
      </c>
      <c r="J29" s="3">
        <f t="shared" si="35"/>
        <v>1.468689001054555</v>
      </c>
      <c r="Q29" s="5"/>
      <c r="R29">
        <v>1000</v>
      </c>
      <c r="S29">
        <f t="shared" si="34"/>
        <v>60.807655206011624</v>
      </c>
      <c r="AD29">
        <v>1</v>
      </c>
      <c r="AE29">
        <v>-307.39805166666599</v>
      </c>
      <c r="AF29">
        <v>24.329062400000002</v>
      </c>
      <c r="AG29">
        <v>1.73157466666667</v>
      </c>
      <c r="AH29">
        <f t="shared" ref="AH29:AH31" si="39">AH$9*(AD29/AD$9)^3</f>
        <v>4982.5221633843048</v>
      </c>
      <c r="AI29">
        <f t="shared" ref="AI29:AI31" si="40">AH29^(1/3)</f>
        <v>17.079811752345698</v>
      </c>
      <c r="AJ29">
        <f t="shared" ref="AJ29:AJ31" si="41">AH29*(10^-24)</f>
        <v>4.9825221633843051E-21</v>
      </c>
      <c r="AK29" s="3">
        <f t="shared" si="36"/>
        <v>1.5797747005153957</v>
      </c>
      <c r="AQ29" s="13"/>
      <c r="AS29">
        <v>1</v>
      </c>
      <c r="AT29">
        <v>-304.84310635600002</v>
      </c>
      <c r="AU29">
        <v>28.310914133333299</v>
      </c>
      <c r="AV29">
        <v>4.10457466666666</v>
      </c>
      <c r="AW29">
        <f t="shared" si="37"/>
        <v>5359.375</v>
      </c>
      <c r="AX29">
        <v>17.5</v>
      </c>
      <c r="AY29">
        <f t="shared" ref="AY29:AY31" si="42">AW29*(10^-24)</f>
        <v>5.3593750000000004E-21</v>
      </c>
      <c r="AZ29" s="3">
        <f t="shared" si="38"/>
        <v>1.4686903712600372</v>
      </c>
    </row>
    <row r="30" spans="2:56" x14ac:dyDescent="0.2">
      <c r="E30">
        <f>AVERAGE(E25:E29)</f>
        <v>24.955324683434963</v>
      </c>
      <c r="G30">
        <f>G$20*(C30/C$20)^3</f>
        <v>0</v>
      </c>
      <c r="J30" s="3"/>
      <c r="Q30" s="5"/>
      <c r="AD30">
        <v>1.01</v>
      </c>
      <c r="AE30">
        <v>-306.443080129333</v>
      </c>
      <c r="AF30">
        <v>24.751918266666699</v>
      </c>
      <c r="AG30">
        <v>0.13568133333333399</v>
      </c>
      <c r="AH30">
        <f t="shared" si="39"/>
        <v>5133.4975674570105</v>
      </c>
      <c r="AI30">
        <f t="shared" si="40"/>
        <v>17.250609869869159</v>
      </c>
      <c r="AJ30">
        <f t="shared" si="41"/>
        <v>5.1334975674570112E-21</v>
      </c>
      <c r="AK30" s="3">
        <f t="shared" si="36"/>
        <v>1.5333137602655886</v>
      </c>
      <c r="AL30">
        <f>(AK30-AK31)/(AG30-AG31)*(0-AG31)+AK31</f>
        <v>1.5291104483311759</v>
      </c>
      <c r="AM30">
        <f>(AH30-AH31)/(AG30-AG31)*(0-AG31)+AH31</f>
        <v>5147.9923045419728</v>
      </c>
      <c r="AN30" s="4">
        <f>AM30^(1/3)</f>
        <v>17.266830655187249</v>
      </c>
      <c r="AO30">
        <f>(AE30-AE31)/(AG30-AG31)*(0-AG31)+AE31</f>
        <v>-306.31590310405483</v>
      </c>
      <c r="AS30">
        <v>1.02</v>
      </c>
      <c r="AT30">
        <v>-302.20902819999998</v>
      </c>
      <c r="AU30">
        <v>28.320746133333301</v>
      </c>
      <c r="AV30">
        <v>0.838106666666666</v>
      </c>
      <c r="AW30">
        <f t="shared" ref="AW30" si="43">AX30^3</f>
        <v>5687.4116250000015</v>
      </c>
      <c r="AX30">
        <f>(AS30/AS$11)*AX$11</f>
        <v>17.850000000000001</v>
      </c>
      <c r="AY30">
        <f t="shared" si="42"/>
        <v>5.6874116250000019E-21</v>
      </c>
      <c r="AZ30" s="3">
        <f t="shared" si="38"/>
        <v>1.3839797393725233</v>
      </c>
      <c r="BA30">
        <f>(AZ30-AZ31)/(AV30-AV31)*(0-AV31)+AZ31</f>
        <v>1.3527358326435219</v>
      </c>
      <c r="BB30">
        <f>(AW30-AW31)/(AV30-AV31)*(0-AV31)+AW31</f>
        <v>5819.6207468113125</v>
      </c>
      <c r="BC30" s="4">
        <f>BB30^(1/3)</f>
        <v>17.987255120943011</v>
      </c>
      <c r="BD30">
        <f>(AT30-AT31)/(AV30-AV31)*(0-AV31)+AT31</f>
        <v>-300.98329964777071</v>
      </c>
    </row>
    <row r="31" spans="2:56" x14ac:dyDescent="0.2">
      <c r="Q31" s="5"/>
      <c r="AD31">
        <v>1.02</v>
      </c>
      <c r="AE31">
        <v>-305.09192749733302</v>
      </c>
      <c r="AF31">
        <v>24.504509066666699</v>
      </c>
      <c r="AG31">
        <v>-1.3058226666666599</v>
      </c>
      <c r="AH31">
        <f t="shared" si="39"/>
        <v>5287.4923799607313</v>
      </c>
      <c r="AI31">
        <f t="shared" si="40"/>
        <v>17.421407987392612</v>
      </c>
      <c r="AJ31">
        <f t="shared" si="41"/>
        <v>5.2874923799607322E-21</v>
      </c>
      <c r="AK31" s="3">
        <f t="shared" si="36"/>
        <v>1.4886569838480257</v>
      </c>
      <c r="AN31" s="4"/>
      <c r="AS31">
        <v>1.03</v>
      </c>
      <c r="AT31">
        <v>-300.64292831195098</v>
      </c>
      <c r="AU31">
        <v>28.7176775610567</v>
      </c>
      <c r="AV31">
        <v>-0.23273300207776801</v>
      </c>
      <c r="AW31">
        <f t="shared" si="37"/>
        <v>5856.3337656250023</v>
      </c>
      <c r="AX31">
        <f>(AS31/AS$11)*AX$11</f>
        <v>18.025000000000002</v>
      </c>
      <c r="AY31">
        <f t="shared" si="42"/>
        <v>5.856333765625003E-21</v>
      </c>
      <c r="AZ31" s="3">
        <f t="shared" si="38"/>
        <v>1.3440597434309178</v>
      </c>
      <c r="BC31" s="4"/>
    </row>
    <row r="32" spans="2:56" x14ac:dyDescent="0.2">
      <c r="B32">
        <v>1100</v>
      </c>
      <c r="C32" t="s">
        <v>25</v>
      </c>
      <c r="G32" t="s">
        <v>14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31</v>
      </c>
      <c r="N32" t="s">
        <v>32</v>
      </c>
      <c r="Q32" s="5"/>
      <c r="AZ32" s="3"/>
    </row>
    <row r="33" spans="2:56" x14ac:dyDescent="0.2">
      <c r="C33">
        <v>0.97</v>
      </c>
      <c r="D33">
        <v>-229.626115333</v>
      </c>
      <c r="E33">
        <v>22.870999300000001</v>
      </c>
      <c r="F33">
        <v>4.3089029999999999</v>
      </c>
      <c r="G33">
        <f>G$36*(C33/C$36)^3</f>
        <v>4725.5625075409998</v>
      </c>
      <c r="H33">
        <f t="shared" ref="H33:H35" si="44">G33^(1/3)</f>
        <v>16.781000000000002</v>
      </c>
      <c r="I33">
        <f t="shared" ref="I33:I36" si="45">G33*(10^-24)</f>
        <v>4.7255625075410001E-21</v>
      </c>
      <c r="J33" s="3">
        <f>$H$6/I33</f>
        <v>1.6656773550050157</v>
      </c>
      <c r="Q33" s="5"/>
      <c r="AR33">
        <v>1100</v>
      </c>
      <c r="AS33" t="s">
        <v>25</v>
      </c>
      <c r="AW33" t="s">
        <v>14</v>
      </c>
      <c r="AX33" t="s">
        <v>26</v>
      </c>
      <c r="AY33" t="s">
        <v>27</v>
      </c>
      <c r="AZ33" t="s">
        <v>28</v>
      </c>
      <c r="BA33" t="s">
        <v>29</v>
      </c>
      <c r="BB33" t="s">
        <v>30</v>
      </c>
      <c r="BC33" t="s">
        <v>31</v>
      </c>
      <c r="BD33" t="s">
        <v>32</v>
      </c>
    </row>
    <row r="34" spans="2:56" x14ac:dyDescent="0.2">
      <c r="C34">
        <v>0.98</v>
      </c>
      <c r="D34">
        <v>-229.19191113250002</v>
      </c>
      <c r="E34">
        <v>22.8743965</v>
      </c>
      <c r="F34">
        <v>2.1333687499999971</v>
      </c>
      <c r="G34">
        <f>G$36*(C34/C$36)^3</f>
        <v>4873.2258186640001</v>
      </c>
      <c r="H34">
        <f t="shared" si="44"/>
        <v>16.954000000000001</v>
      </c>
      <c r="I34">
        <f t="shared" si="45"/>
        <v>4.8732258186640003E-21</v>
      </c>
      <c r="J34" s="3">
        <f t="shared" ref="J34:J36" si="46">$H$6/I34</f>
        <v>1.6152057695183262</v>
      </c>
      <c r="Q34" s="5"/>
      <c r="AC34">
        <v>1100</v>
      </c>
      <c r="AD34" t="s">
        <v>25</v>
      </c>
      <c r="AH34" t="s">
        <v>14</v>
      </c>
      <c r="AI34" t="s">
        <v>26</v>
      </c>
      <c r="AJ34" t="s">
        <v>27</v>
      </c>
      <c r="AK34" t="s">
        <v>28</v>
      </c>
      <c r="AL34" t="s">
        <v>29</v>
      </c>
      <c r="AM34" t="s">
        <v>30</v>
      </c>
      <c r="AN34" t="s">
        <v>31</v>
      </c>
      <c r="AO34" t="s">
        <v>32</v>
      </c>
      <c r="AS34">
        <v>0.98</v>
      </c>
      <c r="AT34">
        <v>-313.29896759300999</v>
      </c>
      <c r="AU34">
        <v>22.5533303833848</v>
      </c>
      <c r="AV34">
        <v>4.1557922869893504</v>
      </c>
      <c r="AW34">
        <f>AX34^3</f>
        <v>5044.2008749999986</v>
      </c>
      <c r="AX34">
        <f>(AS34/AS$11)*AX$11</f>
        <v>17.149999999999999</v>
      </c>
      <c r="AY34">
        <f>AW34*(10^-24)</f>
        <v>5.0442008749999993E-21</v>
      </c>
      <c r="AZ34" s="3">
        <f>$H$6/AY34</f>
        <v>1.5604577719105532</v>
      </c>
    </row>
    <row r="35" spans="2:56" x14ac:dyDescent="0.2">
      <c r="C35">
        <v>0.99</v>
      </c>
      <c r="D35">
        <v>-227.59710043083001</v>
      </c>
      <c r="E35">
        <v>22.875848900000001</v>
      </c>
      <c r="F35">
        <v>0.126773</v>
      </c>
      <c r="G35">
        <f>G$36*(C35/C$36)^3</f>
        <v>5023.9336273830004</v>
      </c>
      <c r="H35">
        <f t="shared" si="44"/>
        <v>17.126999999999992</v>
      </c>
      <c r="I35">
        <f t="shared" si="45"/>
        <v>5.0239336273830012E-21</v>
      </c>
      <c r="J35" s="3">
        <f t="shared" si="46"/>
        <v>1.56675287578828</v>
      </c>
      <c r="K35">
        <f>(J35-J36)/(F35-F36)*(0-F36)+J36</f>
        <v>1.5623919353476561</v>
      </c>
      <c r="L35">
        <f>(G35-G36)/(F35-F36)*(0-F36)+G36</f>
        <v>5038.3454186771733</v>
      </c>
      <c r="M35" s="4">
        <f>L35^(1/3)</f>
        <v>17.143361356222186</v>
      </c>
      <c r="N35">
        <f>(D35-D36)/(F35-F36)*(0-F36)+D36</f>
        <v>-227.49010335321722</v>
      </c>
      <c r="Q35" s="5"/>
      <c r="AD35">
        <v>0.97</v>
      </c>
      <c r="AE35">
        <v>-312.97163315166677</v>
      </c>
      <c r="AF35">
        <v>22.357461500000028</v>
      </c>
      <c r="AG35">
        <v>6.4244916666666603</v>
      </c>
      <c r="AH35">
        <f>AH$9*(AD35/AD$9)^3</f>
        <v>4547.413450422443</v>
      </c>
      <c r="AI35">
        <f>AH35^(1/3)</f>
        <v>16.567417399775326</v>
      </c>
      <c r="AJ35">
        <f>AH35*(10^-24)</f>
        <v>4.5474134504224431E-21</v>
      </c>
      <c r="AK35" s="3">
        <f>$H$6/AJ35</f>
        <v>1.7309317800739104</v>
      </c>
      <c r="AS35">
        <v>0.99</v>
      </c>
      <c r="AT35">
        <v>-312.21757928533299</v>
      </c>
      <c r="AU35">
        <v>22.228937999999999</v>
      </c>
      <c r="AV35">
        <v>1.70438933333333</v>
      </c>
      <c r="AW35">
        <f t="shared" ref="AW35:AW36" si="47">AX35^3</f>
        <v>5200.1962031249996</v>
      </c>
      <c r="AX35">
        <f>(AS35/AS$11)*AX$11</f>
        <v>17.324999999999999</v>
      </c>
      <c r="AY35">
        <f>AW35*(10^-24)</f>
        <v>5.200196203125E-21</v>
      </c>
      <c r="AZ35" s="3">
        <f t="shared" ref="AZ35:AZ36" si="48">$H$6/AY35</f>
        <v>1.5136472069537712</v>
      </c>
      <c r="BA35">
        <f>(AZ35-AZ36)/(AV35-AV36)*(0-AV36)+AZ36</f>
        <v>1.4812143284252643</v>
      </c>
      <c r="BB35">
        <f>(AW35-AW36)/(AV35-AV36)*(0-AV36)+AW36</f>
        <v>5315.0313890026455</v>
      </c>
      <c r="BC35" s="4">
        <f>BB35^(1/3)</f>
        <v>17.451601114162536</v>
      </c>
      <c r="BD35">
        <f>(AT35-AT36)/(AV35-AV36)*(0-AV36)+AT36</f>
        <v>-311.67009898036144</v>
      </c>
    </row>
    <row r="36" spans="2:56" x14ac:dyDescent="0.2">
      <c r="C36">
        <v>1</v>
      </c>
      <c r="D36">
        <v>-226.4553706403</v>
      </c>
      <c r="E36">
        <v>22.874620700000001</v>
      </c>
      <c r="F36">
        <v>-1.2259789999999999</v>
      </c>
      <c r="G36">
        <f>H36^3</f>
        <v>5177.7170000000006</v>
      </c>
      <c r="H36">
        <v>17.3</v>
      </c>
      <c r="I36">
        <f t="shared" si="45"/>
        <v>5.1777170000000013E-21</v>
      </c>
      <c r="J36" s="3">
        <f t="shared" si="46"/>
        <v>1.5202187486244922</v>
      </c>
      <c r="Q36" s="5"/>
      <c r="AD36">
        <v>0.98</v>
      </c>
      <c r="AE36">
        <v>-312.358840010667</v>
      </c>
      <c r="AF36">
        <v>22.488504800000001</v>
      </c>
      <c r="AG36">
        <v>3.7646440000000001</v>
      </c>
      <c r="AH36">
        <v>4689.51</v>
      </c>
      <c r="AI36">
        <f>AH36^(1/3)</f>
        <v>16.73821551729878</v>
      </c>
      <c r="AJ36">
        <f>AH36*(10^-24)</f>
        <v>4.6895100000000009E-21</v>
      </c>
      <c r="AK36" s="3">
        <f>$H$6/AJ36</f>
        <v>1.6784829243293564</v>
      </c>
      <c r="AS36">
        <v>1</v>
      </c>
      <c r="AT36">
        <v>-311.45868944166625</v>
      </c>
      <c r="AU36">
        <v>21.731755666666675</v>
      </c>
      <c r="AV36">
        <v>-0.65815000000000068</v>
      </c>
      <c r="AW36">
        <f t="shared" si="47"/>
        <v>5359.375</v>
      </c>
      <c r="AX36">
        <v>17.5</v>
      </c>
      <c r="AY36">
        <f t="shared" ref="AY36" si="49">AW36*(10^-24)</f>
        <v>5.3593750000000004E-21</v>
      </c>
      <c r="AZ36" s="3">
        <f t="shared" si="48"/>
        <v>1.4686903712600372</v>
      </c>
    </row>
    <row r="37" spans="2:56" x14ac:dyDescent="0.2">
      <c r="E37">
        <f>AVERAGE(E32:E36)</f>
        <v>22.873966350000003</v>
      </c>
      <c r="G37">
        <f>G$20*(C37/C$20)^3</f>
        <v>0</v>
      </c>
      <c r="J37" s="3"/>
      <c r="Q37" s="5"/>
      <c r="AD37">
        <v>0.99</v>
      </c>
      <c r="AE37">
        <v>-310.77423590799998</v>
      </c>
      <c r="AF37">
        <v>22.783339600000001</v>
      </c>
      <c r="AG37">
        <v>2.1294279999999999</v>
      </c>
      <c r="AH37">
        <f>AH$9*(AD37/AD$9)^3</f>
        <v>4834.5362726096264</v>
      </c>
      <c r="AI37">
        <f>AH37^(1/3)</f>
        <v>16.909013634822244</v>
      </c>
      <c r="AJ37">
        <f>AH37*(10^-24)</f>
        <v>4.8345362726096269E-21</v>
      </c>
      <c r="AK37" s="3">
        <f t="shared" ref="AK37:AK40" si="50">$H$6/AJ37</f>
        <v>1.6281318444267139</v>
      </c>
      <c r="AS37">
        <v>1.02</v>
      </c>
      <c r="AT37">
        <v>-308.50929007866699</v>
      </c>
      <c r="AU37">
        <v>22.291824399999999</v>
      </c>
      <c r="AV37">
        <v>-2.8018146666666701</v>
      </c>
      <c r="AW37">
        <f t="shared" ref="AW37" si="51">AX37^3</f>
        <v>5687.4116250000015</v>
      </c>
      <c r="AX37">
        <f>(AS37/AS$11)*AX$11</f>
        <v>17.850000000000001</v>
      </c>
      <c r="AY37">
        <f>AW37*(10^-24)</f>
        <v>5.6874116250000019E-21</v>
      </c>
      <c r="AZ37" s="3">
        <f>$H$6/AY37</f>
        <v>1.3839797393725233</v>
      </c>
      <c r="BC37" s="4"/>
    </row>
    <row r="38" spans="2:56" x14ac:dyDescent="0.2">
      <c r="Q38" s="5"/>
      <c r="AD38">
        <v>1</v>
      </c>
      <c r="AE38">
        <v>-309.80671260166673</v>
      </c>
      <c r="AF38">
        <v>22.57849283333335</v>
      </c>
      <c r="AG38">
        <v>9.8333333333333495E-2</v>
      </c>
      <c r="AH38">
        <f t="shared" ref="AH38:AH40" si="52">AH$9*(AD38/AD$9)^3</f>
        <v>4982.5221633843048</v>
      </c>
      <c r="AI38">
        <f t="shared" ref="AI38:AI40" si="53">AH38^(1/3)</f>
        <v>17.079811752345698</v>
      </c>
      <c r="AJ38">
        <f t="shared" ref="AJ38:AJ40" si="54">AH38*(10^-24)</f>
        <v>4.9825221633843051E-21</v>
      </c>
      <c r="AK38" s="3">
        <f t="shared" si="50"/>
        <v>1.5797747005153957</v>
      </c>
      <c r="AL38">
        <f>(AK38-AK39)/(AG38-AG39)*(0-AG39)+AK39</f>
        <v>1.5766944702565235</v>
      </c>
      <c r="AM38">
        <f>(AH38-AH39)/(AG38-AG39)*(0-AG39)+AH39</f>
        <v>4992.531409978752</v>
      </c>
      <c r="AN38" s="4">
        <f>AM38^(1/3)</f>
        <v>17.091241151176323</v>
      </c>
      <c r="AO38">
        <f>(AE38-AE39)/(AG38-AG39)*(0-AG39)+AE39</f>
        <v>-309.70552586501151</v>
      </c>
      <c r="AZ38" s="3"/>
      <c r="BC38" s="4"/>
    </row>
    <row r="39" spans="2:56" x14ac:dyDescent="0.2">
      <c r="B39">
        <v>1000</v>
      </c>
      <c r="C39" t="s">
        <v>25</v>
      </c>
      <c r="G39" t="s">
        <v>14</v>
      </c>
      <c r="H39" t="s">
        <v>26</v>
      </c>
      <c r="I39" t="s">
        <v>27</v>
      </c>
      <c r="J39" t="s">
        <v>28</v>
      </c>
      <c r="K39" t="s">
        <v>29</v>
      </c>
      <c r="L39" t="s">
        <v>30</v>
      </c>
      <c r="M39" t="s">
        <v>31</v>
      </c>
      <c r="N39" t="s">
        <v>32</v>
      </c>
      <c r="Q39" s="5"/>
      <c r="AD39">
        <v>1.01</v>
      </c>
      <c r="AE39">
        <v>-308.28045302666601</v>
      </c>
      <c r="AF39">
        <v>22.533211066666599</v>
      </c>
      <c r="AG39">
        <v>-1.3848866666666699</v>
      </c>
      <c r="AH39">
        <f t="shared" si="52"/>
        <v>5133.4975674570105</v>
      </c>
      <c r="AI39">
        <f t="shared" si="53"/>
        <v>17.250609869869159</v>
      </c>
      <c r="AJ39">
        <f t="shared" si="54"/>
        <v>5.1334975674570112E-21</v>
      </c>
      <c r="AK39" s="3">
        <f t="shared" si="50"/>
        <v>1.5333137602655886</v>
      </c>
      <c r="AN39" s="4"/>
    </row>
    <row r="40" spans="2:56" x14ac:dyDescent="0.2">
      <c r="C40">
        <v>0.97</v>
      </c>
      <c r="D40">
        <v>-233.60740526379999</v>
      </c>
      <c r="E40">
        <v>20.7920008</v>
      </c>
      <c r="F40">
        <v>6.0660540000000003</v>
      </c>
      <c r="G40">
        <f>G$43*(C40/C$43)^3</f>
        <v>4547.4040634211815</v>
      </c>
      <c r="H40">
        <f t="shared" ref="H40:H42" si="55">G40^(1/3)</f>
        <v>16.567405999999991</v>
      </c>
      <c r="I40">
        <f t="shared" ref="I40:I43" si="56">G40*(10^-24)</f>
        <v>4.5474040634211818E-21</v>
      </c>
      <c r="J40" s="3">
        <f>$H$6/I40</f>
        <v>1.7309353531583727</v>
      </c>
      <c r="Q40" s="5"/>
      <c r="AD40">
        <v>1.02</v>
      </c>
      <c r="AE40">
        <v>-307.163863488</v>
      </c>
      <c r="AF40">
        <v>22.7258325333333</v>
      </c>
      <c r="AG40">
        <v>-1.7721640000000001</v>
      </c>
      <c r="AH40">
        <f t="shared" si="52"/>
        <v>5287.4923799607313</v>
      </c>
      <c r="AI40">
        <f t="shared" si="53"/>
        <v>17.421407987392612</v>
      </c>
      <c r="AJ40">
        <f t="shared" si="54"/>
        <v>5.2874923799607322E-21</v>
      </c>
      <c r="AK40" s="3">
        <f t="shared" si="50"/>
        <v>1.4886569838480257</v>
      </c>
      <c r="AN40" s="4"/>
    </row>
    <row r="41" spans="2:56" x14ac:dyDescent="0.2">
      <c r="C41">
        <v>0.98</v>
      </c>
      <c r="D41">
        <v>-232.648208912</v>
      </c>
      <c r="E41">
        <v>20.791278299999998</v>
      </c>
      <c r="F41">
        <v>3.262632</v>
      </c>
      <c r="G41">
        <f>G$43*(C41/C$43)^3</f>
        <v>4689.5003196758407</v>
      </c>
      <c r="H41">
        <f t="shared" si="55"/>
        <v>16.738203999999989</v>
      </c>
      <c r="I41">
        <f t="shared" si="56"/>
        <v>4.6895003196758414E-21</v>
      </c>
      <c r="J41" s="3">
        <f t="shared" ref="J41:J43" si="57">$H$6/I41</f>
        <v>1.6784863891460098</v>
      </c>
      <c r="Q41" s="5"/>
      <c r="AR41" t="s">
        <v>90</v>
      </c>
    </row>
    <row r="42" spans="2:56" x14ac:dyDescent="0.2">
      <c r="C42">
        <v>0.99</v>
      </c>
      <c r="D42">
        <v>-231.398362846</v>
      </c>
      <c r="E42">
        <v>20.792611999999998</v>
      </c>
      <c r="F42">
        <v>1.3344</v>
      </c>
      <c r="G42">
        <f>G$43*(C42/C$43)^3</f>
        <v>4834.5262929148867</v>
      </c>
      <c r="H42">
        <f t="shared" si="55"/>
        <v>16.909001999999997</v>
      </c>
      <c r="I42">
        <f>G42*(10^-24)</f>
        <v>4.8345262929148875E-21</v>
      </c>
      <c r="J42" s="3">
        <f>$H$6/I42</f>
        <v>1.6281352053059022</v>
      </c>
      <c r="K42">
        <f>(J42-J43)/(F42-F43)*(0-F43)+J43</f>
        <v>1.598435950038072</v>
      </c>
      <c r="L42">
        <f>(G42-G43)/(F42-F43)*(0-F43)+G43</f>
        <v>4925.4136416213714</v>
      </c>
      <c r="M42" s="4">
        <f>L42^(1/3)</f>
        <v>17.014305883644642</v>
      </c>
      <c r="N42">
        <f>(D42-D43)/(F42-F43)*(0-F43)+D43</f>
        <v>-230.65159295068952</v>
      </c>
      <c r="Q42" s="5"/>
    </row>
    <row r="43" spans="2:56" x14ac:dyDescent="0.2">
      <c r="C43">
        <v>1</v>
      </c>
      <c r="D43">
        <v>-230.18244906249998</v>
      </c>
      <c r="E43">
        <v>20.794957624999999</v>
      </c>
      <c r="F43">
        <v>-0.8383112499999994</v>
      </c>
      <c r="G43">
        <f>H43^3</f>
        <v>4982.5118782095906</v>
      </c>
      <c r="H43">
        <v>17.079799999999999</v>
      </c>
      <c r="I43">
        <f t="shared" si="56"/>
        <v>4.9825118782095914E-21</v>
      </c>
      <c r="J43" s="3">
        <f t="shared" si="57"/>
        <v>1.5797779615731113</v>
      </c>
      <c r="Q43" s="5"/>
      <c r="AJ43" t="s">
        <v>36</v>
      </c>
      <c r="AK43" t="s">
        <v>37</v>
      </c>
    </row>
    <row r="44" spans="2:56" x14ac:dyDescent="0.2">
      <c r="E44">
        <f>AVERAGE(E39:E43)</f>
        <v>20.79271218125</v>
      </c>
      <c r="Q44" s="5"/>
      <c r="AD44" t="s">
        <v>16</v>
      </c>
      <c r="AE44" t="s">
        <v>38</v>
      </c>
      <c r="AF44" t="s">
        <v>26</v>
      </c>
      <c r="AG44" t="s">
        <v>39</v>
      </c>
      <c r="AH44" t="s">
        <v>12</v>
      </c>
      <c r="AI44" t="s">
        <v>40</v>
      </c>
      <c r="AJ44" t="s">
        <v>41</v>
      </c>
      <c r="AL44" t="s">
        <v>42</v>
      </c>
    </row>
    <row r="45" spans="2:56" x14ac:dyDescent="0.2">
      <c r="AC45">
        <v>1400</v>
      </c>
      <c r="AD45">
        <v>1.4532026290949156</v>
      </c>
      <c r="AE45">
        <v>5417.1612899184029</v>
      </c>
      <c r="AF45" s="4">
        <v>17.56267193011066</v>
      </c>
      <c r="AG45">
        <v>-299.51681756759854</v>
      </c>
      <c r="AH45">
        <v>28.127582133333362</v>
      </c>
      <c r="AI45">
        <f>AG45+AH45</f>
        <v>-271.38923543426517</v>
      </c>
      <c r="AJ45">
        <f>(AI45-AI46)/(AE45-AE46)</f>
        <v>3.5326310887738938E-2</v>
      </c>
      <c r="AK45">
        <f>AJ45*(1.602*10^-19)*(6.022*10^23)/81</f>
        <v>42.074264290601747</v>
      </c>
      <c r="AL45">
        <f>AG45/81</f>
        <v>-3.6977384884888709</v>
      </c>
      <c r="AR45">
        <v>1400</v>
      </c>
      <c r="AS45" t="s">
        <v>25</v>
      </c>
      <c r="AW45" t="s">
        <v>14</v>
      </c>
      <c r="AX45" t="s">
        <v>26</v>
      </c>
      <c r="AY45" t="s">
        <v>27</v>
      </c>
      <c r="AZ45" t="s">
        <v>28</v>
      </c>
      <c r="BA45" t="s">
        <v>29</v>
      </c>
      <c r="BB45" t="s">
        <v>30</v>
      </c>
      <c r="BC45" t="s">
        <v>31</v>
      </c>
      <c r="BD45" t="s">
        <v>32</v>
      </c>
    </row>
    <row r="46" spans="2:56" x14ac:dyDescent="0.2">
      <c r="AC46">
        <v>1300</v>
      </c>
      <c r="AD46">
        <v>1.4865480962106208</v>
      </c>
      <c r="AE46">
        <v>5295.2053157360333</v>
      </c>
      <c r="AF46" s="4">
        <v>17.429874818693001</v>
      </c>
      <c r="AG46">
        <v>-302.73073477284862</v>
      </c>
      <c r="AH46">
        <v>27.033244680000003</v>
      </c>
      <c r="AI46">
        <f t="shared" ref="AI46:AI48" si="58">AG46+AH46</f>
        <v>-275.69749009284862</v>
      </c>
      <c r="AJ46">
        <f>(AI46-AI47)/(AE46-AE47)</f>
        <v>3.8468667149984252E-2</v>
      </c>
      <c r="AK46">
        <f t="shared" ref="AK46:AK47" si="59">AJ46*(1.602*10^-19)*(6.022*10^23)/81</f>
        <v>45.816866463047241</v>
      </c>
      <c r="AL46">
        <f>AG46/81</f>
        <v>-3.7374164786771433</v>
      </c>
      <c r="AS46">
        <v>0.98</v>
      </c>
      <c r="AT46">
        <v>-222.51377504999999</v>
      </c>
      <c r="AU46">
        <v>28.978374500000001</v>
      </c>
      <c r="AV46">
        <v>6.664085</v>
      </c>
      <c r="AW46">
        <f>AX46^3</f>
        <v>5044.2008749999986</v>
      </c>
      <c r="AX46">
        <f>(AS46/AS$11)*AX$11</f>
        <v>17.149999999999999</v>
      </c>
      <c r="AY46">
        <f>AW46*(10^-24)</f>
        <v>5.0442008749999993E-21</v>
      </c>
      <c r="AZ46" s="3">
        <f>$H$6/AY46</f>
        <v>1.5604577719105532</v>
      </c>
    </row>
    <row r="47" spans="2:56" x14ac:dyDescent="0.2">
      <c r="AC47">
        <v>1200</v>
      </c>
      <c r="AD47">
        <v>1.5291104483311759</v>
      </c>
      <c r="AE47">
        <v>5147.9923045419728</v>
      </c>
      <c r="AF47" s="4">
        <v>17.266830655187249</v>
      </c>
      <c r="AG47">
        <v>-306.31590310405483</v>
      </c>
      <c r="AH47">
        <v>24.955324683434963</v>
      </c>
      <c r="AI47">
        <f t="shared" si="58"/>
        <v>-281.36057842061985</v>
      </c>
      <c r="AJ47">
        <f t="shared" ref="AJ47" si="60">(AI47-AI48)/(AE47-AE48)</f>
        <v>3.5192008316707636E-2</v>
      </c>
      <c r="AK47">
        <f t="shared" si="59"/>
        <v>41.9143075409022</v>
      </c>
      <c r="AL47">
        <f t="shared" ref="AL47:AL48" si="61">AG47/81</f>
        <v>-3.7816778160994424</v>
      </c>
      <c r="AS47">
        <v>0.99</v>
      </c>
      <c r="AT47">
        <v>-221.653371685</v>
      </c>
      <c r="AU47">
        <v>28.974375999999999</v>
      </c>
      <c r="AV47">
        <v>4.0439550000000004</v>
      </c>
      <c r="AW47">
        <f t="shared" ref="AW47:AW50" si="62">AX47^3</f>
        <v>5200.1962031249996</v>
      </c>
      <c r="AX47">
        <f>(AS47/AS$11)*AX$11</f>
        <v>17.324999999999999</v>
      </c>
      <c r="AY47">
        <f>AW47*(10^-24)</f>
        <v>5.200196203125E-21</v>
      </c>
      <c r="AZ47" s="3">
        <f t="shared" ref="AZ47:AZ50" si="63">$H$6/AY47</f>
        <v>1.5136472069537712</v>
      </c>
    </row>
    <row r="48" spans="2:56" x14ac:dyDescent="0.2">
      <c r="AC48">
        <v>1100</v>
      </c>
      <c r="AD48">
        <v>1.5766944702565235</v>
      </c>
      <c r="AE48">
        <v>4992.531409978752</v>
      </c>
      <c r="AF48" s="4">
        <v>17.091241151176323</v>
      </c>
      <c r="AG48">
        <v>-309.70552586501151</v>
      </c>
      <c r="AH48">
        <v>22.873966350000003</v>
      </c>
      <c r="AI48">
        <f t="shared" si="58"/>
        <v>-286.83155951501152</v>
      </c>
      <c r="AL48">
        <f t="shared" si="61"/>
        <v>-3.8235250106791545</v>
      </c>
      <c r="AS48">
        <v>1</v>
      </c>
      <c r="AT48">
        <v>-220.45172502500003</v>
      </c>
      <c r="AU48">
        <v>28.3232395</v>
      </c>
      <c r="AV48">
        <v>2.579685</v>
      </c>
      <c r="AW48">
        <f t="shared" si="62"/>
        <v>5359.375</v>
      </c>
      <c r="AX48">
        <v>17.5</v>
      </c>
      <c r="AY48">
        <f t="shared" ref="AY48:AY50" si="64">AW48*(10^-24)</f>
        <v>5.3593750000000004E-21</v>
      </c>
      <c r="AZ48" s="3">
        <f t="shared" si="63"/>
        <v>1.4686903712600372</v>
      </c>
    </row>
    <row r="49" spans="30:56" x14ac:dyDescent="0.2">
      <c r="AF49" s="4"/>
      <c r="AS49">
        <v>1.01</v>
      </c>
      <c r="AT49">
        <v>-219.13404061200001</v>
      </c>
      <c r="AU49">
        <v>28.968655999999999</v>
      </c>
      <c r="AV49">
        <v>1.8406720000000001</v>
      </c>
      <c r="AW49">
        <f t="shared" si="62"/>
        <v>5521.7694218750012</v>
      </c>
      <c r="AX49">
        <f>(AS49/AS$11)*AX$11</f>
        <v>17.675000000000001</v>
      </c>
      <c r="AY49">
        <f t="shared" si="64"/>
        <v>5.5217694218750016E-21</v>
      </c>
      <c r="AZ49" s="3">
        <f t="shared" si="63"/>
        <v>1.4254964047011862</v>
      </c>
      <c r="BC49" s="4"/>
    </row>
    <row r="50" spans="30:56" x14ac:dyDescent="0.2">
      <c r="AI50" t="s">
        <v>18</v>
      </c>
      <c r="AJ50" t="s">
        <v>58</v>
      </c>
      <c r="AK50" t="s">
        <v>97</v>
      </c>
      <c r="AS50">
        <v>1.02</v>
      </c>
      <c r="AT50">
        <v>-218.28648253200001</v>
      </c>
      <c r="AU50">
        <v>28.197062800000001</v>
      </c>
      <c r="AV50">
        <v>0.41854400000000003</v>
      </c>
      <c r="AW50">
        <f t="shared" si="62"/>
        <v>5687.4116250000015</v>
      </c>
      <c r="AX50">
        <f>(AS50/AS$11)*AX$11</f>
        <v>17.850000000000001</v>
      </c>
      <c r="AY50">
        <f t="shared" si="64"/>
        <v>5.6874116250000019E-21</v>
      </c>
      <c r="AZ50" s="3">
        <f t="shared" si="63"/>
        <v>1.3839797393725233</v>
      </c>
      <c r="BA50">
        <f>(AZ50-AZ51)/(AV50-AV51)*(0-AV51)+AZ51</f>
        <v>1.3655047370710551</v>
      </c>
      <c r="BB50">
        <f>(AW50-AW51)/(AV50-AV51)*(0-AV51)+AW51</f>
        <v>5765.5889109241016</v>
      </c>
      <c r="BC50" s="4">
        <f>BB50^(1/3)</f>
        <v>17.931414837053921</v>
      </c>
      <c r="BD50">
        <f>(AT50-AT51)/(AV50-AV51)*(0-AV51)+AT51</f>
        <v>-217.214067905592</v>
      </c>
    </row>
    <row r="51" spans="30:56" x14ac:dyDescent="0.2">
      <c r="AE51" t="s">
        <v>43</v>
      </c>
      <c r="AI51">
        <v>1100</v>
      </c>
      <c r="AJ51">
        <v>1.5417191000000001</v>
      </c>
      <c r="AS51">
        <v>1.03</v>
      </c>
      <c r="AT51">
        <v>-215.96925480799999</v>
      </c>
      <c r="AU51">
        <v>29.3050532</v>
      </c>
      <c r="AV51">
        <v>-0.48582799999999998</v>
      </c>
      <c r="AW51">
        <f t="shared" ref="AW51" si="65">AX51^3</f>
        <v>5856.3337656250023</v>
      </c>
      <c r="AX51">
        <f>(AS51/AS$11)*AX$11</f>
        <v>18.025000000000002</v>
      </c>
      <c r="AY51">
        <f t="shared" ref="AY51" si="66">AW51*(10^-24)</f>
        <v>5.856333765625003E-21</v>
      </c>
      <c r="AZ51" s="3">
        <f t="shared" ref="AZ51" si="67">$H$6/AY51</f>
        <v>1.3440597434309178</v>
      </c>
      <c r="BC51" s="4"/>
    </row>
    <row r="52" spans="30:56" x14ac:dyDescent="0.2">
      <c r="AD52">
        <v>1400</v>
      </c>
      <c r="AE52">
        <f>AE45/81</f>
        <v>66.878534443437076</v>
      </c>
      <c r="AI52">
        <v>1200</v>
      </c>
      <c r="AJ52">
        <v>1.4874191000000001</v>
      </c>
    </row>
    <row r="53" spans="30:56" x14ac:dyDescent="0.2">
      <c r="AD53">
        <v>1300</v>
      </c>
      <c r="AE53">
        <f t="shared" ref="AE53:AE55" si="68">AE46/81</f>
        <v>65.372905132543622</v>
      </c>
      <c r="AI53">
        <v>1300</v>
      </c>
      <c r="AJ53">
        <v>1.4331191000000001</v>
      </c>
      <c r="AR53">
        <v>1100</v>
      </c>
      <c r="AS53" t="s">
        <v>25</v>
      </c>
      <c r="AW53" t="s">
        <v>14</v>
      </c>
      <c r="AX53" t="s">
        <v>26</v>
      </c>
      <c r="AY53" t="s">
        <v>27</v>
      </c>
      <c r="AZ53" t="s">
        <v>28</v>
      </c>
      <c r="BA53" t="s">
        <v>29</v>
      </c>
      <c r="BB53" t="s">
        <v>30</v>
      </c>
      <c r="BC53" t="s">
        <v>31</v>
      </c>
      <c r="BD53" t="s">
        <v>32</v>
      </c>
    </row>
    <row r="54" spans="30:56" x14ac:dyDescent="0.2">
      <c r="AD54">
        <v>1200</v>
      </c>
      <c r="AE54">
        <f t="shared" si="68"/>
        <v>63.5554605499009</v>
      </c>
      <c r="AI54">
        <v>1400</v>
      </c>
      <c r="AJ54">
        <v>1.3788191000000001</v>
      </c>
      <c r="AK54">
        <v>1.3993798588103539</v>
      </c>
      <c r="AS54">
        <v>0.98</v>
      </c>
      <c r="AT54">
        <v>-228.79265015199999</v>
      </c>
      <c r="AU54">
        <v>22.794289200000001</v>
      </c>
      <c r="AV54">
        <v>1.9907520000000001</v>
      </c>
      <c r="AW54">
        <f>AX54^3</f>
        <v>5044.2008749999986</v>
      </c>
      <c r="AX54">
        <f>(AS54/AS$11)*AX$11</f>
        <v>17.149999999999999</v>
      </c>
      <c r="AY54">
        <f>AW54*(10^-24)</f>
        <v>5.0442008749999993E-21</v>
      </c>
      <c r="AZ54" s="3">
        <f>$H$6/AY54</f>
        <v>1.5604577719105532</v>
      </c>
    </row>
    <row r="55" spans="30:56" x14ac:dyDescent="0.2">
      <c r="AD55">
        <v>1100</v>
      </c>
      <c r="AE55">
        <f t="shared" si="68"/>
        <v>61.63619024665126</v>
      </c>
      <c r="AS55">
        <v>0.99</v>
      </c>
      <c r="AT55">
        <v>-226.87053402399999</v>
      </c>
      <c r="AU55">
        <v>23.162089999999999</v>
      </c>
      <c r="AV55">
        <v>0.72619599999999995</v>
      </c>
      <c r="AW55">
        <f t="shared" ref="AW55:AW58" si="69">AX55^3</f>
        <v>5200.1962031249996</v>
      </c>
      <c r="AX55">
        <f>(AS55/AS$11)*AX$11</f>
        <v>17.324999999999999</v>
      </c>
      <c r="AY55">
        <f>AW55*(10^-24)</f>
        <v>5.200196203125E-21</v>
      </c>
      <c r="AZ55" s="3">
        <f t="shared" ref="AZ55:AZ58" si="70">$H$6/AY55</f>
        <v>1.5136472069537712</v>
      </c>
      <c r="BA55">
        <f>(AZ55-AZ56)/(AV55-AV56)*(0-AV56)+AZ56</f>
        <v>1.4778530439696116</v>
      </c>
      <c r="BB55">
        <f>(AW55-AW56)/(AV55-AV56)*(0-AV56)+AW56</f>
        <v>5326.9326984998361</v>
      </c>
      <c r="BC55" s="4">
        <f>BB55^(1/3)</f>
        <v>17.464617159907625</v>
      </c>
      <c r="BD55">
        <f>(AT55-AT56)/(AV55-AV56)*(0-AV56)+AT56</f>
        <v>-225.77368842297909</v>
      </c>
    </row>
    <row r="56" spans="30:56" x14ac:dyDescent="0.2">
      <c r="AS56">
        <v>1</v>
      </c>
      <c r="AT56">
        <v>-225.49291534666668</v>
      </c>
      <c r="AU56">
        <v>23.253922666666664</v>
      </c>
      <c r="AV56">
        <v>-0.18589333333333333</v>
      </c>
      <c r="AW56">
        <f t="shared" si="69"/>
        <v>5359.375</v>
      </c>
      <c r="AX56">
        <v>17.5</v>
      </c>
      <c r="AY56">
        <f t="shared" ref="AY56:AY58" si="71">AW56*(10^-24)</f>
        <v>5.3593750000000004E-21</v>
      </c>
      <c r="AZ56" s="3">
        <f t="shared" si="70"/>
        <v>1.4686903712600372</v>
      </c>
      <c r="BC56" s="4"/>
    </row>
    <row r="57" spans="30:56" x14ac:dyDescent="0.2">
      <c r="AS57">
        <v>1.01</v>
      </c>
      <c r="AT57">
        <v>-225.62404988299201</v>
      </c>
      <c r="AU57">
        <v>22.454192174045801</v>
      </c>
      <c r="AV57">
        <v>-2.1307937404580102</v>
      </c>
      <c r="AW57">
        <f t="shared" si="69"/>
        <v>5521.7694218750012</v>
      </c>
      <c r="AX57">
        <f>(AS57/AS$11)*AX$11</f>
        <v>17.675000000000001</v>
      </c>
      <c r="AY57">
        <f t="shared" si="71"/>
        <v>5.5217694218750016E-21</v>
      </c>
      <c r="AZ57" s="3">
        <f t="shared" si="70"/>
        <v>1.4254964047011862</v>
      </c>
      <c r="BC57" s="4"/>
    </row>
    <row r="58" spans="30:56" x14ac:dyDescent="0.2">
      <c r="AS58">
        <v>1.02</v>
      </c>
      <c r="AT58">
        <v>-223.37766844691501</v>
      </c>
      <c r="AU58">
        <v>22.959229720009901</v>
      </c>
      <c r="AV58">
        <v>-2.5307653522507398</v>
      </c>
      <c r="AW58">
        <f t="shared" si="69"/>
        <v>5687.4116250000015</v>
      </c>
      <c r="AX58">
        <f>(AS58/AS$11)*AX$11</f>
        <v>17.850000000000001</v>
      </c>
      <c r="AY58">
        <f t="shared" si="71"/>
        <v>5.6874116250000019E-21</v>
      </c>
      <c r="AZ58" s="3">
        <f t="shared" si="70"/>
        <v>1.3839797393725233</v>
      </c>
      <c r="BC58" s="4"/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A84A-6C55-4A4C-9969-45FAD5D048CF}">
  <dimension ref="A1:T62"/>
  <sheetViews>
    <sheetView topLeftCell="A14" workbookViewId="0">
      <selection activeCell="P39" sqref="P39"/>
    </sheetView>
  </sheetViews>
  <sheetFormatPr baseColWidth="10" defaultRowHeight="16" x14ac:dyDescent="0.2"/>
  <sheetData>
    <row r="1" spans="1:11" x14ac:dyDescent="0.2">
      <c r="C1" t="s">
        <v>19</v>
      </c>
      <c r="D1">
        <f>23+35.5</f>
        <v>58.5</v>
      </c>
      <c r="E1" t="s">
        <v>5</v>
      </c>
    </row>
    <row r="2" spans="1:11" x14ac:dyDescent="0.2">
      <c r="C2" t="s">
        <v>20</v>
      </c>
      <c r="D2">
        <f>238+3*35.5</f>
        <v>344.5</v>
      </c>
      <c r="E2" t="s">
        <v>5</v>
      </c>
    </row>
    <row r="4" spans="1:11" x14ac:dyDescent="0.2">
      <c r="B4" t="s">
        <v>22</v>
      </c>
      <c r="D4" t="s">
        <v>0</v>
      </c>
      <c r="E4" t="s">
        <v>3</v>
      </c>
      <c r="F4" t="s">
        <v>1</v>
      </c>
      <c r="G4" t="s">
        <v>2</v>
      </c>
      <c r="H4" t="s">
        <v>21</v>
      </c>
      <c r="I4" t="s">
        <v>8</v>
      </c>
      <c r="J4" t="s">
        <v>9</v>
      </c>
      <c r="K4" t="s">
        <v>55</v>
      </c>
    </row>
    <row r="5" spans="1:11" x14ac:dyDescent="0.2">
      <c r="A5" s="9"/>
      <c r="B5" s="9">
        <f>E5/SUM(D5:E5)</f>
        <v>0.14285714285714285</v>
      </c>
      <c r="D5">
        <v>72</v>
      </c>
      <c r="E5">
        <v>12</v>
      </c>
      <c r="F5">
        <f>D5+3*E5</f>
        <v>108</v>
      </c>
      <c r="G5">
        <f>SUM(D5:F5)</f>
        <v>192</v>
      </c>
      <c r="H5">
        <f>$D$2*(B5)+$D$1*(1-B5)</f>
        <v>99.357142857142861</v>
      </c>
      <c r="I5">
        <f>SUM(D5:E5)/(6.022E+23)</f>
        <v>1.3948854201262039E-22</v>
      </c>
      <c r="J5">
        <f>H5*I5</f>
        <v>1.3859182995682497E-20</v>
      </c>
      <c r="K5">
        <f>SUM(D5:E5)</f>
        <v>84</v>
      </c>
    </row>
    <row r="6" spans="1:11" x14ac:dyDescent="0.2">
      <c r="A6" s="9"/>
      <c r="B6" s="9">
        <f>E6/SUM(D6:E6)</f>
        <v>0.1951219512195122</v>
      </c>
      <c r="C6" s="1"/>
      <c r="D6">
        <v>66</v>
      </c>
      <c r="E6">
        <v>16</v>
      </c>
      <c r="F6">
        <f>D6+3*E6</f>
        <v>114</v>
      </c>
      <c r="G6">
        <f>SUM(D6:F6)</f>
        <v>196</v>
      </c>
      <c r="H6">
        <f t="shared" ref="H6:H14" si="0">$D$2*(B6)+$D$1*(1-B6)</f>
        <v>114.30487804878049</v>
      </c>
      <c r="I6">
        <f t="shared" ref="I6:I14" si="1">SUM(D6:E6)/(6.022E+23)</f>
        <v>1.3616738625041513E-22</v>
      </c>
      <c r="J6">
        <f t="shared" ref="J6:J14" si="2">H6*I6</f>
        <v>1.556459647957489E-20</v>
      </c>
      <c r="K6">
        <f t="shared" ref="K6:K14" si="3">SUM(D6:E6)</f>
        <v>82</v>
      </c>
    </row>
    <row r="7" spans="1:11" x14ac:dyDescent="0.2">
      <c r="A7" s="9"/>
      <c r="B7" s="9">
        <f>E7/SUM(D7:E7)</f>
        <v>0.33333333333333331</v>
      </c>
      <c r="C7" s="1"/>
      <c r="D7">
        <v>50</v>
      </c>
      <c r="E7">
        <v>25</v>
      </c>
      <c r="F7">
        <f>D7+3*E7</f>
        <v>125</v>
      </c>
      <c r="G7">
        <f>SUM(D7:F7)</f>
        <v>200</v>
      </c>
      <c r="H7">
        <f t="shared" si="0"/>
        <v>153.83333333333334</v>
      </c>
      <c r="I7">
        <f t="shared" si="1"/>
        <v>1.2454334108269678E-22</v>
      </c>
      <c r="J7">
        <f t="shared" si="2"/>
        <v>1.9158917303221524E-20</v>
      </c>
      <c r="K7">
        <f t="shared" si="3"/>
        <v>75</v>
      </c>
    </row>
    <row r="8" spans="1:11" x14ac:dyDescent="0.2">
      <c r="A8" s="9"/>
      <c r="B8" s="9">
        <f t="shared" ref="B8:B14" si="4">E8/SUM(D8:E8)</f>
        <v>0.35616438356164382</v>
      </c>
      <c r="C8" s="1"/>
      <c r="D8">
        <v>47</v>
      </c>
      <c r="E8">
        <v>26</v>
      </c>
      <c r="F8">
        <f t="shared" ref="F8:F14" si="5">D8+3*E8</f>
        <v>125</v>
      </c>
      <c r="G8">
        <f t="shared" ref="G8:G14" si="6">SUM(D8:F8)</f>
        <v>198</v>
      </c>
      <c r="H8">
        <f t="shared" si="0"/>
        <v>160.36301369863014</v>
      </c>
      <c r="I8">
        <f t="shared" si="1"/>
        <v>1.2122218532049152E-22</v>
      </c>
      <c r="J8">
        <f t="shared" si="2"/>
        <v>1.9439554965127863E-20</v>
      </c>
      <c r="K8">
        <f t="shared" si="3"/>
        <v>73</v>
      </c>
    </row>
    <row r="9" spans="1:11" x14ac:dyDescent="0.2">
      <c r="A9" s="9"/>
      <c r="B9" s="9">
        <f t="shared" si="4"/>
        <v>0.5</v>
      </c>
      <c r="C9" s="1"/>
      <c r="D9">
        <v>32</v>
      </c>
      <c r="E9">
        <v>32</v>
      </c>
      <c r="F9">
        <f t="shared" si="5"/>
        <v>128</v>
      </c>
      <c r="G9">
        <f t="shared" si="6"/>
        <v>192</v>
      </c>
      <c r="H9">
        <f t="shared" si="0"/>
        <v>201.5</v>
      </c>
      <c r="I9">
        <f t="shared" si="1"/>
        <v>1.0627698439056791E-22</v>
      </c>
      <c r="J9">
        <f t="shared" si="2"/>
        <v>2.1414812354699434E-20</v>
      </c>
      <c r="K9">
        <f t="shared" si="3"/>
        <v>64</v>
      </c>
    </row>
    <row r="10" spans="1:11" x14ac:dyDescent="0.2">
      <c r="A10" s="9"/>
      <c r="B10" s="9">
        <f t="shared" si="4"/>
        <v>0.6</v>
      </c>
      <c r="C10" s="1"/>
      <c r="D10">
        <v>24</v>
      </c>
      <c r="E10">
        <v>36</v>
      </c>
      <c r="F10">
        <f t="shared" si="5"/>
        <v>132</v>
      </c>
      <c r="G10">
        <f t="shared" si="6"/>
        <v>192</v>
      </c>
      <c r="H10">
        <f t="shared" si="0"/>
        <v>230.1</v>
      </c>
      <c r="I10">
        <f t="shared" si="1"/>
        <v>9.9634672866157424E-23</v>
      </c>
      <c r="J10">
        <f t="shared" si="2"/>
        <v>2.2925938226502823E-20</v>
      </c>
      <c r="K10">
        <f t="shared" si="3"/>
        <v>60</v>
      </c>
    </row>
    <row r="11" spans="1:11" x14ac:dyDescent="0.2">
      <c r="A11" s="9"/>
      <c r="B11" s="9">
        <f t="shared" si="4"/>
        <v>0.66666666666666663</v>
      </c>
      <c r="C11" s="1"/>
      <c r="D11">
        <v>20</v>
      </c>
      <c r="E11">
        <v>40</v>
      </c>
      <c r="F11">
        <f t="shared" si="5"/>
        <v>140</v>
      </c>
      <c r="G11">
        <f t="shared" si="6"/>
        <v>200</v>
      </c>
      <c r="H11">
        <f t="shared" si="0"/>
        <v>249.16666666666666</v>
      </c>
      <c r="I11">
        <f t="shared" si="1"/>
        <v>9.9634672866157424E-23</v>
      </c>
      <c r="J11">
        <f t="shared" si="2"/>
        <v>2.4825639322484223E-20</v>
      </c>
      <c r="K11">
        <f t="shared" si="3"/>
        <v>60</v>
      </c>
    </row>
    <row r="12" spans="1:11" x14ac:dyDescent="0.2">
      <c r="A12" s="9"/>
      <c r="B12" s="9">
        <f t="shared" si="4"/>
        <v>0.75</v>
      </c>
      <c r="C12" s="1"/>
      <c r="D12">
        <v>14</v>
      </c>
      <c r="E12">
        <v>42</v>
      </c>
      <c r="F12">
        <f t="shared" si="5"/>
        <v>140</v>
      </c>
      <c r="G12">
        <f t="shared" si="6"/>
        <v>196</v>
      </c>
      <c r="H12">
        <f t="shared" si="0"/>
        <v>273</v>
      </c>
      <c r="I12">
        <f t="shared" si="1"/>
        <v>9.2992361341746923E-23</v>
      </c>
      <c r="J12">
        <f t="shared" si="2"/>
        <v>2.538691464629691E-20</v>
      </c>
      <c r="K12">
        <f t="shared" si="3"/>
        <v>56</v>
      </c>
    </row>
    <row r="13" spans="1:11" x14ac:dyDescent="0.2">
      <c r="A13" s="9"/>
      <c r="B13" s="9">
        <f t="shared" si="4"/>
        <v>0.8</v>
      </c>
      <c r="C13" s="1"/>
      <c r="D13">
        <v>11</v>
      </c>
      <c r="E13">
        <v>44.000000000000007</v>
      </c>
      <c r="F13">
        <f t="shared" si="5"/>
        <v>143.00000000000003</v>
      </c>
      <c r="G13">
        <f t="shared" si="6"/>
        <v>198.00000000000003</v>
      </c>
      <c r="H13">
        <f t="shared" si="0"/>
        <v>287.3</v>
      </c>
      <c r="I13">
        <f t="shared" si="1"/>
        <v>9.1331783460644316E-23</v>
      </c>
      <c r="J13">
        <f t="shared" si="2"/>
        <v>2.6239621388243112E-20</v>
      </c>
      <c r="K13">
        <f t="shared" si="3"/>
        <v>55.000000000000007</v>
      </c>
    </row>
    <row r="14" spans="1:11" x14ac:dyDescent="0.2">
      <c r="A14" s="9"/>
      <c r="B14" s="9">
        <f t="shared" si="4"/>
        <v>0.9</v>
      </c>
      <c r="C14" s="1"/>
      <c r="D14">
        <v>5</v>
      </c>
      <c r="E14">
        <v>45</v>
      </c>
      <c r="F14">
        <f t="shared" si="5"/>
        <v>140</v>
      </c>
      <c r="G14">
        <f t="shared" si="6"/>
        <v>190</v>
      </c>
      <c r="H14">
        <f t="shared" si="0"/>
        <v>315.90000000000003</v>
      </c>
      <c r="I14">
        <f t="shared" si="1"/>
        <v>8.3028894055131184E-23</v>
      </c>
      <c r="J14">
        <f t="shared" si="2"/>
        <v>2.6228827632015945E-20</v>
      </c>
      <c r="K14">
        <f t="shared" si="3"/>
        <v>50</v>
      </c>
    </row>
    <row r="17" spans="2:20" x14ac:dyDescent="0.2">
      <c r="C17" t="s">
        <v>72</v>
      </c>
    </row>
    <row r="19" spans="2:20" x14ac:dyDescent="0.2">
      <c r="C19" t="s">
        <v>19</v>
      </c>
      <c r="G19" t="s">
        <v>20</v>
      </c>
      <c r="J19" t="s">
        <v>91</v>
      </c>
    </row>
    <row r="20" spans="2:20" x14ac:dyDescent="0.2">
      <c r="B20" t="s">
        <v>59</v>
      </c>
      <c r="C20">
        <v>0</v>
      </c>
      <c r="D20">
        <v>0.14299999999999999</v>
      </c>
      <c r="E20">
        <v>0.33300000000000002</v>
      </c>
      <c r="F20">
        <v>0.66700000000000004</v>
      </c>
      <c r="G20">
        <v>1</v>
      </c>
      <c r="L20" t="s">
        <v>96</v>
      </c>
      <c r="M20" s="30" t="s">
        <v>94</v>
      </c>
      <c r="N20" s="30"/>
      <c r="O20" s="30"/>
      <c r="P20" s="30"/>
      <c r="Q20" s="30"/>
      <c r="R20" t="s">
        <v>95</v>
      </c>
    </row>
    <row r="21" spans="2:20" x14ac:dyDescent="0.2">
      <c r="J21" t="s">
        <v>92</v>
      </c>
      <c r="K21">
        <v>0</v>
      </c>
      <c r="L21">
        <v>0</v>
      </c>
      <c r="M21">
        <v>1.6E-2</v>
      </c>
      <c r="N21">
        <v>8.6999999999999994E-2</v>
      </c>
      <c r="O21">
        <v>0.25</v>
      </c>
      <c r="P21">
        <v>0.33</v>
      </c>
      <c r="Q21">
        <v>0.54</v>
      </c>
      <c r="R21">
        <v>1</v>
      </c>
      <c r="S21">
        <v>1</v>
      </c>
      <c r="T21">
        <v>1</v>
      </c>
    </row>
    <row r="22" spans="2:20" x14ac:dyDescent="0.2">
      <c r="K22" t="s">
        <v>93</v>
      </c>
      <c r="L22" t="s">
        <v>58</v>
      </c>
      <c r="M22" t="s">
        <v>58</v>
      </c>
      <c r="N22" t="s">
        <v>58</v>
      </c>
      <c r="O22" t="s">
        <v>58</v>
      </c>
      <c r="P22" t="s">
        <v>117</v>
      </c>
      <c r="Q22" t="s">
        <v>58</v>
      </c>
      <c r="R22" t="s">
        <v>58</v>
      </c>
      <c r="S22" t="s">
        <v>63</v>
      </c>
      <c r="T22" t="s">
        <v>93</v>
      </c>
    </row>
    <row r="23" spans="2:20" x14ac:dyDescent="0.2">
      <c r="C23" t="s">
        <v>16</v>
      </c>
      <c r="J23">
        <v>1100</v>
      </c>
      <c r="K23">
        <f>1.556-0.000543*(J23-1073.7)</f>
        <v>1.5417191000000001</v>
      </c>
      <c r="L23">
        <f>2.1389-(0.0005426)*J23</f>
        <v>1.5420400000000001</v>
      </c>
      <c r="M23">
        <f>2.2075-(0.0005655)*J23</f>
        <v>1.58545</v>
      </c>
      <c r="N23">
        <f>2.7796-(0.0006828)*J23</f>
        <v>2.0285199999999999</v>
      </c>
      <c r="O23">
        <f>4.29-(0.0015903)*J23</f>
        <v>2.54067</v>
      </c>
      <c r="P23">
        <f>(Q23-O23)/(Q$21-O$21)*(P$21-O$21)+O23</f>
        <v>2.743238275862069</v>
      </c>
      <c r="Q23">
        <f>6.639-(0.0030582)*J23</f>
        <v>3.2749800000000002</v>
      </c>
      <c r="R23">
        <f t="shared" ref="R23:R29" si="7">13.652-0.007943*J23</f>
        <v>4.9146999999999981</v>
      </c>
      <c r="S23">
        <f t="shared" ref="S23:S29" si="8">6.3747-0.0015222*J23</f>
        <v>4.7002799999999993</v>
      </c>
      <c r="T23">
        <f>4.84-0.007942*(J23-837-273)</f>
        <v>4.9194199999999997</v>
      </c>
    </row>
    <row r="24" spans="2:20" x14ac:dyDescent="0.2">
      <c r="B24" t="s">
        <v>18</v>
      </c>
      <c r="J24">
        <v>1150</v>
      </c>
      <c r="K24">
        <f t="shared" ref="K24:K29" si="9">1.556-0.000543*(J24-1073.7)</f>
        <v>1.5145691000000001</v>
      </c>
      <c r="L24">
        <f t="shared" ref="L24:L29" si="10">2.1389-(0.0005426)*J24</f>
        <v>1.51491</v>
      </c>
      <c r="M24">
        <f t="shared" ref="M24:M29" si="11">2.2075-(0.0005655)*J24</f>
        <v>1.557175</v>
      </c>
      <c r="N24">
        <f t="shared" ref="N24:N29" si="12">2.7796-(0.0006828)*J24</f>
        <v>1.9943799999999998</v>
      </c>
      <c r="O24">
        <f t="shared" ref="O24:O29" si="13">4.29-(0.0015903)*J24</f>
        <v>2.4611549999999998</v>
      </c>
      <c r="P24">
        <f t="shared" ref="P24:P29" si="14">(Q24-O24)/(Q$21-O$21)*(P$21-O$21)+O24</f>
        <v>2.6434763793103446</v>
      </c>
      <c r="Q24">
        <f t="shared" ref="Q24:Q29" si="15">6.639-(0.0030582)*J24</f>
        <v>3.1220700000000003</v>
      </c>
      <c r="R24">
        <f t="shared" si="7"/>
        <v>4.5175499999999982</v>
      </c>
      <c r="S24">
        <f t="shared" si="8"/>
        <v>4.6241699999999994</v>
      </c>
      <c r="T24">
        <f t="shared" ref="T24:T29" si="16">4.84-0.007942*(J24-837-273)</f>
        <v>4.5223199999999997</v>
      </c>
    </row>
    <row r="25" spans="2:20" x14ac:dyDescent="0.2">
      <c r="B25">
        <v>1400</v>
      </c>
      <c r="C25">
        <v>1.4468101500880695</v>
      </c>
      <c r="G25">
        <v>4.1775925516374537</v>
      </c>
      <c r="J25">
        <v>1200</v>
      </c>
      <c r="K25">
        <f t="shared" si="9"/>
        <v>1.4874191000000001</v>
      </c>
      <c r="L25">
        <f t="shared" si="10"/>
        <v>1.4877800000000001</v>
      </c>
      <c r="M25">
        <f t="shared" si="11"/>
        <v>1.5288999999999999</v>
      </c>
      <c r="N25">
        <f t="shared" si="12"/>
        <v>1.9602399999999998</v>
      </c>
      <c r="O25">
        <f t="shared" si="13"/>
        <v>2.38164</v>
      </c>
      <c r="P25">
        <f t="shared" si="14"/>
        <v>2.5437144827586207</v>
      </c>
      <c r="Q25">
        <f t="shared" si="15"/>
        <v>2.96916</v>
      </c>
      <c r="R25">
        <f t="shared" si="7"/>
        <v>4.1203999999999983</v>
      </c>
      <c r="S25">
        <f t="shared" si="8"/>
        <v>4.5480599999999995</v>
      </c>
      <c r="T25">
        <f t="shared" si="16"/>
        <v>4.1252199999999997</v>
      </c>
    </row>
    <row r="26" spans="2:20" x14ac:dyDescent="0.2">
      <c r="B26">
        <v>1300</v>
      </c>
      <c r="C26">
        <v>1.4808467138625432</v>
      </c>
      <c r="G26">
        <v>4.2250301332337798</v>
      </c>
      <c r="J26">
        <v>1250</v>
      </c>
      <c r="K26">
        <f t="shared" si="9"/>
        <v>1.4602691000000001</v>
      </c>
      <c r="L26">
        <f t="shared" si="10"/>
        <v>1.4606500000000002</v>
      </c>
      <c r="M26">
        <f t="shared" si="11"/>
        <v>1.5006249999999999</v>
      </c>
      <c r="N26">
        <f t="shared" si="12"/>
        <v>1.9260999999999999</v>
      </c>
      <c r="O26">
        <f t="shared" si="13"/>
        <v>2.3021250000000002</v>
      </c>
      <c r="P26">
        <f t="shared" si="14"/>
        <v>2.4439525862068967</v>
      </c>
      <c r="Q26">
        <f t="shared" si="15"/>
        <v>2.8162500000000001</v>
      </c>
      <c r="R26">
        <f t="shared" si="7"/>
        <v>3.7232499999999984</v>
      </c>
      <c r="S26">
        <f t="shared" si="8"/>
        <v>4.4719499999999996</v>
      </c>
      <c r="T26">
        <f t="shared" si="16"/>
        <v>3.7281199999999997</v>
      </c>
    </row>
    <row r="27" spans="2:20" x14ac:dyDescent="0.2">
      <c r="B27">
        <v>1200</v>
      </c>
      <c r="C27">
        <v>1.5165939492692213</v>
      </c>
      <c r="G27">
        <v>4.3046697019440439</v>
      </c>
      <c r="J27">
        <v>1300</v>
      </c>
      <c r="K27">
        <f t="shared" si="9"/>
        <v>1.4331191000000001</v>
      </c>
      <c r="L27">
        <f t="shared" si="10"/>
        <v>1.4335200000000001</v>
      </c>
      <c r="M27">
        <f t="shared" si="11"/>
        <v>1.47235</v>
      </c>
      <c r="N27">
        <f t="shared" si="12"/>
        <v>1.8919599999999999</v>
      </c>
      <c r="O27">
        <f t="shared" si="13"/>
        <v>2.22261</v>
      </c>
      <c r="P27">
        <f t="shared" si="14"/>
        <v>2.3441906896551723</v>
      </c>
      <c r="Q27">
        <f t="shared" si="15"/>
        <v>2.6633400000000003</v>
      </c>
      <c r="R27">
        <f t="shared" si="7"/>
        <v>3.3260999999999985</v>
      </c>
      <c r="S27">
        <f t="shared" si="8"/>
        <v>4.3958399999999997</v>
      </c>
      <c r="T27">
        <f t="shared" si="16"/>
        <v>3.3310199999999996</v>
      </c>
    </row>
    <row r="28" spans="2:20" x14ac:dyDescent="0.2">
      <c r="B28">
        <v>1100</v>
      </c>
      <c r="C28">
        <v>1.5623919353476561</v>
      </c>
      <c r="G28">
        <v>4.3579574924952675</v>
      </c>
      <c r="J28">
        <v>1350</v>
      </c>
      <c r="K28">
        <f t="shared" si="9"/>
        <v>1.4059691000000001</v>
      </c>
      <c r="L28">
        <f t="shared" si="10"/>
        <v>1.40639</v>
      </c>
      <c r="M28">
        <f t="shared" si="11"/>
        <v>1.444075</v>
      </c>
      <c r="N28">
        <f t="shared" si="12"/>
        <v>1.8578199999999998</v>
      </c>
      <c r="O28">
        <f t="shared" si="13"/>
        <v>2.1430950000000002</v>
      </c>
      <c r="P28">
        <f t="shared" si="14"/>
        <v>2.2444287931034483</v>
      </c>
      <c r="Q28">
        <f t="shared" si="15"/>
        <v>2.5104300000000004</v>
      </c>
      <c r="R28">
        <f t="shared" si="7"/>
        <v>2.9289499999999986</v>
      </c>
      <c r="S28">
        <f t="shared" si="8"/>
        <v>4.3197299999999998</v>
      </c>
      <c r="T28">
        <f t="shared" si="16"/>
        <v>2.9339200000000001</v>
      </c>
    </row>
    <row r="29" spans="2:20" x14ac:dyDescent="0.2">
      <c r="J29">
        <v>1400</v>
      </c>
      <c r="K29">
        <f t="shared" si="9"/>
        <v>1.3788191000000001</v>
      </c>
      <c r="L29">
        <f t="shared" si="10"/>
        <v>1.3792599999999999</v>
      </c>
      <c r="M29">
        <f t="shared" si="11"/>
        <v>1.4157999999999999</v>
      </c>
      <c r="N29">
        <f t="shared" si="12"/>
        <v>1.82368</v>
      </c>
      <c r="O29">
        <f t="shared" si="13"/>
        <v>2.06358</v>
      </c>
      <c r="P29">
        <f t="shared" si="14"/>
        <v>2.1446668965517239</v>
      </c>
      <c r="Q29">
        <f t="shared" si="15"/>
        <v>2.3575200000000001</v>
      </c>
      <c r="R29">
        <f t="shared" si="7"/>
        <v>2.5317999999999987</v>
      </c>
      <c r="S29">
        <f t="shared" si="8"/>
        <v>4.2436199999999999</v>
      </c>
      <c r="T29">
        <f t="shared" si="16"/>
        <v>2.5368200000000001</v>
      </c>
    </row>
    <row r="30" spans="2:20" x14ac:dyDescent="0.2">
      <c r="C30" t="s">
        <v>60</v>
      </c>
    </row>
    <row r="31" spans="2:20" x14ac:dyDescent="0.2">
      <c r="B31" t="s">
        <v>18</v>
      </c>
    </row>
    <row r="32" spans="2:20" x14ac:dyDescent="0.2">
      <c r="B32">
        <v>1400</v>
      </c>
      <c r="C32">
        <v>67.180704776044479</v>
      </c>
      <c r="G32">
        <v>136.9375</v>
      </c>
    </row>
    <row r="33" spans="2:7" x14ac:dyDescent="0.2">
      <c r="B33">
        <v>1300</v>
      </c>
      <c r="C33">
        <v>65.633741618844155</v>
      </c>
      <c r="G33">
        <v>135.4</v>
      </c>
    </row>
    <row r="34" spans="2:7" x14ac:dyDescent="0.2">
      <c r="B34">
        <v>1200</v>
      </c>
      <c r="C34">
        <v>64.078720579470769</v>
      </c>
      <c r="G34">
        <v>132.89500000000001</v>
      </c>
    </row>
    <row r="35" spans="2:7" x14ac:dyDescent="0.2">
      <c r="B35">
        <v>1100</v>
      </c>
      <c r="C35">
        <v>62.201762285964605</v>
      </c>
      <c r="G35">
        <v>131.27000000000001</v>
      </c>
    </row>
    <row r="37" spans="2:7" x14ac:dyDescent="0.2">
      <c r="C37" t="s">
        <v>61</v>
      </c>
    </row>
    <row r="38" spans="2:7" x14ac:dyDescent="0.2">
      <c r="B38" t="s">
        <v>18</v>
      </c>
    </row>
    <row r="39" spans="2:7" x14ac:dyDescent="0.2">
      <c r="B39">
        <v>1400</v>
      </c>
      <c r="C39">
        <v>-2.6995949512455177</v>
      </c>
      <c r="G39">
        <v>-14.291134307261478</v>
      </c>
    </row>
    <row r="40" spans="2:7" x14ac:dyDescent="0.2">
      <c r="B40">
        <v>1300</v>
      </c>
      <c r="C40">
        <v>-2.7275854931758379</v>
      </c>
      <c r="G40">
        <v>-14.38243530360894</v>
      </c>
    </row>
    <row r="41" spans="2:7" x14ac:dyDescent="0.2">
      <c r="B41">
        <v>1200</v>
      </c>
      <c r="C41">
        <v>-2.7613129421360596</v>
      </c>
      <c r="G41">
        <v>-14.450837733246725</v>
      </c>
    </row>
    <row r="42" spans="2:7" x14ac:dyDescent="0.2">
      <c r="B42">
        <v>1100</v>
      </c>
      <c r="C42">
        <v>-2.8085197944841633</v>
      </c>
      <c r="G42">
        <v>-14.513083028868996</v>
      </c>
    </row>
    <row r="44" spans="2:7" x14ac:dyDescent="0.2">
      <c r="C44" t="s">
        <v>71</v>
      </c>
    </row>
    <row r="45" spans="2:7" x14ac:dyDescent="0.2">
      <c r="B45" t="s">
        <v>18</v>
      </c>
    </row>
    <row r="46" spans="2:7" x14ac:dyDescent="0.2">
      <c r="B46">
        <v>1400</v>
      </c>
      <c r="C46">
        <f>C39-(1-C$20)*$C39-C$20*$G39</f>
        <v>0</v>
      </c>
      <c r="D46">
        <f t="shared" ref="D46:G46" si="17">D39-(1-D$20)*$C39-D$20*$G39</f>
        <v>4.3571850791557996</v>
      </c>
      <c r="E46">
        <f t="shared" si="17"/>
        <v>6.5595775567988328</v>
      </c>
      <c r="F46">
        <f t="shared" si="17"/>
        <v>10.431151701708163</v>
      </c>
      <c r="G46">
        <f t="shared" si="17"/>
        <v>0</v>
      </c>
    </row>
    <row r="47" spans="2:7" x14ac:dyDescent="0.2">
      <c r="B47">
        <v>1300</v>
      </c>
      <c r="C47">
        <f t="shared" ref="C47:G49" si="18">C40-(1-C$20)*$C40-C$20*$G40</f>
        <v>0</v>
      </c>
      <c r="D47">
        <f t="shared" si="18"/>
        <v>4.3942290160677713</v>
      </c>
      <c r="E47">
        <f t="shared" si="18"/>
        <v>6.6086504800500609</v>
      </c>
      <c r="F47">
        <f t="shared" si="18"/>
        <v>10.501370316734718</v>
      </c>
      <c r="G47">
        <f t="shared" si="18"/>
        <v>0</v>
      </c>
    </row>
    <row r="48" spans="2:7" x14ac:dyDescent="0.2">
      <c r="B48">
        <v>1200</v>
      </c>
      <c r="C48">
        <f t="shared" si="18"/>
        <v>0</v>
      </c>
      <c r="D48">
        <f t="shared" si="18"/>
        <v>4.4329149872648852</v>
      </c>
      <c r="E48">
        <f t="shared" si="18"/>
        <v>6.6539246975759117</v>
      </c>
      <c r="F48">
        <f t="shared" si="18"/>
        <v>10.558225977806874</v>
      </c>
      <c r="G48">
        <f t="shared" si="18"/>
        <v>0</v>
      </c>
    </row>
    <row r="49" spans="2:7" x14ac:dyDescent="0.2">
      <c r="B49">
        <v>1100</v>
      </c>
      <c r="C49">
        <f t="shared" si="18"/>
        <v>0</v>
      </c>
      <c r="D49">
        <f t="shared" si="18"/>
        <v>4.4822723370011941</v>
      </c>
      <c r="E49">
        <f t="shared" si="18"/>
        <v>6.7061393515343131</v>
      </c>
      <c r="F49">
        <f t="shared" si="18"/>
        <v>10.615463471818847</v>
      </c>
      <c r="G49">
        <f t="shared" si="18"/>
        <v>0</v>
      </c>
    </row>
    <row r="51" spans="2:7" x14ac:dyDescent="0.2">
      <c r="C51" t="s">
        <v>70</v>
      </c>
    </row>
    <row r="52" spans="2:7" x14ac:dyDescent="0.2">
      <c r="B52" t="s">
        <v>18</v>
      </c>
    </row>
    <row r="53" spans="2:7" x14ac:dyDescent="0.2">
      <c r="B53">
        <v>1400</v>
      </c>
      <c r="C53">
        <v>0.38887634082928035</v>
      </c>
      <c r="G53">
        <v>0.10723951845467447</v>
      </c>
    </row>
    <row r="54" spans="2:7" x14ac:dyDescent="0.2">
      <c r="B54">
        <v>1300</v>
      </c>
      <c r="C54">
        <v>0.21376204560068215</v>
      </c>
      <c r="G54">
        <v>0.1057698486083427</v>
      </c>
    </row>
    <row r="55" spans="2:7" x14ac:dyDescent="0.2">
      <c r="B55">
        <v>1200</v>
      </c>
      <c r="C55">
        <v>0.19262387615510221</v>
      </c>
      <c r="G55">
        <v>8.6699020760000634E-2</v>
      </c>
    </row>
    <row r="56" spans="2:7" x14ac:dyDescent="0.2">
      <c r="B56">
        <v>1100</v>
      </c>
      <c r="C56">
        <v>0.17979325781881958</v>
      </c>
      <c r="G56">
        <v>8.3774110303112659E-2</v>
      </c>
    </row>
    <row r="58" spans="2:7" x14ac:dyDescent="0.2">
      <c r="C58" t="s">
        <v>69</v>
      </c>
    </row>
    <row r="59" spans="2:7" x14ac:dyDescent="0.2">
      <c r="B59" t="s">
        <v>18</v>
      </c>
    </row>
    <row r="60" spans="2:7" x14ac:dyDescent="0.2">
      <c r="B60">
        <v>1350</v>
      </c>
      <c r="C60">
        <v>25.880973442148512</v>
      </c>
      <c r="G60">
        <v>138.78998446168313</v>
      </c>
    </row>
    <row r="61" spans="2:7" x14ac:dyDescent="0.2">
      <c r="B61">
        <v>1250</v>
      </c>
      <c r="C61">
        <v>36.839430514621014</v>
      </c>
      <c r="G61">
        <v>111.48881821103195</v>
      </c>
    </row>
    <row r="62" spans="2:7" x14ac:dyDescent="0.2">
      <c r="B62">
        <v>1150</v>
      </c>
      <c r="C62">
        <v>37.47070476803389</v>
      </c>
      <c r="G62">
        <v>110.24668585325574</v>
      </c>
    </row>
  </sheetData>
  <mergeCells count="1">
    <mergeCell ref="M20:Q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EA32-69F5-2949-AA13-891BC8B9AD1B}">
  <dimension ref="B2:AL58"/>
  <sheetViews>
    <sheetView topLeftCell="A33" workbookViewId="0">
      <selection activeCell="AE48" sqref="AE48"/>
    </sheetView>
  </sheetViews>
  <sheetFormatPr baseColWidth="10" defaultRowHeight="16" x14ac:dyDescent="0.2"/>
  <cols>
    <col min="19" max="19" width="10.83203125" style="12"/>
    <col min="30" max="30" width="10.83203125" style="11"/>
  </cols>
  <sheetData>
    <row r="2" spans="2:38" x14ac:dyDescent="0.2">
      <c r="B2" t="s">
        <v>22</v>
      </c>
      <c r="D2" t="s">
        <v>0</v>
      </c>
      <c r="E2" t="s">
        <v>3</v>
      </c>
      <c r="F2" t="s">
        <v>1</v>
      </c>
      <c r="G2" t="s">
        <v>2</v>
      </c>
      <c r="H2" t="s">
        <v>21</v>
      </c>
      <c r="I2" t="s">
        <v>8</v>
      </c>
      <c r="J2" t="s">
        <v>9</v>
      </c>
    </row>
    <row r="3" spans="2:38" x14ac:dyDescent="0.2">
      <c r="B3">
        <v>0.14285714285714285</v>
      </c>
      <c r="D3">
        <v>72</v>
      </c>
      <c r="E3">
        <v>12</v>
      </c>
      <c r="F3">
        <v>108</v>
      </c>
      <c r="G3">
        <v>192</v>
      </c>
      <c r="H3">
        <v>99.357142857142861</v>
      </c>
      <c r="I3">
        <v>1.3948854201262039E-22</v>
      </c>
      <c r="J3">
        <v>1.3859182995682497E-20</v>
      </c>
    </row>
    <row r="6" spans="2:38" x14ac:dyDescent="0.2">
      <c r="U6" t="s">
        <v>74</v>
      </c>
      <c r="AE6" t="s">
        <v>98</v>
      </c>
    </row>
    <row r="8" spans="2:38" x14ac:dyDescent="0.2">
      <c r="B8">
        <v>1400</v>
      </c>
      <c r="U8">
        <v>1400</v>
      </c>
      <c r="AE8">
        <v>1400</v>
      </c>
    </row>
    <row r="9" spans="2:38" x14ac:dyDescent="0.2"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V9" t="s">
        <v>11</v>
      </c>
      <c r="W9" t="s">
        <v>12</v>
      </c>
      <c r="X9" t="s">
        <v>13</v>
      </c>
      <c r="Y9" t="s">
        <v>14</v>
      </c>
      <c r="Z9" t="s">
        <v>15</v>
      </c>
      <c r="AA9" t="s">
        <v>16</v>
      </c>
      <c r="AB9" t="s">
        <v>17</v>
      </c>
      <c r="AF9" t="s">
        <v>11</v>
      </c>
      <c r="AG9" t="s">
        <v>12</v>
      </c>
      <c r="AH9" t="s">
        <v>13</v>
      </c>
      <c r="AI9" t="s">
        <v>14</v>
      </c>
      <c r="AJ9" t="s">
        <v>15</v>
      </c>
      <c r="AK9" t="s">
        <v>16</v>
      </c>
      <c r="AL9" t="s">
        <v>17</v>
      </c>
    </row>
    <row r="10" spans="2:38" x14ac:dyDescent="0.2">
      <c r="B10">
        <v>0.95</v>
      </c>
      <c r="C10">
        <v>-377.00727078800003</v>
      </c>
      <c r="D10">
        <v>34.1362137333333</v>
      </c>
      <c r="E10">
        <v>22.782534666666699</v>
      </c>
      <c r="F10">
        <v>5185.66</v>
      </c>
      <c r="U10">
        <v>0.96</v>
      </c>
      <c r="V10">
        <v>-380.69455393999999</v>
      </c>
      <c r="W10">
        <v>29.5911993333334</v>
      </c>
      <c r="X10">
        <v>13.593477333333301</v>
      </c>
      <c r="Y10">
        <v>5185.66</v>
      </c>
      <c r="AE10">
        <v>0.96</v>
      </c>
      <c r="AI10">
        <v>5185.66</v>
      </c>
    </row>
    <row r="11" spans="2:38" x14ac:dyDescent="0.2">
      <c r="B11">
        <v>0.99</v>
      </c>
      <c r="C11">
        <v>-374.809748957333</v>
      </c>
      <c r="D11">
        <v>34.183291333333301</v>
      </c>
      <c r="E11">
        <v>7.1766573333333401</v>
      </c>
      <c r="F11">
        <f t="shared" ref="F11:F16" si="0">F$10*(B11/B$10)^3</f>
        <v>5868.6580695028451</v>
      </c>
      <c r="U11">
        <v>0.98</v>
      </c>
      <c r="V11">
        <v>-379.32438017999999</v>
      </c>
      <c r="W11">
        <v>29.399010400000002</v>
      </c>
      <c r="X11">
        <v>6.9058866666666701</v>
      </c>
      <c r="Y11">
        <f t="shared" ref="Y11:Y15" si="1">Y$10*(U11/U$10)^3</f>
        <v>5516.562801468458</v>
      </c>
      <c r="AE11">
        <v>0.98</v>
      </c>
      <c r="AI11">
        <f t="shared" ref="AI11:AI15" si="2">AI$10*(AE11/AE$10)^3</f>
        <v>5516.562801468458</v>
      </c>
    </row>
    <row r="12" spans="2:38" x14ac:dyDescent="0.2">
      <c r="B12">
        <v>1</v>
      </c>
      <c r="C12">
        <v>-373.80123097630701</v>
      </c>
      <c r="D12">
        <v>34.306581993690898</v>
      </c>
      <c r="E12">
        <v>4.56999043112513</v>
      </c>
      <c r="F12">
        <f t="shared" si="0"/>
        <v>6048.2985857996773</v>
      </c>
      <c r="U12">
        <v>0.99</v>
      </c>
      <c r="V12">
        <v>-378.54899510933399</v>
      </c>
      <c r="W12">
        <v>29.384547866666701</v>
      </c>
      <c r="X12">
        <v>4.2089426666666698</v>
      </c>
      <c r="Y12">
        <f t="shared" si="1"/>
        <v>5687.1662420654293</v>
      </c>
      <c r="AE12">
        <v>0.99</v>
      </c>
      <c r="AI12">
        <f t="shared" si="2"/>
        <v>5687.1662420654293</v>
      </c>
    </row>
    <row r="13" spans="2:38" x14ac:dyDescent="0.2">
      <c r="B13">
        <v>1.01</v>
      </c>
      <c r="C13">
        <v>372.12117987333301</v>
      </c>
      <c r="D13">
        <v>34.295600133333302</v>
      </c>
      <c r="E13">
        <v>2.828068</v>
      </c>
      <c r="F13">
        <f t="shared" si="0"/>
        <v>6231.5680812479941</v>
      </c>
      <c r="U13">
        <v>1</v>
      </c>
      <c r="V13">
        <v>-377.14034863866698</v>
      </c>
      <c r="W13">
        <v>28.975688666666699</v>
      </c>
      <c r="X13">
        <v>1.9046160000000001</v>
      </c>
      <c r="Y13">
        <f t="shared" si="1"/>
        <v>5861.2512659143531</v>
      </c>
      <c r="Z13">
        <f>(Y14-Y13)/(X14-X13)*(0-X13)+Y13</f>
        <v>6034.0052779825855</v>
      </c>
      <c r="AA13">
        <f>$J$3/(Z13*(10^-24))</f>
        <v>2.2968463495139977</v>
      </c>
      <c r="AB13">
        <f>(V14-V13)/(X14-X13)*(0-X13)+V13</f>
        <v>-376.01917674214747</v>
      </c>
      <c r="AE13">
        <v>1</v>
      </c>
      <c r="AI13">
        <f t="shared" si="2"/>
        <v>5861.2512659143531</v>
      </c>
      <c r="AJ13" t="e">
        <f>(AI14-AI13)/(AH14-AH13)*(0-AH13)+AI13</f>
        <v>#DIV/0!</v>
      </c>
      <c r="AK13" t="e">
        <f>$J$3/(AJ13*(10^-24))</f>
        <v>#DIV/0!</v>
      </c>
      <c r="AL13" t="e">
        <f>(AF14-AF13)/(AH14-AH13)*(0-AH13)+AF13</f>
        <v>#DIV/0!</v>
      </c>
    </row>
    <row r="14" spans="2:38" x14ac:dyDescent="0.2">
      <c r="B14">
        <v>1.02</v>
      </c>
      <c r="C14">
        <v>-371.28407813466703</v>
      </c>
      <c r="D14">
        <v>33.9741662666667</v>
      </c>
      <c r="E14">
        <v>1.16588266666667</v>
      </c>
      <c r="F14">
        <f t="shared" si="0"/>
        <v>6418.5028456393056</v>
      </c>
      <c r="U14">
        <v>1.01</v>
      </c>
      <c r="V14">
        <v>-375.987714809333</v>
      </c>
      <c r="W14">
        <v>29.383625599999998</v>
      </c>
      <c r="X14">
        <v>-5.3446666666667003E-2</v>
      </c>
      <c r="Y14">
        <f t="shared" si="1"/>
        <v>6038.8530405228248</v>
      </c>
      <c r="AE14">
        <v>1.01</v>
      </c>
      <c r="AI14">
        <f t="shared" si="2"/>
        <v>6038.8530405228248</v>
      </c>
    </row>
    <row r="15" spans="2:38" x14ac:dyDescent="0.2">
      <c r="B15">
        <v>1.03</v>
      </c>
      <c r="C15">
        <v>-369.87799971200002</v>
      </c>
      <c r="D15">
        <v>34.168529466666698</v>
      </c>
      <c r="E15">
        <v>0.36669866666666601</v>
      </c>
      <c r="F15">
        <f t="shared" si="0"/>
        <v>6609.1391687651267</v>
      </c>
      <c r="G15">
        <f>(F16-F15)/(E16-E15)*(0-E15)+F15</f>
        <v>6674.4468007782925</v>
      </c>
      <c r="H15">
        <f>$J$3/(G15*(10^-24))</f>
        <v>2.076454185546345</v>
      </c>
      <c r="I15">
        <f>(C16-C15)/(E16-E15)*(0-E15)+C15</f>
        <v>-369.28808887677934</v>
      </c>
      <c r="U15">
        <v>1.02</v>
      </c>
      <c r="V15">
        <v>-374.05266612266701</v>
      </c>
      <c r="W15">
        <v>29.387688000000001</v>
      </c>
      <c r="X15">
        <v>-0.97626400000000002</v>
      </c>
      <c r="Y15">
        <f t="shared" si="1"/>
        <v>6220.0067333984371</v>
      </c>
      <c r="AE15">
        <v>1.02</v>
      </c>
      <c r="AI15">
        <f t="shared" si="2"/>
        <v>6220.0067333984371</v>
      </c>
    </row>
    <row r="16" spans="2:38" x14ac:dyDescent="0.2">
      <c r="B16">
        <v>1.04</v>
      </c>
      <c r="C16">
        <v>-368.122256525333</v>
      </c>
      <c r="D16">
        <v>34.232449199999998</v>
      </c>
      <c r="E16">
        <v>-0.72470133333333397</v>
      </c>
      <c r="F16">
        <f t="shared" si="0"/>
        <v>6803.5133404169719</v>
      </c>
    </row>
    <row r="17" spans="2:28" x14ac:dyDescent="0.2">
      <c r="B17">
        <v>1.05</v>
      </c>
      <c r="C17">
        <v>-366.49749731866598</v>
      </c>
      <c r="D17">
        <v>34.269505600000002</v>
      </c>
      <c r="E17">
        <v>-2.32735466666667</v>
      </c>
      <c r="F17">
        <f>F$10*(B17/B$10)^3</f>
        <v>7001.6616503863552</v>
      </c>
      <c r="U17">
        <v>1100</v>
      </c>
    </row>
    <row r="18" spans="2:28" x14ac:dyDescent="0.2">
      <c r="I18" t="s">
        <v>51</v>
      </c>
      <c r="J18" t="s">
        <v>52</v>
      </c>
      <c r="V18" t="s">
        <v>11</v>
      </c>
      <c r="W18" t="s">
        <v>12</v>
      </c>
      <c r="X18" t="s">
        <v>13</v>
      </c>
      <c r="Y18" t="s">
        <v>14</v>
      </c>
      <c r="Z18" t="s">
        <v>15</v>
      </c>
      <c r="AA18" t="s">
        <v>16</v>
      </c>
      <c r="AB18" t="s">
        <v>17</v>
      </c>
    </row>
    <row r="19" spans="2:28" x14ac:dyDescent="0.2">
      <c r="F19" t="s">
        <v>50</v>
      </c>
      <c r="H19" t="e">
        <f>$J$3/(G19*(10^-24))</f>
        <v>#DIV/0!</v>
      </c>
      <c r="I19">
        <f>-G19*(2*(0.000007001*G19)-0.09372)</f>
        <v>0</v>
      </c>
      <c r="J19" t="e">
        <f>10/I19</f>
        <v>#DIV/0!</v>
      </c>
      <c r="U19">
        <v>0.96</v>
      </c>
      <c r="V19">
        <v>-380.90266942533401</v>
      </c>
      <c r="W19">
        <v>29.1214369333333</v>
      </c>
      <c r="X19">
        <v>14.3866533333333</v>
      </c>
      <c r="Y19">
        <v>5185.66</v>
      </c>
    </row>
    <row r="20" spans="2:28" x14ac:dyDescent="0.2">
      <c r="U20">
        <v>0.98</v>
      </c>
      <c r="V20">
        <v>-378.96750612800003</v>
      </c>
      <c r="W20">
        <v>29.334162133333301</v>
      </c>
      <c r="X20">
        <v>6.8244906666666596</v>
      </c>
      <c r="Y20">
        <f t="shared" ref="Y20:Y24" si="3">Y$10*(U20/U$10)^3</f>
        <v>5516.562801468458</v>
      </c>
    </row>
    <row r="21" spans="2:28" x14ac:dyDescent="0.2">
      <c r="B21">
        <v>1300</v>
      </c>
      <c r="U21">
        <v>0.99</v>
      </c>
      <c r="Y21">
        <f t="shared" si="3"/>
        <v>5687.1662420654293</v>
      </c>
    </row>
    <row r="22" spans="2:28" x14ac:dyDescent="0.2">
      <c r="C22" t="s">
        <v>11</v>
      </c>
      <c r="D22" t="s">
        <v>12</v>
      </c>
      <c r="E22" t="s">
        <v>13</v>
      </c>
      <c r="F22" t="s">
        <v>14</v>
      </c>
      <c r="G22" t="s">
        <v>15</v>
      </c>
      <c r="H22" t="s">
        <v>16</v>
      </c>
      <c r="I22" t="s">
        <v>17</v>
      </c>
      <c r="U22">
        <v>1</v>
      </c>
      <c r="V22">
        <v>-377.26878241200001</v>
      </c>
      <c r="W22">
        <v>29.13383</v>
      </c>
      <c r="X22">
        <v>1.7173080000000001</v>
      </c>
      <c r="Y22">
        <f t="shared" si="3"/>
        <v>5861.2512659143531</v>
      </c>
      <c r="Z22">
        <f>(Y23-Y22)/(X23-X22)*(0-X22)+Y22</f>
        <v>6038.8530405228248</v>
      </c>
      <c r="AA22">
        <f>$J$3/(Z22*(10^-24))</f>
        <v>2.2950025282421196</v>
      </c>
      <c r="AB22">
        <f>(V23-V22)/(X23-X22)*(0-X22)+V22</f>
        <v>0</v>
      </c>
    </row>
    <row r="23" spans="2:28" x14ac:dyDescent="0.2">
      <c r="B23">
        <v>0.95</v>
      </c>
      <c r="C23">
        <v>-380.03239215999997</v>
      </c>
      <c r="D23">
        <v>31.739628133333401</v>
      </c>
      <c r="E23">
        <v>20.3168653333333</v>
      </c>
      <c r="F23">
        <v>5185.66</v>
      </c>
      <c r="U23">
        <v>1.01</v>
      </c>
      <c r="Y23">
        <f t="shared" si="3"/>
        <v>6038.8530405228248</v>
      </c>
    </row>
    <row r="24" spans="2:28" x14ac:dyDescent="0.2">
      <c r="B24">
        <v>0.99</v>
      </c>
      <c r="C24">
        <v>-377.58806417466599</v>
      </c>
      <c r="D24">
        <v>31.705341466666699</v>
      </c>
      <c r="E24">
        <v>5.7517560000000003</v>
      </c>
      <c r="F24">
        <f>F$10*(B24/B$10)^3</f>
        <v>5868.6580695028451</v>
      </c>
      <c r="U24">
        <v>1.02</v>
      </c>
      <c r="V24">
        <v>-374.05431782800002</v>
      </c>
      <c r="W24">
        <v>29.202568533333402</v>
      </c>
      <c r="X24">
        <v>-1.3135586666666601</v>
      </c>
      <c r="Y24">
        <f t="shared" si="3"/>
        <v>6220.0067333984371</v>
      </c>
    </row>
    <row r="25" spans="2:28" x14ac:dyDescent="0.2">
      <c r="B25">
        <v>1</v>
      </c>
      <c r="C25">
        <v>-376.08024047066698</v>
      </c>
      <c r="D25">
        <v>31.700762666666702</v>
      </c>
      <c r="E25">
        <v>3.6304240000000001</v>
      </c>
      <c r="F25">
        <f t="shared" ref="F25:F29" si="4">F$10*(B25/B$10)^3</f>
        <v>6048.2985857996773</v>
      </c>
    </row>
    <row r="26" spans="2:28" x14ac:dyDescent="0.2">
      <c r="B26">
        <v>1.01</v>
      </c>
      <c r="C26">
        <v>-375.41705437866699</v>
      </c>
      <c r="D26">
        <v>31.692830799999999</v>
      </c>
      <c r="E26">
        <v>1.3773880000000001</v>
      </c>
      <c r="F26">
        <f t="shared" si="4"/>
        <v>6231.5680812479941</v>
      </c>
    </row>
    <row r="27" spans="2:28" x14ac:dyDescent="0.2">
      <c r="B27">
        <v>1.02</v>
      </c>
      <c r="C27">
        <v>-373.66896691599999</v>
      </c>
      <c r="D27">
        <v>32.052120933333299</v>
      </c>
      <c r="E27">
        <v>0.26086666666666602</v>
      </c>
      <c r="F27">
        <f t="shared" si="4"/>
        <v>6418.5028456393056</v>
      </c>
      <c r="G27">
        <f>(F28-F27)/(E28-E27)*(0-E27)+F27</f>
        <v>6454.182792355251</v>
      </c>
      <c r="H27">
        <f>$J$3/(G27*(10^-24))</f>
        <v>2.147318017100198</v>
      </c>
      <c r="I27">
        <f>(C28-C27)/(E28-E27)*(0-E27)+C27</f>
        <v>-373.46255555017348</v>
      </c>
      <c r="U27" t="s">
        <v>87</v>
      </c>
    </row>
    <row r="28" spans="2:28" x14ac:dyDescent="0.2">
      <c r="B28">
        <v>1.03</v>
      </c>
      <c r="C28">
        <v>-372.56612043066701</v>
      </c>
      <c r="D28">
        <v>31.588063333333299</v>
      </c>
      <c r="E28">
        <v>-1.1329320000000001</v>
      </c>
      <c r="F28">
        <f t="shared" si="4"/>
        <v>6609.1391687651267</v>
      </c>
    </row>
    <row r="29" spans="2:28" x14ac:dyDescent="0.2">
      <c r="B29">
        <v>1.05</v>
      </c>
      <c r="C29">
        <v>-369.36302719466698</v>
      </c>
      <c r="D29">
        <v>31.642083466666701</v>
      </c>
      <c r="E29">
        <v>-2.6957946666666599</v>
      </c>
      <c r="F29">
        <f t="shared" si="4"/>
        <v>7001.6616503863552</v>
      </c>
      <c r="U29">
        <v>1400</v>
      </c>
    </row>
    <row r="30" spans="2:28" x14ac:dyDescent="0.2">
      <c r="I30" t="s">
        <v>51</v>
      </c>
      <c r="J30" t="s">
        <v>52</v>
      </c>
      <c r="V30" t="s">
        <v>11</v>
      </c>
      <c r="W30" t="s">
        <v>12</v>
      </c>
      <c r="X30" t="s">
        <v>13</v>
      </c>
      <c r="Y30" t="s">
        <v>14</v>
      </c>
      <c r="Z30" t="s">
        <v>15</v>
      </c>
      <c r="AA30" t="s">
        <v>16</v>
      </c>
      <c r="AB30" t="s">
        <v>17</v>
      </c>
    </row>
    <row r="31" spans="2:28" x14ac:dyDescent="0.2">
      <c r="F31" t="s">
        <v>50</v>
      </c>
      <c r="H31" t="e">
        <f>$J$3/(G31*(10^-24))</f>
        <v>#DIV/0!</v>
      </c>
      <c r="I31">
        <f>-G31*(2*(0.000007001*G31)-0.09372)</f>
        <v>0</v>
      </c>
      <c r="J31" t="e">
        <f>10/I31</f>
        <v>#DIV/0!</v>
      </c>
      <c r="U31">
        <v>0.96</v>
      </c>
      <c r="Y31">
        <v>5185.66</v>
      </c>
    </row>
    <row r="32" spans="2:28" x14ac:dyDescent="0.2">
      <c r="U32">
        <v>0.98</v>
      </c>
      <c r="Y32">
        <f t="shared" ref="Y32:Y36" si="5">Y$10*(U32/U$10)^3</f>
        <v>5516.562801468458</v>
      </c>
    </row>
    <row r="33" spans="2:28" x14ac:dyDescent="0.2">
      <c r="B33">
        <v>1200</v>
      </c>
      <c r="U33">
        <v>0.99</v>
      </c>
      <c r="Y33">
        <f t="shared" si="5"/>
        <v>5687.1662420654293</v>
      </c>
    </row>
    <row r="34" spans="2:28" x14ac:dyDescent="0.2"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U34">
        <v>1</v>
      </c>
      <c r="Y34">
        <f t="shared" si="5"/>
        <v>5861.2512659143531</v>
      </c>
      <c r="Z34" t="e">
        <f>(Y35-Y34)/(X35-X34)*(0-X34)+Y34</f>
        <v>#DIV/0!</v>
      </c>
      <c r="AA34" t="e">
        <f>$J$3/(Z34*(10^-24))</f>
        <v>#DIV/0!</v>
      </c>
      <c r="AB34" t="e">
        <f>(V35-V34)/(X35-X34)*(0-X34)+V34</f>
        <v>#DIV/0!</v>
      </c>
    </row>
    <row r="35" spans="2:28" x14ac:dyDescent="0.2">
      <c r="B35">
        <v>0.95</v>
      </c>
      <c r="C35">
        <v>-382.29781151066697</v>
      </c>
      <c r="D35">
        <v>29.295231333333401</v>
      </c>
      <c r="E35">
        <v>18.835622666666701</v>
      </c>
      <c r="F35">
        <v>5185.66</v>
      </c>
      <c r="U35">
        <v>1.01</v>
      </c>
      <c r="Y35">
        <f t="shared" si="5"/>
        <v>6038.8530405228248</v>
      </c>
    </row>
    <row r="36" spans="2:28" x14ac:dyDescent="0.2">
      <c r="B36">
        <v>0.98</v>
      </c>
      <c r="C36">
        <v>-380.92161756399997</v>
      </c>
      <c r="D36">
        <v>29.0719921333333</v>
      </c>
      <c r="E36">
        <v>7.4694266666666698</v>
      </c>
      <c r="F36">
        <f>F$10*(B36/B$10)^3</f>
        <v>5692.6102425659737</v>
      </c>
      <c r="U36">
        <v>1.02</v>
      </c>
      <c r="Y36">
        <f t="shared" si="5"/>
        <v>6220.0067333984371</v>
      </c>
    </row>
    <row r="37" spans="2:28" x14ac:dyDescent="0.2">
      <c r="B37">
        <v>0.99</v>
      </c>
      <c r="C37">
        <v>-379.85958931066602</v>
      </c>
      <c r="D37">
        <v>29.191322400000001</v>
      </c>
      <c r="E37">
        <v>4.6737186666666704</v>
      </c>
      <c r="F37">
        <f>F$10*(B37/B$10)^3</f>
        <v>5868.6580695028451</v>
      </c>
    </row>
    <row r="38" spans="2:28" x14ac:dyDescent="0.2">
      <c r="B38">
        <v>1</v>
      </c>
      <c r="C38">
        <v>-378.80691503866598</v>
      </c>
      <c r="D38">
        <v>29.036082</v>
      </c>
      <c r="E38">
        <v>2.0257826666666698</v>
      </c>
      <c r="F38">
        <f t="shared" ref="F38:F41" si="6">F$10*(B38/B$10)^3</f>
        <v>6048.2985857996773</v>
      </c>
      <c r="U38" t="s">
        <v>89</v>
      </c>
    </row>
    <row r="39" spans="2:28" x14ac:dyDescent="0.2">
      <c r="B39">
        <v>1.01</v>
      </c>
      <c r="C39">
        <v>-377.37895986000001</v>
      </c>
      <c r="D39">
        <v>29.299931999999998</v>
      </c>
      <c r="E39">
        <v>0.49536266666666701</v>
      </c>
      <c r="F39">
        <f t="shared" si="6"/>
        <v>6231.5680812479941</v>
      </c>
      <c r="G39">
        <f>(F40-F39)/(E40-E39)*(0-E39)+F39</f>
        <v>6284.5224192893229</v>
      </c>
      <c r="H39">
        <f>$J$3/(G39*(10^-24))</f>
        <v>2.205288178007605</v>
      </c>
      <c r="I39">
        <f>(C40-C39)/(E40-E39)*(0-E39)+C39</f>
        <v>-377.0693288288507</v>
      </c>
    </row>
    <row r="40" spans="2:28" x14ac:dyDescent="0.2">
      <c r="B40">
        <v>1.02</v>
      </c>
      <c r="C40">
        <v>-376.28592752314103</v>
      </c>
      <c r="D40">
        <v>29.129267464139001</v>
      </c>
      <c r="E40">
        <v>-1.2533232164296999</v>
      </c>
      <c r="F40">
        <f t="shared" si="6"/>
        <v>6418.5028456393056</v>
      </c>
      <c r="U40">
        <v>1400</v>
      </c>
    </row>
    <row r="41" spans="2:28" x14ac:dyDescent="0.2">
      <c r="B41">
        <v>1.05</v>
      </c>
      <c r="C41">
        <v>-372.37592659866698</v>
      </c>
      <c r="D41">
        <v>29.156728666666702</v>
      </c>
      <c r="E41">
        <v>-4.0528880000000003</v>
      </c>
      <c r="F41">
        <f t="shared" si="6"/>
        <v>7001.6616503863552</v>
      </c>
      <c r="V41" t="s">
        <v>11</v>
      </c>
      <c r="W41" t="s">
        <v>12</v>
      </c>
      <c r="X41" t="s">
        <v>13</v>
      </c>
      <c r="Y41" t="s">
        <v>14</v>
      </c>
      <c r="Z41" t="s">
        <v>15</v>
      </c>
      <c r="AA41" t="s">
        <v>16</v>
      </c>
      <c r="AB41" t="s">
        <v>17</v>
      </c>
    </row>
    <row r="42" spans="2:28" x14ac:dyDescent="0.2">
      <c r="I42" t="s">
        <v>51</v>
      </c>
      <c r="J42" t="s">
        <v>52</v>
      </c>
      <c r="U42">
        <v>0.96</v>
      </c>
      <c r="Y42">
        <v>5185.66</v>
      </c>
    </row>
    <row r="43" spans="2:28" x14ac:dyDescent="0.2">
      <c r="F43" t="s">
        <v>50</v>
      </c>
      <c r="H43" t="e">
        <f>$J$3/(G43*(10^-24))</f>
        <v>#DIV/0!</v>
      </c>
      <c r="I43">
        <f>-G43*(2*(0.000007001*G43)-0.09372)</f>
        <v>0</v>
      </c>
      <c r="J43" t="e">
        <f>10/I43</f>
        <v>#DIV/0!</v>
      </c>
      <c r="U43">
        <v>0.98</v>
      </c>
      <c r="Y43">
        <f t="shared" ref="Y43:Y47" si="7">Y$10*(U43/U$10)^3</f>
        <v>5516.562801468458</v>
      </c>
    </row>
    <row r="44" spans="2:28" x14ac:dyDescent="0.2">
      <c r="U44">
        <v>0.99</v>
      </c>
      <c r="Y44">
        <f t="shared" si="7"/>
        <v>5687.1662420654293</v>
      </c>
    </row>
    <row r="45" spans="2:28" x14ac:dyDescent="0.2">
      <c r="B45">
        <v>1100</v>
      </c>
      <c r="U45">
        <v>1</v>
      </c>
      <c r="Y45">
        <f t="shared" si="7"/>
        <v>5861.2512659143531</v>
      </c>
      <c r="Z45" t="e">
        <f>(Y46-Y45)/(X46-X45)*(0-X45)+Y45</f>
        <v>#DIV/0!</v>
      </c>
      <c r="AA45" t="e">
        <f>$J$3/(Z45*(10^-24))</f>
        <v>#DIV/0!</v>
      </c>
      <c r="AB45" t="e">
        <f>(V46-V45)/(X46-X45)*(0-X45)+V45</f>
        <v>#DIV/0!</v>
      </c>
    </row>
    <row r="46" spans="2:28" x14ac:dyDescent="0.2">
      <c r="C46" t="s">
        <v>11</v>
      </c>
      <c r="D46" t="s">
        <v>12</v>
      </c>
      <c r="E46" t="s">
        <v>13</v>
      </c>
      <c r="F46" t="s">
        <v>14</v>
      </c>
      <c r="G46" t="s">
        <v>15</v>
      </c>
      <c r="H46" t="s">
        <v>16</v>
      </c>
      <c r="I46" t="s">
        <v>17</v>
      </c>
      <c r="U46">
        <v>1.01</v>
      </c>
      <c r="Y46">
        <f t="shared" si="7"/>
        <v>6038.8530405228248</v>
      </c>
    </row>
    <row r="47" spans="2:28" x14ac:dyDescent="0.2">
      <c r="B47">
        <v>0.95</v>
      </c>
      <c r="C47">
        <v>-385.506869117333</v>
      </c>
      <c r="D47">
        <v>26.7341196</v>
      </c>
      <c r="E47">
        <v>16.866690666666599</v>
      </c>
      <c r="F47">
        <v>5185.66</v>
      </c>
      <c r="U47">
        <v>1.02</v>
      </c>
      <c r="Y47">
        <f t="shared" si="7"/>
        <v>6220.0067333984371</v>
      </c>
    </row>
    <row r="48" spans="2:28" x14ac:dyDescent="0.2">
      <c r="B48">
        <v>0.98</v>
      </c>
      <c r="C48">
        <v>-383.69056168666697</v>
      </c>
      <c r="D48">
        <v>26.933628666666664</v>
      </c>
      <c r="E48">
        <v>5.8861244444444472</v>
      </c>
      <c r="F48">
        <f>F$10*(B48/B$10)^3</f>
        <v>5692.6102425659737</v>
      </c>
    </row>
    <row r="49" spans="2:28" x14ac:dyDescent="0.2">
      <c r="B49">
        <v>0.99</v>
      </c>
      <c r="C49">
        <v>-382.63095628333349</v>
      </c>
      <c r="D49">
        <v>26.604957833333351</v>
      </c>
      <c r="E49">
        <v>2.6608600000000022</v>
      </c>
      <c r="F49">
        <f>F$10*(B49/B$10)^3</f>
        <v>5868.6580695028451</v>
      </c>
      <c r="U49" t="s">
        <v>88</v>
      </c>
    </row>
    <row r="50" spans="2:28" x14ac:dyDescent="0.2">
      <c r="B50">
        <v>1</v>
      </c>
      <c r="C50">
        <v>-381.48409896266702</v>
      </c>
      <c r="D50">
        <v>27.011449200000001</v>
      </c>
      <c r="E50">
        <v>1.35563066666667</v>
      </c>
      <c r="F50">
        <f t="shared" ref="F50:F53" si="8">F$10*(B50/B$10)^3</f>
        <v>6048.2985857996773</v>
      </c>
      <c r="G50">
        <f>(F51-F50)/(E51-E50)*(0-E50)+F50</f>
        <v>6166.3108295927141</v>
      </c>
      <c r="H50">
        <f>$J$3/(G50*(10^-24))</f>
        <v>2.2475647723061503</v>
      </c>
      <c r="I50">
        <f>(C51-C50)/(E51-E50)*(0-E50)+C50</f>
        <v>-380.39759704755886</v>
      </c>
    </row>
    <row r="51" spans="2:28" x14ac:dyDescent="0.2">
      <c r="B51">
        <v>1.01</v>
      </c>
      <c r="C51">
        <v>-379.79679388833324</v>
      </c>
      <c r="D51">
        <v>26.743401166666676</v>
      </c>
      <c r="E51">
        <v>-0.74962333333333153</v>
      </c>
      <c r="F51">
        <f t="shared" si="8"/>
        <v>6231.5680812479941</v>
      </c>
      <c r="U51">
        <v>1400</v>
      </c>
    </row>
    <row r="52" spans="2:28" x14ac:dyDescent="0.2">
      <c r="B52">
        <v>1.02</v>
      </c>
      <c r="C52">
        <v>-378.81651605137301</v>
      </c>
      <c r="D52">
        <v>26.791156758576101</v>
      </c>
      <c r="E52">
        <v>-2.2891809690245002</v>
      </c>
      <c r="F52">
        <f t="shared" si="8"/>
        <v>6418.5028456393056</v>
      </c>
      <c r="V52" t="s">
        <v>11</v>
      </c>
      <c r="W52" t="s">
        <v>12</v>
      </c>
      <c r="X52" t="s">
        <v>13</v>
      </c>
      <c r="Y52" t="s">
        <v>14</v>
      </c>
      <c r="Z52" t="s">
        <v>15</v>
      </c>
      <c r="AA52" t="s">
        <v>16</v>
      </c>
      <c r="AB52" t="s">
        <v>17</v>
      </c>
    </row>
    <row r="53" spans="2:28" x14ac:dyDescent="0.2">
      <c r="B53">
        <v>1.05</v>
      </c>
      <c r="C53">
        <v>-374.66769934799999</v>
      </c>
      <c r="D53">
        <v>26.752521600000001</v>
      </c>
      <c r="E53">
        <v>-4.4801253333333397</v>
      </c>
      <c r="F53">
        <f t="shared" si="8"/>
        <v>7001.6616503863552</v>
      </c>
      <c r="U53">
        <v>0.96</v>
      </c>
      <c r="Y53">
        <v>5185.66</v>
      </c>
    </row>
    <row r="54" spans="2:28" x14ac:dyDescent="0.2">
      <c r="I54" t="s">
        <v>51</v>
      </c>
      <c r="J54" t="s">
        <v>52</v>
      </c>
      <c r="U54">
        <v>0.98</v>
      </c>
      <c r="Y54">
        <f t="shared" ref="Y54:Y58" si="9">Y$10*(U54/U$10)^3</f>
        <v>5516.562801468458</v>
      </c>
    </row>
    <row r="55" spans="2:28" x14ac:dyDescent="0.2">
      <c r="F55" t="s">
        <v>50</v>
      </c>
      <c r="H55" t="e">
        <f>$J$3/(G55*(10^-24))</f>
        <v>#DIV/0!</v>
      </c>
      <c r="I55">
        <f>-G55*(2*(0.000007001*G55)-0.09372)</f>
        <v>0</v>
      </c>
      <c r="J55" t="e">
        <f>10/I55</f>
        <v>#DIV/0!</v>
      </c>
      <c r="U55">
        <v>0.99</v>
      </c>
      <c r="Y55">
        <f t="shared" si="9"/>
        <v>5687.1662420654293</v>
      </c>
    </row>
    <row r="56" spans="2:28" x14ac:dyDescent="0.2">
      <c r="U56">
        <v>1</v>
      </c>
      <c r="Y56">
        <f t="shared" si="9"/>
        <v>5861.2512659143531</v>
      </c>
      <c r="Z56" t="e">
        <f>(Y57-Y56)/(X57-X56)*(0-X56)+Y56</f>
        <v>#DIV/0!</v>
      </c>
      <c r="AA56" t="e">
        <f>$J$3/(Z56*(10^-24))</f>
        <v>#DIV/0!</v>
      </c>
      <c r="AB56" t="e">
        <f>(V57-V56)/(X57-X56)*(0-X56)+V56</f>
        <v>#DIV/0!</v>
      </c>
    </row>
    <row r="57" spans="2:28" x14ac:dyDescent="0.2">
      <c r="U57">
        <v>1.01</v>
      </c>
      <c r="Y57">
        <f t="shared" si="9"/>
        <v>6038.8530405228248</v>
      </c>
    </row>
    <row r="58" spans="2:28" x14ac:dyDescent="0.2">
      <c r="U58">
        <v>1.02</v>
      </c>
      <c r="Y58">
        <f t="shared" si="9"/>
        <v>6220.0067333984371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A418-E5BC-FF49-8084-E6760126773D}">
  <dimension ref="B1:BD107"/>
  <sheetViews>
    <sheetView topLeftCell="A15" workbookViewId="0">
      <selection activeCell="I47" sqref="I47"/>
    </sheetView>
  </sheetViews>
  <sheetFormatPr baseColWidth="10" defaultRowHeight="16" x14ac:dyDescent="0.2"/>
  <cols>
    <col min="6" max="6" width="11.33203125" customWidth="1"/>
    <col min="9" max="10" width="12.1640625" bestFit="1" customWidth="1"/>
    <col min="16" max="16" width="10.83203125" style="12"/>
    <col min="22" max="22" width="11.6640625" customWidth="1"/>
    <col min="28" max="28" width="10.83203125" style="12"/>
    <col min="34" max="34" width="11.5" customWidth="1"/>
    <col min="40" max="40" width="10.83203125" style="12"/>
    <col min="46" max="46" width="11" customWidth="1"/>
  </cols>
  <sheetData>
    <row r="1" spans="2:52" x14ac:dyDescent="0.2">
      <c r="C1" t="s">
        <v>19</v>
      </c>
      <c r="D1">
        <f>23+35.5</f>
        <v>58.5</v>
      </c>
      <c r="E1" t="s">
        <v>5</v>
      </c>
    </row>
    <row r="2" spans="2:52" x14ac:dyDescent="0.2">
      <c r="C2" t="s">
        <v>20</v>
      </c>
      <c r="D2">
        <f>238+3*35.5</f>
        <v>344.5</v>
      </c>
      <c r="E2" t="s">
        <v>5</v>
      </c>
    </row>
    <row r="3" spans="2:52" x14ac:dyDescent="0.2">
      <c r="AZ3" s="12"/>
    </row>
    <row r="4" spans="2:52" x14ac:dyDescent="0.2">
      <c r="B4" t="s">
        <v>22</v>
      </c>
      <c r="D4" t="s">
        <v>0</v>
      </c>
      <c r="E4" t="s">
        <v>3</v>
      </c>
      <c r="F4" t="s">
        <v>1</v>
      </c>
      <c r="G4" t="s">
        <v>2</v>
      </c>
      <c r="H4" t="s">
        <v>21</v>
      </c>
      <c r="I4" t="s">
        <v>8</v>
      </c>
      <c r="J4" t="s">
        <v>9</v>
      </c>
      <c r="K4" t="s">
        <v>55</v>
      </c>
      <c r="AH4">
        <v>-556.61499390666597</v>
      </c>
      <c r="AI4">
        <v>28.1176220000001</v>
      </c>
      <c r="AJ4">
        <v>-4.9448266666666703</v>
      </c>
      <c r="AZ4" s="12"/>
    </row>
    <row r="5" spans="2:52" x14ac:dyDescent="0.2">
      <c r="B5" s="9">
        <f>E5/SUM(D5:E5)</f>
        <v>0.1</v>
      </c>
      <c r="D5">
        <v>72</v>
      </c>
      <c r="E5">
        <v>8</v>
      </c>
      <c r="F5">
        <f>D5+3*E5</f>
        <v>96</v>
      </c>
      <c r="G5">
        <f>SUM(D5:F5)</f>
        <v>176</v>
      </c>
      <c r="H5">
        <f>$D$2*(B5)+$D$1*(1-B5)</f>
        <v>87.1</v>
      </c>
      <c r="I5">
        <f>SUM(D5:E5)/(6.022E+23)</f>
        <v>1.3284623048820989E-22</v>
      </c>
      <c r="J5">
        <f>H5*I5</f>
        <v>1.157090667552308E-20</v>
      </c>
      <c r="K5">
        <f>SUM(D5:E5)</f>
        <v>80</v>
      </c>
      <c r="AH5">
        <v>-558.84099400666696</v>
      </c>
      <c r="AI5">
        <v>27.242522666666702</v>
      </c>
      <c r="AJ5">
        <v>-2.83507333333334</v>
      </c>
      <c r="AZ5" s="12"/>
    </row>
    <row r="6" spans="2:52" x14ac:dyDescent="0.2">
      <c r="B6" s="9">
        <f>E6/SUM(D6:E6)</f>
        <v>0.2</v>
      </c>
      <c r="C6" s="1"/>
      <c r="D6">
        <v>64</v>
      </c>
      <c r="E6">
        <v>16</v>
      </c>
      <c r="F6">
        <f>D6+3*E6</f>
        <v>112</v>
      </c>
      <c r="G6">
        <f>SUM(D6:F6)</f>
        <v>192</v>
      </c>
      <c r="H6">
        <f t="shared" ref="H6:H15" si="0">$D$2*(B6)+$D$1*(1-B6)</f>
        <v>115.70000000000002</v>
      </c>
      <c r="I6">
        <f t="shared" ref="I6:I15" si="1">SUM(D6:E6)/(6.022E+23)</f>
        <v>1.3284623048820989E-22</v>
      </c>
      <c r="J6">
        <f t="shared" ref="J6:J15" si="2">H6*I6</f>
        <v>1.5370308867485886E-20</v>
      </c>
      <c r="K6">
        <f t="shared" ref="K6:K15" si="3">SUM(D6:E6)</f>
        <v>80</v>
      </c>
      <c r="AZ6" s="12"/>
    </row>
    <row r="7" spans="2:52" x14ac:dyDescent="0.2">
      <c r="B7" s="9">
        <f>E7/SUM(D7:E7)</f>
        <v>0.29729729729729731</v>
      </c>
      <c r="C7" s="1"/>
      <c r="D7">
        <v>52</v>
      </c>
      <c r="E7">
        <v>22</v>
      </c>
      <c r="F7">
        <f>D7+3*E7</f>
        <v>118</v>
      </c>
      <c r="G7">
        <f>SUM(D7:F7)</f>
        <v>192</v>
      </c>
      <c r="H7">
        <f t="shared" ref="H7" si="4">$D$2*(B7)+$D$1*(1-B7)</f>
        <v>143.52702702702703</v>
      </c>
      <c r="I7">
        <f t="shared" ref="I7" si="5">SUM(D7:E7)/(6.022E+23)</f>
        <v>1.2288276320159415E-22</v>
      </c>
      <c r="J7">
        <f t="shared" ref="J7" si="6">H7*I7</f>
        <v>1.7636997675190966E-20</v>
      </c>
      <c r="K7">
        <f t="shared" ref="K7" si="7">SUM(D7:E7)</f>
        <v>74</v>
      </c>
      <c r="AZ7" s="12"/>
    </row>
    <row r="8" spans="2:52" x14ac:dyDescent="0.2">
      <c r="B8" s="9">
        <f>E8/SUM(D8:E8)</f>
        <v>0.33333333333333331</v>
      </c>
      <c r="C8" s="1"/>
      <c r="D8">
        <v>50</v>
      </c>
      <c r="E8">
        <v>25</v>
      </c>
      <c r="F8">
        <f>D8+3*E8</f>
        <v>125</v>
      </c>
      <c r="G8">
        <f>SUM(D8:F8)</f>
        <v>200</v>
      </c>
      <c r="H8">
        <f t="shared" si="0"/>
        <v>153.83333333333334</v>
      </c>
      <c r="I8">
        <f t="shared" si="1"/>
        <v>1.2454334108269678E-22</v>
      </c>
      <c r="J8">
        <f t="shared" si="2"/>
        <v>1.9158917303221524E-20</v>
      </c>
      <c r="K8">
        <f t="shared" si="3"/>
        <v>75</v>
      </c>
      <c r="AH8">
        <v>-558.03044313333396</v>
      </c>
      <c r="AI8">
        <v>27.902938666666699</v>
      </c>
      <c r="AJ8">
        <v>-3.0284133333333401</v>
      </c>
      <c r="AZ8" s="12"/>
    </row>
    <row r="9" spans="2:52" x14ac:dyDescent="0.2">
      <c r="B9" s="9">
        <f t="shared" ref="B9:B15" si="8">E9/SUM(D9:E9)</f>
        <v>0.4</v>
      </c>
      <c r="C9" s="1"/>
      <c r="D9">
        <v>42</v>
      </c>
      <c r="E9">
        <v>28</v>
      </c>
      <c r="F9">
        <f t="shared" ref="F9:F15" si="9">D9+3*E9</f>
        <v>126</v>
      </c>
      <c r="G9">
        <f t="shared" ref="G9:G15" si="10">SUM(D9:F9)</f>
        <v>196</v>
      </c>
      <c r="H9">
        <f t="shared" si="0"/>
        <v>172.9</v>
      </c>
      <c r="I9">
        <f t="shared" si="1"/>
        <v>1.1624045167718365E-22</v>
      </c>
      <c r="J9">
        <f t="shared" si="2"/>
        <v>2.0097974094985053E-20</v>
      </c>
      <c r="K9">
        <f t="shared" si="3"/>
        <v>70</v>
      </c>
      <c r="AZ9" s="12"/>
    </row>
    <row r="10" spans="2:52" x14ac:dyDescent="0.2">
      <c r="B10" s="9">
        <f t="shared" si="8"/>
        <v>0.5</v>
      </c>
      <c r="C10" s="1"/>
      <c r="D10">
        <v>32</v>
      </c>
      <c r="E10">
        <v>32</v>
      </c>
      <c r="F10">
        <f t="shared" si="9"/>
        <v>128</v>
      </c>
      <c r="G10">
        <f t="shared" si="10"/>
        <v>192</v>
      </c>
      <c r="H10">
        <f t="shared" si="0"/>
        <v>201.5</v>
      </c>
      <c r="I10">
        <f t="shared" si="1"/>
        <v>1.0627698439056791E-22</v>
      </c>
      <c r="J10">
        <f t="shared" si="2"/>
        <v>2.1414812354699434E-20</v>
      </c>
      <c r="K10">
        <f t="shared" si="3"/>
        <v>64</v>
      </c>
      <c r="AH10">
        <f>AVERAGE(AH4:AH8)</f>
        <v>-557.82881034888896</v>
      </c>
      <c r="AI10">
        <f t="shared" ref="AI10:AJ10" si="11">AVERAGE(AI4:AI8)</f>
        <v>27.754361111111166</v>
      </c>
      <c r="AJ10">
        <f t="shared" si="11"/>
        <v>-3.6027711111111169</v>
      </c>
      <c r="AZ10" s="12"/>
    </row>
    <row r="11" spans="2:52" x14ac:dyDescent="0.2">
      <c r="B11" s="9">
        <f t="shared" si="8"/>
        <v>0.6</v>
      </c>
      <c r="C11" s="1"/>
      <c r="D11">
        <v>24</v>
      </c>
      <c r="E11">
        <v>36</v>
      </c>
      <c r="F11">
        <f t="shared" si="9"/>
        <v>132</v>
      </c>
      <c r="G11">
        <f t="shared" si="10"/>
        <v>192</v>
      </c>
      <c r="H11">
        <f t="shared" si="0"/>
        <v>230.1</v>
      </c>
      <c r="I11">
        <f t="shared" si="1"/>
        <v>9.9634672866157424E-23</v>
      </c>
      <c r="J11">
        <f t="shared" si="2"/>
        <v>2.2925938226502823E-20</v>
      </c>
      <c r="K11">
        <f t="shared" si="3"/>
        <v>60</v>
      </c>
      <c r="AZ11" s="12"/>
    </row>
    <row r="12" spans="2:52" x14ac:dyDescent="0.2">
      <c r="B12" s="9">
        <f t="shared" si="8"/>
        <v>0.66666666666666663</v>
      </c>
      <c r="C12" s="1"/>
      <c r="D12">
        <v>20</v>
      </c>
      <c r="E12">
        <v>40</v>
      </c>
      <c r="F12">
        <f t="shared" si="9"/>
        <v>140</v>
      </c>
      <c r="G12">
        <f t="shared" si="10"/>
        <v>200</v>
      </c>
      <c r="H12">
        <f t="shared" si="0"/>
        <v>249.16666666666666</v>
      </c>
      <c r="I12">
        <f t="shared" si="1"/>
        <v>9.9634672866157424E-23</v>
      </c>
      <c r="J12">
        <f t="shared" si="2"/>
        <v>2.4825639322484223E-20</v>
      </c>
      <c r="K12">
        <f t="shared" si="3"/>
        <v>60</v>
      </c>
      <c r="AZ12" s="12"/>
    </row>
    <row r="13" spans="2:52" x14ac:dyDescent="0.2">
      <c r="B13" s="9">
        <f t="shared" si="8"/>
        <v>0.70175438596491224</v>
      </c>
      <c r="C13" s="1"/>
      <c r="D13">
        <v>17</v>
      </c>
      <c r="E13">
        <v>40</v>
      </c>
      <c r="F13">
        <f t="shared" si="9"/>
        <v>137</v>
      </c>
      <c r="G13">
        <f t="shared" si="10"/>
        <v>194</v>
      </c>
      <c r="H13">
        <f t="shared" si="0"/>
        <v>259.20175438596493</v>
      </c>
      <c r="I13">
        <f t="shared" si="1"/>
        <v>9.4652939222849543E-23</v>
      </c>
      <c r="J13">
        <f t="shared" si="2"/>
        <v>2.4534207904350714E-20</v>
      </c>
      <c r="K13">
        <f t="shared" si="3"/>
        <v>57</v>
      </c>
      <c r="R13" t="s">
        <v>79</v>
      </c>
      <c r="AD13" t="s">
        <v>80</v>
      </c>
      <c r="AP13" t="s">
        <v>109</v>
      </c>
      <c r="AZ13" s="12"/>
    </row>
    <row r="14" spans="2:52" x14ac:dyDescent="0.2">
      <c r="B14" s="9">
        <f t="shared" si="8"/>
        <v>0.8</v>
      </c>
      <c r="C14" s="1"/>
      <c r="D14">
        <v>11</v>
      </c>
      <c r="E14">
        <v>44.000000000000007</v>
      </c>
      <c r="F14">
        <f t="shared" si="9"/>
        <v>143.00000000000003</v>
      </c>
      <c r="G14">
        <f t="shared" si="10"/>
        <v>198.00000000000003</v>
      </c>
      <c r="H14">
        <f t="shared" si="0"/>
        <v>287.3</v>
      </c>
      <c r="I14">
        <f t="shared" si="1"/>
        <v>9.1331783460644316E-23</v>
      </c>
      <c r="J14">
        <f t="shared" si="2"/>
        <v>2.6239621388243112E-20</v>
      </c>
      <c r="K14">
        <f t="shared" si="3"/>
        <v>55.000000000000007</v>
      </c>
      <c r="AZ14" s="12"/>
    </row>
    <row r="15" spans="2:52" x14ac:dyDescent="0.2">
      <c r="B15" s="9">
        <f t="shared" si="8"/>
        <v>0.90196078431372551</v>
      </c>
      <c r="C15" s="1"/>
      <c r="D15">
        <v>5</v>
      </c>
      <c r="E15">
        <v>46</v>
      </c>
      <c r="F15">
        <f t="shared" si="9"/>
        <v>143</v>
      </c>
      <c r="G15">
        <f t="shared" si="10"/>
        <v>194</v>
      </c>
      <c r="H15">
        <f t="shared" si="0"/>
        <v>316.46078431372553</v>
      </c>
      <c r="I15">
        <f t="shared" si="1"/>
        <v>8.4689471936233804E-23</v>
      </c>
      <c r="J15">
        <f t="shared" si="2"/>
        <v>2.6800896712055797E-20</v>
      </c>
      <c r="K15">
        <f t="shared" si="3"/>
        <v>51</v>
      </c>
      <c r="R15">
        <v>1400</v>
      </c>
      <c r="AD15">
        <v>1400</v>
      </c>
      <c r="AP15">
        <v>1400</v>
      </c>
      <c r="AZ15" s="12"/>
    </row>
    <row r="16" spans="2:52" x14ac:dyDescent="0.2">
      <c r="S16" t="s">
        <v>11</v>
      </c>
      <c r="T16" t="s">
        <v>12</v>
      </c>
      <c r="U16" t="s">
        <v>13</v>
      </c>
      <c r="V16" t="s">
        <v>14</v>
      </c>
      <c r="W16" t="s">
        <v>26</v>
      </c>
      <c r="X16" t="s">
        <v>54</v>
      </c>
      <c r="Y16" t="s">
        <v>26</v>
      </c>
      <c r="Z16" t="s">
        <v>16</v>
      </c>
      <c r="AA16" t="s">
        <v>17</v>
      </c>
      <c r="AE16" t="s">
        <v>11</v>
      </c>
      <c r="AF16" t="s">
        <v>12</v>
      </c>
      <c r="AG16" t="s">
        <v>13</v>
      </c>
      <c r="AH16" t="s">
        <v>14</v>
      </c>
      <c r="AI16" t="s">
        <v>26</v>
      </c>
      <c r="AJ16" t="s">
        <v>54</v>
      </c>
      <c r="AK16" t="s">
        <v>26</v>
      </c>
      <c r="AL16" t="s">
        <v>16</v>
      </c>
      <c r="AM16" t="s">
        <v>17</v>
      </c>
      <c r="AQ16" t="s">
        <v>11</v>
      </c>
      <c r="AR16" t="s">
        <v>12</v>
      </c>
      <c r="AS16" t="s">
        <v>13</v>
      </c>
      <c r="AT16" t="s">
        <v>14</v>
      </c>
      <c r="AU16" t="s">
        <v>26</v>
      </c>
      <c r="AV16" t="s">
        <v>54</v>
      </c>
      <c r="AW16" t="s">
        <v>26</v>
      </c>
      <c r="AX16" t="s">
        <v>16</v>
      </c>
      <c r="AY16" t="s">
        <v>17</v>
      </c>
      <c r="AZ16" s="12"/>
    </row>
    <row r="17" spans="2:56" x14ac:dyDescent="0.2">
      <c r="B17" t="s">
        <v>23</v>
      </c>
      <c r="R17">
        <v>0.96</v>
      </c>
      <c r="S17">
        <v>-499.135668990971</v>
      </c>
      <c r="T17">
        <v>35.435301902873</v>
      </c>
      <c r="U17">
        <v>8.9556956095181395</v>
      </c>
      <c r="V17">
        <f>V$21*(R17/R$21)^3</f>
        <v>6162.18624</v>
      </c>
      <c r="W17" s="3">
        <f>V17^(1/3)</f>
        <v>18.333481302019688</v>
      </c>
      <c r="AD17">
        <v>0.96</v>
      </c>
      <c r="AE17">
        <v>-555.17631899166702</v>
      </c>
      <c r="AF17">
        <v>35.263542166666674</v>
      </c>
      <c r="AG17">
        <v>28.702784999999977</v>
      </c>
      <c r="AH17" s="3">
        <f>AI17^3</f>
        <v>5351.1460392686777</v>
      </c>
      <c r="AI17" s="3">
        <f>(AD17/AD$18)*AI$18</f>
        <v>17.491038719999999</v>
      </c>
      <c r="AP17">
        <v>0.96</v>
      </c>
      <c r="AQ17">
        <v>-501.585797388</v>
      </c>
      <c r="AR17">
        <v>35.161862933333303</v>
      </c>
      <c r="AS17">
        <v>7.9441986666666597</v>
      </c>
      <c r="AT17" s="3">
        <f t="shared" ref="AT17:AT18" si="12">AU17^3</f>
        <v>6281.4869333748065</v>
      </c>
      <c r="AU17" s="3">
        <f>(AP17/AP$19)*AU$19</f>
        <v>18.45103872</v>
      </c>
      <c r="AZ17" s="12"/>
    </row>
    <row r="18" spans="2:56" x14ac:dyDescent="0.2">
      <c r="R18">
        <v>0.97</v>
      </c>
      <c r="S18">
        <v>-498.89491164666703</v>
      </c>
      <c r="T18">
        <v>35.436553066666697</v>
      </c>
      <c r="U18">
        <v>5.2368639999999997</v>
      </c>
      <c r="V18">
        <f>V$21*(R18/R$21)^3</f>
        <v>6356.7674449999995</v>
      </c>
      <c r="W18" s="3">
        <f t="shared" ref="W18" si="13">V18^(1/3)</f>
        <v>18.524455065582394</v>
      </c>
      <c r="AD18">
        <v>1</v>
      </c>
      <c r="AE18">
        <v>-553.49152319999996</v>
      </c>
      <c r="AF18">
        <v>35.3922752</v>
      </c>
      <c r="AG18">
        <v>9.3944386666666695</v>
      </c>
      <c r="AH18" s="3">
        <f t="shared" ref="AH18:AH22" si="14">AI18^3</f>
        <v>6048.2969374691193</v>
      </c>
      <c r="AI18" s="3">
        <v>18.219832</v>
      </c>
      <c r="AP18">
        <v>0.98</v>
      </c>
      <c r="AQ18">
        <v>-499.28933586444401</v>
      </c>
      <c r="AR18">
        <v>35.411192444444403</v>
      </c>
      <c r="AS18">
        <v>2.7634022222222199</v>
      </c>
      <c r="AT18" s="3">
        <f t="shared" si="12"/>
        <v>6682.3156849013722</v>
      </c>
      <c r="AU18" s="3">
        <f>(AP18/AP$19)*AU$19</f>
        <v>18.835435359999998</v>
      </c>
      <c r="AZ18" s="12"/>
    </row>
    <row r="19" spans="2:56" x14ac:dyDescent="0.2">
      <c r="B19">
        <v>1400</v>
      </c>
      <c r="R19">
        <v>0.98</v>
      </c>
      <c r="S19">
        <v>-497.72921842337598</v>
      </c>
      <c r="T19">
        <v>35.252821115969802</v>
      </c>
      <c r="U19">
        <v>2.5421709031517801</v>
      </c>
      <c r="V19">
        <f>V$21*(R19/R$21)^3</f>
        <v>6555.4022799999993</v>
      </c>
      <c r="W19" s="3">
        <f t="shared" ref="W19" si="15">V19^(1/3)</f>
        <v>18.715428829145097</v>
      </c>
      <c r="AD19">
        <v>1.01</v>
      </c>
      <c r="AE19">
        <v>-553.039473585373</v>
      </c>
      <c r="AF19">
        <v>35.475250398692801</v>
      </c>
      <c r="AG19">
        <v>6.68429769934641</v>
      </c>
      <c r="AH19" s="3">
        <f t="shared" si="14"/>
        <v>6231.5663829713721</v>
      </c>
      <c r="AI19" s="3">
        <f>(AD19/AD$18)*AI$18</f>
        <v>18.402030320000001</v>
      </c>
      <c r="AP19">
        <v>1</v>
      </c>
      <c r="AQ19">
        <v>-496.03945745111099</v>
      </c>
      <c r="AR19">
        <v>35.102510444444398</v>
      </c>
      <c r="AS19">
        <v>-0.360740000000001</v>
      </c>
      <c r="AT19" s="3">
        <f>AU19^3</f>
        <v>7099.8432677937917</v>
      </c>
      <c r="AU19" s="3">
        <v>19.219832</v>
      </c>
      <c r="AZ19" s="12"/>
    </row>
    <row r="20" spans="2:56" x14ac:dyDescent="0.2">
      <c r="C20" t="s">
        <v>11</v>
      </c>
      <c r="D20" t="s">
        <v>12</v>
      </c>
      <c r="E20" t="s">
        <v>13</v>
      </c>
      <c r="F20" t="s">
        <v>14</v>
      </c>
      <c r="G20" t="s">
        <v>26</v>
      </c>
      <c r="H20" t="s">
        <v>54</v>
      </c>
      <c r="I20" t="s">
        <v>26</v>
      </c>
      <c r="J20" t="s">
        <v>16</v>
      </c>
      <c r="K20" t="s">
        <v>17</v>
      </c>
      <c r="R20">
        <v>0.99</v>
      </c>
      <c r="S20">
        <v>-494.62933638933299</v>
      </c>
      <c r="T20">
        <v>35.410949199999997</v>
      </c>
      <c r="U20">
        <v>1.1312453333333301</v>
      </c>
      <c r="V20">
        <f>V$21*(R20/R$21)^3</f>
        <v>6758.1325349999997</v>
      </c>
      <c r="W20" s="3">
        <f t="shared" ref="W20" si="16">V20^(1/3)</f>
        <v>18.90640259270781</v>
      </c>
      <c r="AD20">
        <v>1.03</v>
      </c>
      <c r="AE20">
        <v>-550.17666787200005</v>
      </c>
      <c r="AF20">
        <v>35.674992533333302</v>
      </c>
      <c r="AG20">
        <v>2.1771333333333298</v>
      </c>
      <c r="AH20" s="3">
        <f t="shared" si="14"/>
        <v>6609.1373675898185</v>
      </c>
      <c r="AI20" s="3">
        <f t="shared" ref="AI20:AI22" si="17">(AD20/AD$18)*AI$18</f>
        <v>18.76642696</v>
      </c>
      <c r="AT20" s="3"/>
      <c r="AU20" s="3" t="s">
        <v>50</v>
      </c>
      <c r="AV20">
        <v>7037</v>
      </c>
      <c r="AW20">
        <f>AV20^(1/3)</f>
        <v>19.162956643809292</v>
      </c>
      <c r="AX20">
        <f>$J$8/(AV20*(10^-24))</f>
        <v>2.722597314654188</v>
      </c>
      <c r="AZ20" s="12"/>
    </row>
    <row r="21" spans="2:56" x14ac:dyDescent="0.2">
      <c r="B21">
        <v>0.98</v>
      </c>
      <c r="C21">
        <v>-506.12026979199999</v>
      </c>
      <c r="D21">
        <v>35.152149066666702</v>
      </c>
      <c r="E21">
        <v>16.813093333333299</v>
      </c>
      <c r="F21" s="3">
        <f>G21^3</f>
        <v>5692.6068165291999</v>
      </c>
      <c r="G21" s="3">
        <f>(B21/$B$22)*$G$22</f>
        <v>17.855433400000003</v>
      </c>
      <c r="R21">
        <v>1</v>
      </c>
      <c r="S21">
        <v>-494.85063217019598</v>
      </c>
      <c r="T21">
        <v>35.137707486580098</v>
      </c>
      <c r="U21">
        <v>-0.250432321588273</v>
      </c>
      <c r="V21">
        <v>6965</v>
      </c>
      <c r="W21" s="3">
        <f>V21^(1/3)</f>
        <v>19.097376356270509</v>
      </c>
      <c r="X21">
        <f>(V22-V21)/(U22-U21)*(0-U21)+V21</f>
        <v>6926.7226306296716</v>
      </c>
      <c r="Y21">
        <f>X21^(1/3)</f>
        <v>19.06232775421249</v>
      </c>
      <c r="Z21">
        <f>$J$8/(X21*(10^-24))</f>
        <v>2.7659426145492829</v>
      </c>
      <c r="AA21">
        <f>(S22-S21)/(U22-U21)*(0-U21)+S21</f>
        <v>-495.14922955494262</v>
      </c>
      <c r="AD21">
        <v>1.04</v>
      </c>
      <c r="AE21">
        <v>-548.394167442666</v>
      </c>
      <c r="AF21">
        <v>35.7070893333333</v>
      </c>
      <c r="AG21">
        <v>0.31507866666666701</v>
      </c>
      <c r="AH21" s="3">
        <f t="shared" si="14"/>
        <v>6803.5114862692653</v>
      </c>
      <c r="AI21" s="3">
        <f t="shared" si="17"/>
        <v>18.948625280000002</v>
      </c>
      <c r="AJ21">
        <f>(AH22-AH21)/(AG22-AG21)*(0-AG21)+AH21</f>
        <v>6846.5109455538432</v>
      </c>
      <c r="AK21">
        <f>AJ21^(1/3)</f>
        <v>18.988461087478843</v>
      </c>
      <c r="AL21">
        <f>$J$8/(AJ21*(10^-24))</f>
        <v>2.7983475752220062</v>
      </c>
      <c r="AM21">
        <f>(AE22-AE21)/(AG22-AG21)*(0-AG21)+AE21</f>
        <v>-548.22331909907223</v>
      </c>
      <c r="AT21" s="3"/>
      <c r="AU21" s="3"/>
      <c r="AZ21" s="12"/>
    </row>
    <row r="22" spans="2:56" x14ac:dyDescent="0.2">
      <c r="B22">
        <v>1</v>
      </c>
      <c r="C22">
        <v>-504.41969706266701</v>
      </c>
      <c r="D22">
        <v>35.121807466666702</v>
      </c>
      <c r="E22">
        <v>10.054192</v>
      </c>
      <c r="F22" s="3">
        <f t="shared" ref="F22:F26" si="18">G22^3</f>
        <v>6048.2949456956712</v>
      </c>
      <c r="G22" s="3">
        <v>18.219830000000002</v>
      </c>
      <c r="R22">
        <v>1.01</v>
      </c>
      <c r="S22">
        <v>-493.20428281166676</v>
      </c>
      <c r="T22">
        <v>35.179191999999972</v>
      </c>
      <c r="U22">
        <v>-1.6312183333333325</v>
      </c>
      <c r="V22">
        <f>V$21*(R22/R$21)^3</f>
        <v>7176.0464649999994</v>
      </c>
      <c r="W22" s="3">
        <f t="shared" ref="W22" si="19">V22^(1/3)</f>
        <v>19.288350119833218</v>
      </c>
      <c r="AD22">
        <v>1.05</v>
      </c>
      <c r="AE22">
        <v>-547.60687146542705</v>
      </c>
      <c r="AF22">
        <v>35.930367905372407</v>
      </c>
      <c r="AG22">
        <v>-1.13685327228327</v>
      </c>
      <c r="AH22" s="3">
        <f t="shared" si="14"/>
        <v>7001.6597422376881</v>
      </c>
      <c r="AI22" s="3">
        <f t="shared" si="17"/>
        <v>19.130823599999999</v>
      </c>
      <c r="AU22" s="3"/>
      <c r="AZ22" s="12"/>
    </row>
    <row r="23" spans="2:56" x14ac:dyDescent="0.2">
      <c r="B23">
        <v>1.02</v>
      </c>
      <c r="C23">
        <v>-502.172867633333</v>
      </c>
      <c r="D23">
        <v>35.197096266666598</v>
      </c>
      <c r="E23">
        <v>3.7854800000000002</v>
      </c>
      <c r="F23" s="3">
        <f t="shared" si="18"/>
        <v>6418.4989827318104</v>
      </c>
      <c r="G23" s="3">
        <f>(B23/$B$22)*$G$22</f>
        <v>18.584226600000001</v>
      </c>
      <c r="W23" s="3"/>
      <c r="AI23" s="3"/>
      <c r="AU23" s="3"/>
      <c r="AZ23" s="12"/>
    </row>
    <row r="24" spans="2:56" x14ac:dyDescent="0.2">
      <c r="B24">
        <v>1.03</v>
      </c>
      <c r="C24">
        <v>-500.80100210799998</v>
      </c>
      <c r="D24">
        <v>34.907987066666699</v>
      </c>
      <c r="E24">
        <v>2.7729840000000001</v>
      </c>
      <c r="F24" s="3">
        <f t="shared" si="18"/>
        <v>6609.1351911251913</v>
      </c>
      <c r="G24" s="3">
        <f>(B24/$B$22)*$G$22</f>
        <v>18.766424900000001</v>
      </c>
      <c r="R24">
        <v>1100</v>
      </c>
      <c r="AI24" s="3"/>
      <c r="AP24">
        <v>1100</v>
      </c>
      <c r="BB24">
        <v>-509.63429109333299</v>
      </c>
      <c r="BC24">
        <v>27.980964666666701</v>
      </c>
      <c r="BD24">
        <v>4.10632000000001</v>
      </c>
    </row>
    <row r="25" spans="2:56" x14ac:dyDescent="0.2">
      <c r="B25">
        <v>1.04</v>
      </c>
      <c r="C25">
        <v>-499.016784353334</v>
      </c>
      <c r="D25">
        <v>35.285123466666697</v>
      </c>
      <c r="E25">
        <v>0.57940400000000003</v>
      </c>
      <c r="F25" s="3">
        <f t="shared" si="18"/>
        <v>6803.5092457950177</v>
      </c>
      <c r="G25" s="3">
        <f>(B25/$B$22)*$G$22</f>
        <v>18.948623200000004</v>
      </c>
      <c r="H25">
        <f>(F26-F25)/(E26-E25)*(0-E25)+F25</f>
        <v>6882.273950937134</v>
      </c>
      <c r="I25">
        <f>H25^(1/3)</f>
        <v>19.02146599821635</v>
      </c>
      <c r="J25">
        <f>$J$8/(H25*(10^-24))</f>
        <v>2.7838062593559969</v>
      </c>
      <c r="K25">
        <f>(C26-C25)/(E26-E25)*(0-E25)+C25</f>
        <v>-498.41353326800521</v>
      </c>
      <c r="S25" t="s">
        <v>11</v>
      </c>
      <c r="T25" t="s">
        <v>12</v>
      </c>
      <c r="U25" t="s">
        <v>13</v>
      </c>
      <c r="V25" t="s">
        <v>14</v>
      </c>
      <c r="W25" t="s">
        <v>26</v>
      </c>
      <c r="X25" t="s">
        <v>54</v>
      </c>
      <c r="Y25" t="s">
        <v>26</v>
      </c>
      <c r="Z25" t="s">
        <v>16</v>
      </c>
      <c r="AA25" t="s">
        <v>17</v>
      </c>
      <c r="AD25">
        <v>1100</v>
      </c>
      <c r="AQ25" t="s">
        <v>11</v>
      </c>
      <c r="AR25" t="s">
        <v>12</v>
      </c>
      <c r="AS25" t="s">
        <v>13</v>
      </c>
      <c r="AT25" t="s">
        <v>14</v>
      </c>
      <c r="AU25" t="s">
        <v>26</v>
      </c>
      <c r="AV25" t="s">
        <v>54</v>
      </c>
      <c r="AW25" t="s">
        <v>26</v>
      </c>
      <c r="AX25" t="s">
        <v>16</v>
      </c>
      <c r="AY25" t="s">
        <v>17</v>
      </c>
      <c r="BB25">
        <v>-510.01729975333302</v>
      </c>
      <c r="BC25">
        <v>27.6936346666667</v>
      </c>
      <c r="BD25">
        <v>3.5264000000000002</v>
      </c>
    </row>
    <row r="26" spans="2:56" x14ac:dyDescent="0.2">
      <c r="B26">
        <v>1.05</v>
      </c>
      <c r="C26">
        <v>-497.49918696133398</v>
      </c>
      <c r="D26">
        <v>35.607511866666698</v>
      </c>
      <c r="E26">
        <v>-0.87820133333333406</v>
      </c>
      <c r="F26" s="3">
        <f t="shared" si="18"/>
        <v>7001.6574365109527</v>
      </c>
      <c r="G26" s="3">
        <f>(B26/$B$22)*$G$22</f>
        <v>19.130821500000003</v>
      </c>
      <c r="R26">
        <v>0.96</v>
      </c>
      <c r="S26">
        <v>-508.14825679333302</v>
      </c>
      <c r="T26">
        <v>27.750285999999999</v>
      </c>
      <c r="U26">
        <v>4.0402760000000004</v>
      </c>
      <c r="V26">
        <f>V$21*(R26/R$21)^3</f>
        <v>6162.18624</v>
      </c>
      <c r="W26" s="3">
        <f>V26^(1/3)</f>
        <v>18.333481302019688</v>
      </c>
      <c r="AE26" t="s">
        <v>11</v>
      </c>
      <c r="AF26" t="s">
        <v>12</v>
      </c>
      <c r="AG26" t="s">
        <v>13</v>
      </c>
      <c r="AH26" t="s">
        <v>14</v>
      </c>
      <c r="AI26" t="s">
        <v>26</v>
      </c>
      <c r="AJ26" t="s">
        <v>54</v>
      </c>
      <c r="AL26" t="s">
        <v>16</v>
      </c>
      <c r="AM26" t="s">
        <v>17</v>
      </c>
      <c r="AP26">
        <v>0.96</v>
      </c>
      <c r="AQ26">
        <v>-509.82579542333303</v>
      </c>
      <c r="AR26">
        <v>27.837299666666702</v>
      </c>
      <c r="AS26">
        <v>3.8163600000000049</v>
      </c>
      <c r="AT26" s="3">
        <f t="shared" ref="AT26:AT27" si="20">AU26^3</f>
        <v>6281.4869333748065</v>
      </c>
      <c r="AU26" s="3">
        <f>(AP26/AP$28)*AU$28</f>
        <v>18.45103872</v>
      </c>
    </row>
    <row r="27" spans="2:56" x14ac:dyDescent="0.2">
      <c r="G27" s="3"/>
      <c r="R27">
        <v>0.97</v>
      </c>
      <c r="S27">
        <v>-507.308958877333</v>
      </c>
      <c r="T27">
        <v>27.7919357333333</v>
      </c>
      <c r="U27">
        <v>1.37654533333333</v>
      </c>
      <c r="V27">
        <f>V$21*(R27/R$21)^3</f>
        <v>6356.7674449999995</v>
      </c>
      <c r="W27" s="3">
        <f t="shared" ref="W27:W28" si="21">V27^(1/3)</f>
        <v>18.524455065582394</v>
      </c>
      <c r="X27">
        <f>(V28-V27)/(U28-U27)*(0-U27)+V27</f>
        <v>6487.7393422006908</v>
      </c>
      <c r="Y27">
        <f>X27^(1/3)</f>
        <v>18.650814285161655</v>
      </c>
      <c r="Z27">
        <f>$J$8/(X27*(10^-24))</f>
        <v>2.9530960312475609</v>
      </c>
      <c r="AA27">
        <f>(S28-S27)/(U28-U27)*(0-U27)+S27</f>
        <v>-506.10954228761</v>
      </c>
      <c r="AD27">
        <v>0.98</v>
      </c>
      <c r="AE27">
        <v>-564.02747848266699</v>
      </c>
      <c r="AF27">
        <v>27.724346133333299</v>
      </c>
      <c r="AG27">
        <v>12.1267093333333</v>
      </c>
      <c r="AH27" s="3">
        <f>AI27^3</f>
        <v>5692.6086911704369</v>
      </c>
      <c r="AI27" s="3">
        <f>(AD27/AD$28)*AI$28</f>
        <v>17.855435360000001</v>
      </c>
      <c r="AP27">
        <v>0.98</v>
      </c>
      <c r="AQ27">
        <v>-507.31815551599999</v>
      </c>
      <c r="AR27">
        <v>27.673976799999998</v>
      </c>
      <c r="AS27">
        <v>-0.51486133333333295</v>
      </c>
      <c r="AT27" s="3">
        <f t="shared" si="20"/>
        <v>6682.3156849013722</v>
      </c>
      <c r="AU27" s="3">
        <f>(AP27/AP$28)*AU$28</f>
        <v>18.835435359999998</v>
      </c>
      <c r="BB27">
        <f>AVERAGE(BB21:BB25)</f>
        <v>-509.82579542333303</v>
      </c>
      <c r="BC27">
        <f t="shared" ref="BC27:BD27" si="22">AVERAGE(BC21:BC25)</f>
        <v>27.837299666666702</v>
      </c>
      <c r="BD27">
        <f t="shared" si="22"/>
        <v>3.8163600000000049</v>
      </c>
    </row>
    <row r="28" spans="2:56" x14ac:dyDescent="0.2">
      <c r="G28" s="3"/>
      <c r="R28">
        <v>0.98</v>
      </c>
      <c r="S28">
        <v>-505.48989752533299</v>
      </c>
      <c r="T28">
        <v>27.893816133333299</v>
      </c>
      <c r="U28">
        <v>-0.71115333333333397</v>
      </c>
      <c r="V28">
        <f>V$21*(R28/R$21)^3</f>
        <v>6555.4022799999993</v>
      </c>
      <c r="W28" s="3">
        <f t="shared" si="21"/>
        <v>18.715428829145097</v>
      </c>
      <c r="AD28">
        <v>1</v>
      </c>
      <c r="AE28">
        <v>-562.95290589333399</v>
      </c>
      <c r="AF28">
        <v>27.8064978666667</v>
      </c>
      <c r="AG28">
        <v>5.5832546666666696</v>
      </c>
      <c r="AH28" s="3">
        <f t="shared" ref="AH28:AH29" si="23">AI28^3</f>
        <v>6048.2969374691193</v>
      </c>
      <c r="AI28" s="3">
        <v>18.219832</v>
      </c>
      <c r="AP28">
        <v>1</v>
      </c>
      <c r="AQ28">
        <v>-504.49106075217401</v>
      </c>
      <c r="AR28">
        <v>27.5170588956133</v>
      </c>
      <c r="AS28">
        <v>-2.8669531327961799</v>
      </c>
      <c r="AT28" s="3">
        <f>AU28^3</f>
        <v>7099.8432677937917</v>
      </c>
      <c r="AU28" s="3">
        <v>19.219832</v>
      </c>
    </row>
    <row r="29" spans="2:56" x14ac:dyDescent="0.2">
      <c r="R29">
        <v>1</v>
      </c>
      <c r="S29">
        <v>-502.96724546000002</v>
      </c>
      <c r="T29">
        <v>27.858467999999998</v>
      </c>
      <c r="U29">
        <v>-3.5162800000000001</v>
      </c>
      <c r="V29">
        <v>6965</v>
      </c>
      <c r="W29" s="3">
        <f>V29^(1/3)</f>
        <v>19.097376356270509</v>
      </c>
      <c r="AD29">
        <v>1.02</v>
      </c>
      <c r="AE29">
        <v>-559.62941753866596</v>
      </c>
      <c r="AF29">
        <v>28.112590399999998</v>
      </c>
      <c r="AG29">
        <v>0.29529733333333302</v>
      </c>
      <c r="AH29" s="3">
        <f t="shared" si="23"/>
        <v>6418.5010964177281</v>
      </c>
      <c r="AI29" s="3">
        <f>(AD29/AD$28)*AI$28</f>
        <v>18.584228639999999</v>
      </c>
      <c r="AJ29">
        <f>(AH30-AH29)/(AG30-AG29)*(0-AG29)+AH29</f>
        <v>6442.9019300792106</v>
      </c>
      <c r="AK29">
        <f>AJ29^(1/3)</f>
        <v>18.607749045122965</v>
      </c>
      <c r="AL29">
        <f>$J$8/(AJ29*(10^-24))</f>
        <v>2.9736472029438414</v>
      </c>
      <c r="AM29">
        <f>(AE30-AE29)/(AG30-AG29)*(0-AG29)+AE29</f>
        <v>-559.63965964095223</v>
      </c>
      <c r="AT29" s="3"/>
      <c r="AU29" s="3" t="s">
        <v>50</v>
      </c>
      <c r="AV29">
        <v>6623</v>
      </c>
      <c r="AW29">
        <f>AV29^(1/3)</f>
        <v>18.779538625792828</v>
      </c>
      <c r="AX29">
        <f>$J$8/(AV29*(10^-24))</f>
        <v>2.8927853394566694</v>
      </c>
    </row>
    <row r="30" spans="2:56" x14ac:dyDescent="0.2">
      <c r="B30">
        <v>1100</v>
      </c>
      <c r="AD30">
        <v>1.03</v>
      </c>
      <c r="AE30">
        <v>-559.70943595999995</v>
      </c>
      <c r="AF30">
        <v>27.621871599999999</v>
      </c>
      <c r="AG30">
        <v>-2.0117706666666701</v>
      </c>
      <c r="AH30" s="3">
        <f t="shared" ref="AH30" si="24">AI30^3</f>
        <v>6609.1373675898185</v>
      </c>
      <c r="AI30" s="3">
        <f>(AD30/AD$28)*AI$28</f>
        <v>18.76642696</v>
      </c>
      <c r="AT30" s="3"/>
      <c r="AU30" s="3"/>
    </row>
    <row r="31" spans="2:56" x14ac:dyDescent="0.2">
      <c r="C31" t="s">
        <v>11</v>
      </c>
      <c r="D31" t="s">
        <v>12</v>
      </c>
      <c r="E31" t="s">
        <v>13</v>
      </c>
      <c r="F31" t="s">
        <v>14</v>
      </c>
      <c r="G31" t="s">
        <v>26</v>
      </c>
      <c r="H31" t="s">
        <v>54</v>
      </c>
      <c r="I31" t="s">
        <v>26</v>
      </c>
      <c r="J31" t="s">
        <v>16</v>
      </c>
      <c r="K31" t="s">
        <v>17</v>
      </c>
      <c r="W31" s="3"/>
      <c r="AD31">
        <v>1.04</v>
      </c>
      <c r="AE31">
        <v>-557.82881034888896</v>
      </c>
      <c r="AF31">
        <v>27.754361111111166</v>
      </c>
      <c r="AG31">
        <v>-3.6027711111111169</v>
      </c>
      <c r="AH31" s="3">
        <f t="shared" ref="AH31" si="25">AI31^3</f>
        <v>6803.5114862692653</v>
      </c>
      <c r="AI31" s="3">
        <f>(AD31/AD$28)*AI$28</f>
        <v>18.948625280000002</v>
      </c>
    </row>
    <row r="32" spans="2:56" x14ac:dyDescent="0.2">
      <c r="B32">
        <v>0.98</v>
      </c>
      <c r="C32">
        <v>-514.25208543999997</v>
      </c>
      <c r="D32">
        <v>27.539024666666698</v>
      </c>
      <c r="E32">
        <v>12.577532</v>
      </c>
      <c r="F32" s="3">
        <f t="shared" ref="F32:F34" si="26">G32^3</f>
        <v>5692.6068165291999</v>
      </c>
      <c r="G32" s="3">
        <f>(B32/$B$33)*$G$33</f>
        <v>17.855433400000003</v>
      </c>
      <c r="AI32" s="3"/>
    </row>
    <row r="33" spans="2:51" x14ac:dyDescent="0.2">
      <c r="B33">
        <v>1</v>
      </c>
      <c r="C33">
        <v>-512.94965176266703</v>
      </c>
      <c r="D33">
        <v>27.660339199999999</v>
      </c>
      <c r="E33">
        <v>5.1345386666666597</v>
      </c>
      <c r="F33" s="3">
        <f t="shared" si="26"/>
        <v>6048.2949456956712</v>
      </c>
      <c r="G33" s="3">
        <v>18.219830000000002</v>
      </c>
      <c r="AI33" s="3"/>
      <c r="AP33" t="s">
        <v>110</v>
      </c>
    </row>
    <row r="34" spans="2:51" x14ac:dyDescent="0.2">
      <c r="B34">
        <v>1.01</v>
      </c>
      <c r="C34">
        <v>-511.52309589200001</v>
      </c>
      <c r="D34">
        <v>27.459270133333298</v>
      </c>
      <c r="E34">
        <v>2.4879453333333301</v>
      </c>
      <c r="F34" s="3">
        <f t="shared" si="26"/>
        <v>6231.5643308451945</v>
      </c>
      <c r="G34" s="3">
        <f>(B34/$B$33)*$G$33</f>
        <v>18.402028300000001</v>
      </c>
      <c r="H34">
        <f>(F35-F34)/(E35-E34)*(0-E34)+F34</f>
        <v>6407.7517840469127</v>
      </c>
      <c r="I34">
        <f>H34^(1/3)</f>
        <v>18.573848267217706</v>
      </c>
      <c r="J34">
        <f>$J$8/(H34*(10^-24))</f>
        <v>2.9899593412654659</v>
      </c>
      <c r="K34">
        <f>(C35-C34)/(E35-E34)*(0-E34)+C34</f>
        <v>-510.5284833390221</v>
      </c>
      <c r="R34" t="s">
        <v>82</v>
      </c>
    </row>
    <row r="35" spans="2:51" x14ac:dyDescent="0.2">
      <c r="B35">
        <v>1.02</v>
      </c>
      <c r="C35">
        <v>-510.46781330533298</v>
      </c>
      <c r="D35">
        <v>27.619491199999999</v>
      </c>
      <c r="E35">
        <v>-0.151761333333333</v>
      </c>
      <c r="F35" s="3">
        <f t="shared" ref="F35" si="27">G35^3</f>
        <v>6418.4989827318104</v>
      </c>
      <c r="G35" s="3">
        <f>(B35/$B$33)*$G$33</f>
        <v>18.584226600000001</v>
      </c>
      <c r="AP35">
        <v>1400</v>
      </c>
    </row>
    <row r="36" spans="2:51" x14ac:dyDescent="0.2">
      <c r="B36">
        <v>1.03</v>
      </c>
      <c r="C36">
        <v>-508.77736746800002</v>
      </c>
      <c r="D36">
        <v>27.6763169333333</v>
      </c>
      <c r="E36">
        <v>-0.93788000000000005</v>
      </c>
      <c r="F36" s="3">
        <f t="shared" ref="F36" si="28">G36^3</f>
        <v>6609.1351911251913</v>
      </c>
      <c r="G36" s="3">
        <f>(B36/$B$33)*$G$33</f>
        <v>18.766424900000001</v>
      </c>
      <c r="R36">
        <v>1400</v>
      </c>
      <c r="AD36" t="s">
        <v>111</v>
      </c>
      <c r="AQ36" t="s">
        <v>11</v>
      </c>
      <c r="AR36" t="s">
        <v>12</v>
      </c>
      <c r="AS36" t="s">
        <v>13</v>
      </c>
      <c r="AT36" t="s">
        <v>14</v>
      </c>
      <c r="AU36" t="s">
        <v>26</v>
      </c>
      <c r="AV36" t="s">
        <v>54</v>
      </c>
      <c r="AW36" t="s">
        <v>26</v>
      </c>
      <c r="AX36" t="s">
        <v>16</v>
      </c>
      <c r="AY36" t="s">
        <v>17</v>
      </c>
    </row>
    <row r="37" spans="2:51" x14ac:dyDescent="0.2">
      <c r="G37" s="3"/>
      <c r="S37" t="s">
        <v>11</v>
      </c>
      <c r="T37" t="s">
        <v>12</v>
      </c>
      <c r="U37" t="s">
        <v>13</v>
      </c>
      <c r="V37" t="s">
        <v>14</v>
      </c>
      <c r="W37" t="s">
        <v>26</v>
      </c>
      <c r="X37" t="s">
        <v>54</v>
      </c>
      <c r="Y37" t="s">
        <v>26</v>
      </c>
      <c r="Z37" t="s">
        <v>16</v>
      </c>
      <c r="AA37" t="s">
        <v>17</v>
      </c>
      <c r="AP37">
        <v>0.98</v>
      </c>
      <c r="AQ37">
        <v>-497.00139759333302</v>
      </c>
      <c r="AR37">
        <v>35.254012666666704</v>
      </c>
      <c r="AS37">
        <v>20.152217333333301</v>
      </c>
      <c r="AT37" s="3">
        <f>AU37^3</f>
        <v>5692.6086911704369</v>
      </c>
      <c r="AU37" s="3">
        <f t="shared" ref="AU37:AU40" si="29">(AP37/$AP$38)*$AU$38</f>
        <v>17.855435360000001</v>
      </c>
    </row>
    <row r="38" spans="2:51" x14ac:dyDescent="0.2">
      <c r="R38">
        <v>0.96</v>
      </c>
      <c r="S38">
        <v>-496.59378280133302</v>
      </c>
      <c r="T38">
        <v>34.876163200000001</v>
      </c>
      <c r="U38">
        <v>5.9170706666666701</v>
      </c>
      <c r="V38" s="3">
        <f t="shared" ref="V38:V41" si="30">W38^3</f>
        <v>6281.4869333748065</v>
      </c>
      <c r="W38" s="3">
        <f t="shared" ref="W38:W40" si="31">(R38/R$42)*W$42</f>
        <v>18.45103872</v>
      </c>
      <c r="AD38">
        <v>1400</v>
      </c>
      <c r="AP38">
        <v>1</v>
      </c>
      <c r="AQ38">
        <v>-495.810943489333</v>
      </c>
      <c r="AR38">
        <v>35.227039466666703</v>
      </c>
      <c r="AS38">
        <v>11.524100000000001</v>
      </c>
      <c r="AT38" s="3">
        <f t="shared" ref="AT38:AT42" si="32">AU38^3</f>
        <v>6048.2969374691193</v>
      </c>
      <c r="AU38" s="3">
        <v>18.219832</v>
      </c>
    </row>
    <row r="39" spans="2:51" x14ac:dyDescent="0.2">
      <c r="B39" t="s">
        <v>81</v>
      </c>
      <c r="R39">
        <v>0.97</v>
      </c>
      <c r="S39">
        <v>-495.63518244400001</v>
      </c>
      <c r="T39">
        <v>34.6988785333333</v>
      </c>
      <c r="U39">
        <v>3.4299066666666702</v>
      </c>
      <c r="V39" s="3">
        <f t="shared" si="30"/>
        <v>6479.8352547471623</v>
      </c>
      <c r="W39" s="3">
        <f t="shared" si="31"/>
        <v>18.643237039999999</v>
      </c>
      <c r="AE39" t="s">
        <v>11</v>
      </c>
      <c r="AF39" t="s">
        <v>12</v>
      </c>
      <c r="AG39" t="s">
        <v>13</v>
      </c>
      <c r="AH39" t="s">
        <v>14</v>
      </c>
      <c r="AI39" t="s">
        <v>26</v>
      </c>
      <c r="AJ39" t="s">
        <v>54</v>
      </c>
      <c r="AK39" t="s">
        <v>26</v>
      </c>
      <c r="AL39" t="s">
        <v>16</v>
      </c>
      <c r="AM39" t="s">
        <v>17</v>
      </c>
      <c r="AP39">
        <v>1.02</v>
      </c>
      <c r="AQ39">
        <v>-493.81089994354903</v>
      </c>
      <c r="AR39">
        <v>35.195487914868551</v>
      </c>
      <c r="AS39">
        <v>5.2800517363933848</v>
      </c>
      <c r="AT39" s="3">
        <f t="shared" si="32"/>
        <v>6418.5010964177281</v>
      </c>
      <c r="AU39" s="3">
        <f t="shared" si="29"/>
        <v>18.584228639999999</v>
      </c>
    </row>
    <row r="40" spans="2:51" x14ac:dyDescent="0.2">
      <c r="R40">
        <v>0.98</v>
      </c>
      <c r="S40">
        <v>-493.04996512666702</v>
      </c>
      <c r="T40">
        <v>35.276408133333298</v>
      </c>
      <c r="U40">
        <v>1.63816266666667</v>
      </c>
      <c r="V40" s="3">
        <f t="shared" si="30"/>
        <v>6682.3156849013722</v>
      </c>
      <c r="W40" s="3">
        <f t="shared" si="31"/>
        <v>18.835435359999998</v>
      </c>
      <c r="X40">
        <f>(V41-V40)/(U41-U40)*(0-U40)+V40</f>
        <v>6825.153647437658</v>
      </c>
      <c r="Y40">
        <f>X40^(1/3)</f>
        <v>18.968696049572259</v>
      </c>
      <c r="Z40">
        <f>$J$8/(X40*(10^-24))</f>
        <v>2.8071041756568049</v>
      </c>
      <c r="AA40">
        <f>(S41-S40)/(U41-U40)*(0-U40)+S40</f>
        <v>-492.77944854907525</v>
      </c>
      <c r="AD40">
        <v>1</v>
      </c>
      <c r="AE40">
        <v>-558.12568511333359</v>
      </c>
      <c r="AF40">
        <v>34.735868666666669</v>
      </c>
      <c r="AG40">
        <v>10.924480000000001</v>
      </c>
      <c r="AH40" s="3">
        <f>AI40^3</f>
        <v>6048.2949456956712</v>
      </c>
      <c r="AI40" s="3">
        <v>18.219830000000002</v>
      </c>
      <c r="AP40">
        <v>1.03</v>
      </c>
      <c r="AQ40">
        <v>-491.583795516934</v>
      </c>
      <c r="AR40">
        <v>35.178264411953499</v>
      </c>
      <c r="AS40">
        <v>3.6179303861679402</v>
      </c>
      <c r="AT40" s="3">
        <f t="shared" si="32"/>
        <v>6609.1373675898185</v>
      </c>
      <c r="AU40" s="3">
        <f t="shared" si="29"/>
        <v>18.76642696</v>
      </c>
    </row>
    <row r="41" spans="2:51" x14ac:dyDescent="0.2">
      <c r="R41">
        <v>0.99</v>
      </c>
      <c r="S41">
        <v>-492.65858709466698</v>
      </c>
      <c r="T41">
        <v>34.949392533333302</v>
      </c>
      <c r="U41">
        <v>-0.73189866666666503</v>
      </c>
      <c r="V41" s="3">
        <f t="shared" si="30"/>
        <v>6888.9708228970485</v>
      </c>
      <c r="W41" s="3">
        <f>(R41/R$42)*W$42</f>
        <v>19.027633680000001</v>
      </c>
      <c r="AD41">
        <v>1.02</v>
      </c>
      <c r="AE41">
        <v>-554.67613993999998</v>
      </c>
      <c r="AF41">
        <v>35.164344800000002</v>
      </c>
      <c r="AG41">
        <v>4.3098520000000002</v>
      </c>
      <c r="AH41" s="3">
        <f t="shared" ref="AH41" si="33">AI41^3</f>
        <v>6418.4989827318104</v>
      </c>
      <c r="AI41" s="3">
        <f>(AD41/AD$40)*AI$40</f>
        <v>18.584226600000001</v>
      </c>
      <c r="AP41">
        <v>1.04</v>
      </c>
      <c r="AQ41">
        <v>-490.16940183745203</v>
      </c>
      <c r="AR41">
        <v>35.032845176034598</v>
      </c>
      <c r="AS41">
        <v>1.7704501774079</v>
      </c>
      <c r="AT41" s="3">
        <f t="shared" si="32"/>
        <v>6803.5114862692653</v>
      </c>
      <c r="AU41" s="3">
        <f>(AP41/$AP$38)*$AU$38</f>
        <v>18.948625280000002</v>
      </c>
    </row>
    <row r="42" spans="2:51" x14ac:dyDescent="0.2">
      <c r="B42">
        <v>1400</v>
      </c>
      <c r="R42">
        <v>1</v>
      </c>
      <c r="S42">
        <v>-490.43810465466697</v>
      </c>
      <c r="T42">
        <v>35.308692800000102</v>
      </c>
      <c r="U42">
        <v>-1.8219066666666599</v>
      </c>
      <c r="V42" s="3">
        <f>W42^3</f>
        <v>7099.8432677937917</v>
      </c>
      <c r="W42" s="3">
        <v>19.219832</v>
      </c>
      <c r="AD42">
        <v>1.04</v>
      </c>
      <c r="AE42">
        <v>-551.89166696925497</v>
      </c>
      <c r="AF42">
        <v>35.314966635294098</v>
      </c>
      <c r="AG42">
        <v>1.0477234509803901</v>
      </c>
      <c r="AH42" s="3">
        <f>AI42^3</f>
        <v>6803.5092457950177</v>
      </c>
      <c r="AI42" s="3">
        <f>(AD42/AD$40)*AI$40</f>
        <v>18.948623200000004</v>
      </c>
      <c r="AJ42">
        <f>(AH43-AH42)/(AG43-AG42)*(0-AG42)+AH42</f>
        <v>6977.6315260577103</v>
      </c>
      <c r="AK42">
        <f>AJ42^(1/3)</f>
        <v>19.108914203848329</v>
      </c>
      <c r="AL42">
        <f>$J$8/(AJ42*(10^-24))</f>
        <v>2.7457622592527628</v>
      </c>
      <c r="AM42">
        <f>(AE43-AE42)/(AG43-AG42)*(0-AG42)+AE42</f>
        <v>-550.75493296856246</v>
      </c>
      <c r="AP42">
        <v>1.06</v>
      </c>
      <c r="AT42" s="3">
        <f t="shared" si="32"/>
        <v>7203.6184252767216</v>
      </c>
      <c r="AU42" s="3">
        <f>(AP42/$AP$38)*$AU$38</f>
        <v>19.313021920000001</v>
      </c>
    </row>
    <row r="43" spans="2:51" x14ac:dyDescent="0.2">
      <c r="C43" t="s">
        <v>11</v>
      </c>
      <c r="D43" t="s">
        <v>12</v>
      </c>
      <c r="E43" t="s">
        <v>13</v>
      </c>
      <c r="F43" t="s">
        <v>14</v>
      </c>
      <c r="G43" t="s">
        <v>26</v>
      </c>
      <c r="H43" t="s">
        <v>54</v>
      </c>
      <c r="I43" t="s">
        <v>26</v>
      </c>
      <c r="J43" t="s">
        <v>16</v>
      </c>
      <c r="K43" t="s">
        <v>17</v>
      </c>
      <c r="W43" s="3"/>
      <c r="AD43">
        <v>1.05</v>
      </c>
      <c r="AE43">
        <v>-550.59808302800002</v>
      </c>
      <c r="AF43">
        <v>35.167119733333301</v>
      </c>
      <c r="AG43">
        <v>-0.144568</v>
      </c>
      <c r="AH43" s="3">
        <f>AI43^3</f>
        <v>7001.6574365109527</v>
      </c>
      <c r="AI43" s="3">
        <f>(AD43/AD$40)*AI$40</f>
        <v>19.130821500000003</v>
      </c>
      <c r="AT43" s="3"/>
      <c r="AU43" s="3" t="s">
        <v>50</v>
      </c>
      <c r="AV43">
        <v>7000</v>
      </c>
      <c r="AW43">
        <f>AV43^(1/3)</f>
        <v>19.129311827723885</v>
      </c>
      <c r="AX43">
        <f>$J$8/(AV43*(10^-24))</f>
        <v>2.7369881861745031</v>
      </c>
    </row>
    <row r="44" spans="2:51" x14ac:dyDescent="0.2">
      <c r="B44">
        <v>0.96</v>
      </c>
      <c r="C44">
        <v>-507.71186976133299</v>
      </c>
      <c r="D44">
        <v>35.119847999999998</v>
      </c>
      <c r="E44">
        <v>31.1633666666667</v>
      </c>
      <c r="F44" s="4">
        <f>G44^3</f>
        <v>5351.1442770750036</v>
      </c>
      <c r="G44" s="3">
        <f>(B44/B$45)*G$45</f>
        <v>17.4910368</v>
      </c>
      <c r="AH44" s="3"/>
      <c r="AI44" s="3"/>
      <c r="AU44" s="3"/>
    </row>
    <row r="45" spans="2:51" x14ac:dyDescent="0.2">
      <c r="B45">
        <v>1</v>
      </c>
      <c r="C45">
        <v>-506.94400540533297</v>
      </c>
      <c r="D45">
        <v>34.9189090666667</v>
      </c>
      <c r="E45">
        <v>11.2388293333333</v>
      </c>
      <c r="F45" s="4">
        <f t="shared" ref="F45:F48" si="34">G45^3</f>
        <v>6048.2949456956712</v>
      </c>
      <c r="G45" s="3">
        <v>18.219830000000002</v>
      </c>
      <c r="R45">
        <v>1100</v>
      </c>
      <c r="AH45" s="3"/>
      <c r="AI45" s="3"/>
      <c r="AP45">
        <v>1100</v>
      </c>
    </row>
    <row r="46" spans="2:51" x14ac:dyDescent="0.2">
      <c r="B46">
        <v>1.04</v>
      </c>
      <c r="C46">
        <v>-501.20351666533298</v>
      </c>
      <c r="D46">
        <v>35.554669599999997</v>
      </c>
      <c r="E46">
        <v>2.116212</v>
      </c>
      <c r="F46" s="4">
        <f t="shared" si="34"/>
        <v>6803.5092457950177</v>
      </c>
      <c r="G46" s="3">
        <f>(B46/B$45)*G$45</f>
        <v>18.948623200000004</v>
      </c>
      <c r="S46" t="s">
        <v>11</v>
      </c>
      <c r="T46" t="s">
        <v>12</v>
      </c>
      <c r="U46" t="s">
        <v>13</v>
      </c>
      <c r="V46" t="s">
        <v>14</v>
      </c>
      <c r="W46" t="s">
        <v>26</v>
      </c>
      <c r="X46" t="s">
        <v>54</v>
      </c>
      <c r="Y46" t="s">
        <v>26</v>
      </c>
      <c r="Z46" t="s">
        <v>16</v>
      </c>
      <c r="AA46" t="s">
        <v>17</v>
      </c>
      <c r="AI46" s="3"/>
      <c r="AQ46" t="s">
        <v>11</v>
      </c>
      <c r="AR46" t="s">
        <v>12</v>
      </c>
      <c r="AS46" t="s">
        <v>13</v>
      </c>
      <c r="AT46" t="s">
        <v>14</v>
      </c>
      <c r="AU46" t="s">
        <v>26</v>
      </c>
      <c r="AV46" t="s">
        <v>54</v>
      </c>
      <c r="AW46" t="s">
        <v>26</v>
      </c>
      <c r="AX46" t="s">
        <v>16</v>
      </c>
      <c r="AY46" t="s">
        <v>17</v>
      </c>
    </row>
    <row r="47" spans="2:51" x14ac:dyDescent="0.2">
      <c r="B47">
        <v>1.05</v>
      </c>
      <c r="C47">
        <v>-500.302395988</v>
      </c>
      <c r="D47">
        <v>35.325616933333301</v>
      </c>
      <c r="E47">
        <v>0.11415866666666701</v>
      </c>
      <c r="F47" s="4">
        <f t="shared" si="34"/>
        <v>7001.6574365109527</v>
      </c>
      <c r="G47" s="3">
        <f>(B47/B$45)*G$45</f>
        <v>19.130821500000003</v>
      </c>
      <c r="H47">
        <f>(F48-F47)/(E48-E47)*(0-E47)+F47</f>
        <v>7035.0120657446587</v>
      </c>
      <c r="I47">
        <f>H47^(1/3)</f>
        <v>19.16115197867137</v>
      </c>
      <c r="J47">
        <f>$J$8/(H47*(10^-24))</f>
        <v>2.7233666586744576</v>
      </c>
      <c r="K47">
        <f>(C48-C47)/(E48-E47)*(0-E47)+C47</f>
        <v>-499.99474708946912</v>
      </c>
      <c r="R47">
        <v>0.96</v>
      </c>
      <c r="S47">
        <v>-504.70081868533299</v>
      </c>
      <c r="T47">
        <v>27.644543200000001</v>
      </c>
      <c r="U47">
        <v>2.1155613333333299</v>
      </c>
      <c r="V47">
        <f>V$21*(R47/R$21)^3</f>
        <v>6162.18624</v>
      </c>
      <c r="W47" s="3">
        <f>V47^(1/3)</f>
        <v>18.333481302019688</v>
      </c>
      <c r="AI47" s="3"/>
      <c r="AP47">
        <v>0.98</v>
      </c>
      <c r="AQ47">
        <v>-506.28673943199999</v>
      </c>
      <c r="AR47">
        <v>27.5573561333333</v>
      </c>
      <c r="AS47">
        <v>14.2780653333333</v>
      </c>
      <c r="AT47" s="3">
        <f>AU47^3</f>
        <v>5692.6086911704369</v>
      </c>
      <c r="AU47" s="3">
        <f>(AP47/$AP$48)*$AU$48</f>
        <v>17.855435360000001</v>
      </c>
    </row>
    <row r="48" spans="2:51" x14ac:dyDescent="0.2">
      <c r="B48">
        <v>1.06</v>
      </c>
      <c r="C48">
        <v>-498.43961569776002</v>
      </c>
      <c r="D48">
        <v>35.017630325875601</v>
      </c>
      <c r="E48">
        <v>-0.57705952147640904</v>
      </c>
      <c r="F48" s="4">
        <f t="shared" si="34"/>
        <v>7203.616053042676</v>
      </c>
      <c r="G48" s="3">
        <f>(B48/B$45)*G$45</f>
        <v>19.313019800000003</v>
      </c>
      <c r="R48">
        <v>0.97</v>
      </c>
      <c r="S48">
        <v>-503.59906226222301</v>
      </c>
      <c r="T48">
        <v>27.317270000000001</v>
      </c>
      <c r="U48">
        <v>0.14607555555555601</v>
      </c>
      <c r="V48">
        <f>V$21*(R48/R$21)^3</f>
        <v>6356.7674449999995</v>
      </c>
      <c r="W48" s="3">
        <f t="shared" ref="W48:W50" si="35">V48^(1/3)</f>
        <v>18.524455065582394</v>
      </c>
      <c r="X48">
        <f>(V49-V48)/(U49-U48)*(0-U48)+V48</f>
        <v>6367.1144866603254</v>
      </c>
      <c r="Y48">
        <f>X48^(1/3)</f>
        <v>18.534500496536086</v>
      </c>
      <c r="Z48">
        <f>$J$8/(X48*(10^-24))</f>
        <v>3.0090423760026881</v>
      </c>
      <c r="AA48">
        <f>(S49-S48)/(U49-U48)*(0-U48)+S48</f>
        <v>-503.53058415322351</v>
      </c>
      <c r="AD48">
        <v>1100</v>
      </c>
      <c r="AP48">
        <v>1</v>
      </c>
      <c r="AQ48">
        <v>-504.23627526400003</v>
      </c>
      <c r="AR48">
        <v>27.34084</v>
      </c>
      <c r="AS48">
        <v>6.2997093333333396</v>
      </c>
      <c r="AT48" s="3">
        <f t="shared" ref="AT48:AT51" si="36">AU48^3</f>
        <v>6048.2969374691193</v>
      </c>
      <c r="AU48" s="3">
        <v>18.219832</v>
      </c>
    </row>
    <row r="49" spans="2:51" x14ac:dyDescent="0.2">
      <c r="G49" s="3"/>
      <c r="R49">
        <v>0.98</v>
      </c>
      <c r="S49">
        <v>-502.28447029199998</v>
      </c>
      <c r="T49">
        <v>27.270778400000001</v>
      </c>
      <c r="U49">
        <v>-2.6581746666666701</v>
      </c>
      <c r="V49">
        <f>V$21*(R49/R$21)^3</f>
        <v>6555.4022799999993</v>
      </c>
      <c r="W49" s="3">
        <f t="shared" si="35"/>
        <v>18.715428829145097</v>
      </c>
      <c r="AE49" t="s">
        <v>11</v>
      </c>
      <c r="AF49" t="s">
        <v>12</v>
      </c>
      <c r="AG49" t="s">
        <v>13</v>
      </c>
      <c r="AH49" t="s">
        <v>14</v>
      </c>
      <c r="AI49" t="s">
        <v>26</v>
      </c>
      <c r="AJ49" t="s">
        <v>54</v>
      </c>
      <c r="AL49" t="s">
        <v>16</v>
      </c>
      <c r="AM49" t="s">
        <v>17</v>
      </c>
      <c r="AP49">
        <v>1.01</v>
      </c>
      <c r="AT49" s="3">
        <f t="shared" si="36"/>
        <v>6231.5663829713721</v>
      </c>
      <c r="AU49" s="3">
        <f>(AP49/$AP$48)*$AU$48</f>
        <v>18.402030320000001</v>
      </c>
    </row>
    <row r="50" spans="2:51" x14ac:dyDescent="0.2">
      <c r="G50" s="3"/>
      <c r="R50">
        <v>0.99</v>
      </c>
      <c r="V50">
        <f>V$21*(R50/R$21)^3</f>
        <v>6758.1325349999997</v>
      </c>
      <c r="W50" s="3">
        <f t="shared" si="35"/>
        <v>18.90640259270781</v>
      </c>
      <c r="AD50">
        <v>0.98</v>
      </c>
      <c r="AE50">
        <v>-565.37021610800002</v>
      </c>
      <c r="AF50">
        <v>28.233684</v>
      </c>
      <c r="AG50">
        <v>14.040800000000001</v>
      </c>
      <c r="AH50" s="3">
        <f>AI50^3</f>
        <v>5692.6086911704369</v>
      </c>
      <c r="AI50" s="3">
        <f>(AD50/AD$28)*AI$28</f>
        <v>17.855435360000001</v>
      </c>
      <c r="AP50">
        <v>1.02</v>
      </c>
      <c r="AQ50">
        <v>-502.23594094218151</v>
      </c>
      <c r="AR50">
        <v>27.815628472035797</v>
      </c>
      <c r="AS50">
        <v>1.7484078523489899</v>
      </c>
      <c r="AT50" s="3">
        <f t="shared" si="36"/>
        <v>6418.5010964177281</v>
      </c>
      <c r="AU50" s="3">
        <f>(AP50/$AP$48)*$AU$48</f>
        <v>18.584228639999999</v>
      </c>
      <c r="AV50">
        <f>(AT51-AT50)/(AS51-AS50)*(0-AS50)+AT50</f>
        <v>6555.8529793819607</v>
      </c>
      <c r="AW50">
        <f>AV50^(1/3)</f>
        <v>18.715857729287013</v>
      </c>
      <c r="AX50">
        <f>$J$8/(AV50*(10^-24))</f>
        <v>2.922414118113382</v>
      </c>
      <c r="AY50">
        <f>(AQ51-AQ50)/(AS51-AS50)*(0-AS50)+AQ50</f>
        <v>-500.68435557368912</v>
      </c>
    </row>
    <row r="51" spans="2:51" x14ac:dyDescent="0.2">
      <c r="B51">
        <v>1100</v>
      </c>
      <c r="R51">
        <v>1</v>
      </c>
      <c r="S51">
        <v>-498.86186859466699</v>
      </c>
      <c r="T51">
        <v>27.897134933333302</v>
      </c>
      <c r="U51">
        <v>-4.1685333333333299</v>
      </c>
      <c r="V51">
        <v>6965</v>
      </c>
      <c r="W51" s="3">
        <f>V51^(1/3)</f>
        <v>19.097376356270509</v>
      </c>
      <c r="AD51">
        <v>1</v>
      </c>
      <c r="AE51">
        <v>-564.93119006799998</v>
      </c>
      <c r="AF51">
        <v>27.983118000000001</v>
      </c>
      <c r="AG51">
        <v>6.9334599999999904</v>
      </c>
      <c r="AH51" s="3">
        <f t="shared" ref="AH51:AH52" si="37">AI51^3</f>
        <v>6048.2969374691193</v>
      </c>
      <c r="AI51" s="3">
        <v>18.219832</v>
      </c>
      <c r="AP51">
        <v>1.03</v>
      </c>
      <c r="AQ51">
        <v>-500.08243243053198</v>
      </c>
      <c r="AR51">
        <v>27.786320172191498</v>
      </c>
      <c r="AS51">
        <v>-0.67827859902358301</v>
      </c>
      <c r="AT51" s="3">
        <f t="shared" si="36"/>
        <v>6609.1373675898185</v>
      </c>
      <c r="AU51" s="3">
        <f>(AP51/$AP$48)*$AU$48</f>
        <v>18.76642696</v>
      </c>
    </row>
    <row r="52" spans="2:51" x14ac:dyDescent="0.2">
      <c r="C52" t="s">
        <v>11</v>
      </c>
      <c r="D52" t="s">
        <v>12</v>
      </c>
      <c r="E52" t="s">
        <v>13</v>
      </c>
      <c r="F52" t="s">
        <v>14</v>
      </c>
      <c r="G52" t="s">
        <v>26</v>
      </c>
      <c r="H52" t="s">
        <v>54</v>
      </c>
      <c r="J52" t="s">
        <v>16</v>
      </c>
      <c r="K52" t="s">
        <v>17</v>
      </c>
      <c r="V52">
        <f>V$21*(R52/R$21)^3</f>
        <v>0</v>
      </c>
      <c r="W52" s="3">
        <f t="shared" ref="W52" si="38">V52^(1/3)</f>
        <v>0</v>
      </c>
      <c r="AD52">
        <v>1.02</v>
      </c>
      <c r="AE52">
        <v>-563.36577621200001</v>
      </c>
      <c r="AF52">
        <v>27.1395184</v>
      </c>
      <c r="AG52">
        <v>0.88539999999999996</v>
      </c>
      <c r="AH52" s="3">
        <f t="shared" si="37"/>
        <v>6418.5010964177281</v>
      </c>
      <c r="AI52" s="3">
        <f>(AD52/AD$28)*AI$28</f>
        <v>18.584228639999999</v>
      </c>
      <c r="AJ52">
        <f>(AH53-AH52)/(AG53-AG52)*(0-AG52)+AH52</f>
        <v>6546.4520796828128</v>
      </c>
      <c r="AK52">
        <f>AJ52^(1/3)</f>
        <v>18.706907453895795</v>
      </c>
      <c r="AL52">
        <f>$J$8/(AJ52*(10^-24))</f>
        <v>2.9266107916197877</v>
      </c>
      <c r="AM52">
        <f>(AE53-AE52)/(AG53-AG52)*(0-AG52)+AE52</f>
        <v>-562.18958353467372</v>
      </c>
    </row>
    <row r="53" spans="2:51" x14ac:dyDescent="0.2">
      <c r="B53">
        <v>0.98</v>
      </c>
      <c r="C53">
        <v>-516.81268480266601</v>
      </c>
      <c r="D53">
        <v>27.461838933333301</v>
      </c>
      <c r="E53">
        <v>13.41676</v>
      </c>
      <c r="F53" s="4">
        <f>G53^3</f>
        <v>5692.6068165291999</v>
      </c>
      <c r="G53" s="3">
        <f>(B53/B$45)*G$45</f>
        <v>17.855433400000003</v>
      </c>
      <c r="W53" s="3"/>
      <c r="AD53">
        <v>1.03</v>
      </c>
      <c r="AE53">
        <v>-561.61334742666702</v>
      </c>
      <c r="AF53">
        <v>27.862015599999999</v>
      </c>
      <c r="AG53">
        <v>-0.43377200000000099</v>
      </c>
      <c r="AH53" s="3">
        <f t="shared" ref="AH53" si="39">AI53^3</f>
        <v>6609.1373675898185</v>
      </c>
      <c r="AI53" s="3">
        <f>(AD53/AD$28)*AI$28</f>
        <v>18.76642696</v>
      </c>
    </row>
    <row r="54" spans="2:51" x14ac:dyDescent="0.2">
      <c r="B54">
        <v>1</v>
      </c>
      <c r="C54">
        <v>-515.23186361199998</v>
      </c>
      <c r="D54">
        <v>27.2699088</v>
      </c>
      <c r="E54">
        <v>6.2585906666666604</v>
      </c>
      <c r="F54" s="4">
        <f t="shared" ref="F54:F56" si="40">G54^3</f>
        <v>6048.2949456956712</v>
      </c>
      <c r="G54" s="3">
        <v>18.219830000000002</v>
      </c>
      <c r="AI54" s="3"/>
    </row>
    <row r="55" spans="2:51" x14ac:dyDescent="0.2">
      <c r="B55">
        <v>1.02</v>
      </c>
      <c r="C55">
        <v>-512.32122844133301</v>
      </c>
      <c r="D55">
        <v>27.852360399999998</v>
      </c>
      <c r="E55">
        <v>1.3758853333333301</v>
      </c>
      <c r="F55" s="4">
        <f t="shared" si="40"/>
        <v>6418.4989827318104</v>
      </c>
      <c r="G55" s="3">
        <f>(B55/B$45)*G$45</f>
        <v>18.584226600000001</v>
      </c>
      <c r="H55">
        <f>(F56-F55)/(E56-E55)*(0-E55)+F55</f>
        <v>6577.2648047383482</v>
      </c>
      <c r="I55">
        <f>H55^(1/3)</f>
        <v>18.736211306815143</v>
      </c>
      <c r="J55">
        <f>$J$8/(H55*(10^-24))</f>
        <v>2.9129004034350547</v>
      </c>
      <c r="K55">
        <f>(C56-C55)/(E56-E55)*(0-E55)+C55</f>
        <v>-511.16866963677165</v>
      </c>
      <c r="R55" t="s">
        <v>83</v>
      </c>
      <c r="AI55" s="3"/>
    </row>
    <row r="56" spans="2:51" x14ac:dyDescent="0.2">
      <c r="B56">
        <v>1.03</v>
      </c>
      <c r="C56">
        <v>-510.93730690409598</v>
      </c>
      <c r="D56">
        <v>27.742612687366702</v>
      </c>
      <c r="E56">
        <v>-0.276192927691437</v>
      </c>
      <c r="F56" s="4">
        <f t="shared" si="40"/>
        <v>6609.1351911251913</v>
      </c>
      <c r="G56" s="3">
        <f>(B56/B$45)*G$45</f>
        <v>18.766424900000001</v>
      </c>
      <c r="AI56" s="3"/>
    </row>
    <row r="57" spans="2:51" x14ac:dyDescent="0.2">
      <c r="B57">
        <v>1.04</v>
      </c>
      <c r="C57">
        <v>-510.65496326666602</v>
      </c>
      <c r="D57">
        <v>27.371137999999998</v>
      </c>
      <c r="E57">
        <v>-2.2476799999999999</v>
      </c>
      <c r="F57" s="4">
        <f t="shared" ref="F57" si="41">G57^3</f>
        <v>6803.5092457950177</v>
      </c>
      <c r="G57" s="3">
        <f>(B57/B$45)*G$45</f>
        <v>18.948623200000004</v>
      </c>
      <c r="R57">
        <v>1400</v>
      </c>
    </row>
    <row r="58" spans="2:51" ht="17" thickBot="1" x14ac:dyDescent="0.25">
      <c r="S58" t="s">
        <v>11</v>
      </c>
      <c r="T58" t="s">
        <v>12</v>
      </c>
      <c r="U58" t="s">
        <v>13</v>
      </c>
      <c r="V58" t="s">
        <v>14</v>
      </c>
      <c r="W58" t="s">
        <v>26</v>
      </c>
      <c r="X58" t="s">
        <v>54</v>
      </c>
      <c r="Z58" t="s">
        <v>16</v>
      </c>
      <c r="AA58" t="s">
        <v>17</v>
      </c>
    </row>
    <row r="59" spans="2:51" ht="17" thickBot="1" x14ac:dyDescent="0.25">
      <c r="L59" s="17"/>
      <c r="M59" s="18"/>
      <c r="R59">
        <v>0.96</v>
      </c>
      <c r="V59" s="3">
        <f>W59^3</f>
        <v>5351.1460392686777</v>
      </c>
      <c r="W59" s="3">
        <f>(R59/R$60)*W$60</f>
        <v>17.491038719999999</v>
      </c>
    </row>
    <row r="60" spans="2:51" x14ac:dyDescent="0.2">
      <c r="B60" s="16"/>
      <c r="C60" s="17"/>
      <c r="D60" s="17"/>
      <c r="E60" s="17"/>
      <c r="F60" s="17"/>
      <c r="G60" s="17"/>
      <c r="H60" s="17"/>
      <c r="I60" s="17"/>
      <c r="J60" s="17"/>
      <c r="K60" s="17"/>
      <c r="L60" s="26" t="s">
        <v>58</v>
      </c>
      <c r="M60" s="21"/>
      <c r="R60">
        <v>1</v>
      </c>
      <c r="V60" s="3">
        <f t="shared" ref="V60:V61" si="42">W60^3</f>
        <v>6048.2969374691193</v>
      </c>
      <c r="W60" s="3">
        <v>18.219832</v>
      </c>
    </row>
    <row r="61" spans="2:51" x14ac:dyDescent="0.2">
      <c r="B61" s="19"/>
      <c r="C61" s="20"/>
      <c r="D61" s="20" t="s">
        <v>101</v>
      </c>
      <c r="E61" s="20" t="s">
        <v>99</v>
      </c>
      <c r="F61" s="20" t="s">
        <v>100</v>
      </c>
      <c r="G61" s="22" t="s">
        <v>118</v>
      </c>
      <c r="H61" s="20" t="s">
        <v>119</v>
      </c>
      <c r="I61" s="20" t="s">
        <v>120</v>
      </c>
      <c r="J61" s="20" t="s">
        <v>121</v>
      </c>
      <c r="K61" s="20" t="s">
        <v>122</v>
      </c>
      <c r="L61" s="20">
        <v>2.1446668965517239</v>
      </c>
      <c r="M61" s="21"/>
      <c r="O61" s="8">
        <f>MAX(D62:K62)-MIN(D62:K62)</f>
        <v>9.7255185111031484E-2</v>
      </c>
      <c r="P61" s="12">
        <f>O61/D62</f>
        <v>3.4936046567238629E-2</v>
      </c>
      <c r="R61">
        <v>1.04</v>
      </c>
      <c r="V61" s="3">
        <f t="shared" si="42"/>
        <v>6803.5114862692653</v>
      </c>
      <c r="W61" s="3">
        <f>(R61/R$60)*W$60</f>
        <v>18.948625280000002</v>
      </c>
    </row>
    <row r="62" spans="2:51" x14ac:dyDescent="0.2">
      <c r="B62" s="19"/>
      <c r="C62" s="20">
        <v>1400</v>
      </c>
      <c r="D62" s="29">
        <v>2.7838062593559969</v>
      </c>
      <c r="E62" s="29">
        <v>2.7659426145492829</v>
      </c>
      <c r="F62" s="29">
        <v>2.8198524997652195</v>
      </c>
      <c r="G62" s="29">
        <v>2.7233666586744576</v>
      </c>
      <c r="H62" s="8">
        <v>2.722597314654188</v>
      </c>
      <c r="I62" s="8">
        <v>2.7369881861745031</v>
      </c>
      <c r="J62" s="29">
        <v>2.7983475752220062</v>
      </c>
      <c r="K62" s="8">
        <v>2.7457622592527628</v>
      </c>
      <c r="L62" s="20">
        <v>2.743238275862069</v>
      </c>
      <c r="M62" s="21"/>
      <c r="O62" s="8">
        <f>MAX(D63:K63)-MIN(D63:K63)</f>
        <v>0.10078142643782106</v>
      </c>
      <c r="P62" s="12">
        <f>O62/D63</f>
        <v>3.3706621038922385E-2</v>
      </c>
      <c r="W62" s="3"/>
    </row>
    <row r="63" spans="2:51" x14ac:dyDescent="0.2">
      <c r="B63" s="19"/>
      <c r="C63" s="20">
        <v>1100</v>
      </c>
      <c r="D63" s="29">
        <v>2.9899593412654659</v>
      </c>
      <c r="E63" s="29">
        <v>2.9530960312475609</v>
      </c>
      <c r="F63" s="29">
        <v>2.9935667658944904</v>
      </c>
      <c r="G63" s="29">
        <v>2.9129004034350547</v>
      </c>
      <c r="H63" s="8">
        <v>2.8927853394566694</v>
      </c>
      <c r="I63" s="8">
        <v>2.922414118113382</v>
      </c>
      <c r="J63" s="29">
        <v>2.9736472029438414</v>
      </c>
      <c r="K63" s="8">
        <v>2.9266107916197877</v>
      </c>
      <c r="L63" s="20"/>
      <c r="M63" s="21"/>
      <c r="W63" s="3"/>
    </row>
    <row r="64" spans="2:51" x14ac:dyDescent="0.2"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6" t="s">
        <v>125</v>
      </c>
      <c r="M64" s="21" t="s">
        <v>100</v>
      </c>
      <c r="W64" s="3"/>
    </row>
    <row r="65" spans="2:27" x14ac:dyDescent="0.2">
      <c r="B65" s="19"/>
      <c r="C65" s="20"/>
      <c r="D65" s="20" t="s">
        <v>101</v>
      </c>
      <c r="E65" s="22" t="s">
        <v>118</v>
      </c>
      <c r="F65" s="20" t="s">
        <v>121</v>
      </c>
      <c r="G65" s="20" t="s">
        <v>122</v>
      </c>
      <c r="H65" s="20"/>
      <c r="I65" s="20" t="s">
        <v>101</v>
      </c>
      <c r="J65" s="20" t="s">
        <v>99</v>
      </c>
      <c r="K65" s="26" t="s">
        <v>124</v>
      </c>
      <c r="L65" s="20"/>
      <c r="M65" s="21">
        <v>2.8198524997652195</v>
      </c>
      <c r="W65" s="3"/>
    </row>
    <row r="66" spans="2:27" x14ac:dyDescent="0.2">
      <c r="B66" s="19"/>
      <c r="C66" s="20">
        <v>1400</v>
      </c>
      <c r="D66" s="20">
        <v>2.7838062593559969</v>
      </c>
      <c r="E66" s="20">
        <v>2.7233666586744576</v>
      </c>
      <c r="F66" s="20">
        <v>2.7983475752220062</v>
      </c>
      <c r="G66">
        <v>2.7457622592527628</v>
      </c>
      <c r="H66" s="20">
        <v>1400</v>
      </c>
      <c r="I66" s="20">
        <v>2.7838062593559969</v>
      </c>
      <c r="J66" s="20">
        <v>2.7659426145492829</v>
      </c>
      <c r="K66">
        <v>2.8071041756568049</v>
      </c>
      <c r="L66" s="20"/>
      <c r="M66" s="21">
        <v>2.9935667658944904</v>
      </c>
      <c r="R66">
        <v>1100</v>
      </c>
    </row>
    <row r="67" spans="2:27" ht="17" thickBot="1" x14ac:dyDescent="0.25">
      <c r="B67" s="19"/>
      <c r="C67" s="20">
        <v>1100</v>
      </c>
      <c r="D67" s="20">
        <v>2.9899593412654659</v>
      </c>
      <c r="E67" s="20">
        <v>2.9129004034350547</v>
      </c>
      <c r="F67" s="20">
        <v>2.9736472029438414</v>
      </c>
      <c r="G67">
        <v>2.9266107916197877</v>
      </c>
      <c r="H67" s="20">
        <v>1100</v>
      </c>
      <c r="I67" s="20">
        <v>2.9899593412654659</v>
      </c>
      <c r="J67" s="20">
        <v>2.9530960312475609</v>
      </c>
      <c r="K67">
        <v>3.0090423760026881</v>
      </c>
      <c r="L67" s="24"/>
      <c r="M67" s="25"/>
      <c r="S67" t="s">
        <v>11</v>
      </c>
      <c r="T67" t="s">
        <v>12</v>
      </c>
      <c r="U67" t="s">
        <v>13</v>
      </c>
      <c r="V67" t="s">
        <v>14</v>
      </c>
      <c r="W67" t="s">
        <v>26</v>
      </c>
      <c r="X67" t="s">
        <v>54</v>
      </c>
      <c r="Z67" t="s">
        <v>16</v>
      </c>
      <c r="AA67" t="s">
        <v>17</v>
      </c>
    </row>
    <row r="68" spans="2:27" ht="17" thickBot="1" x14ac:dyDescent="0.25">
      <c r="B68" s="23"/>
      <c r="C68" s="24"/>
      <c r="D68" s="24"/>
      <c r="E68" s="24"/>
      <c r="F68" s="24"/>
      <c r="G68" s="24"/>
      <c r="H68" s="24"/>
      <c r="I68" s="24"/>
      <c r="J68" s="24"/>
      <c r="K68" s="24"/>
      <c r="R68">
        <v>0.96</v>
      </c>
      <c r="V68" s="3">
        <f>W68^3</f>
        <v>5351.1460392686777</v>
      </c>
      <c r="W68" s="3">
        <f>(R68/R$60)*W$60</f>
        <v>17.491038719999999</v>
      </c>
    </row>
    <row r="69" spans="2:27" x14ac:dyDescent="0.2">
      <c r="R69">
        <v>1</v>
      </c>
      <c r="V69" s="3">
        <f t="shared" ref="V69:V70" si="43">W69^3</f>
        <v>6048.2969374691193</v>
      </c>
      <c r="W69" s="3">
        <v>18.219832</v>
      </c>
    </row>
    <row r="70" spans="2:27" x14ac:dyDescent="0.2">
      <c r="R70">
        <v>1.04</v>
      </c>
      <c r="V70" s="3">
        <f t="shared" si="43"/>
        <v>6803.5114862692653</v>
      </c>
      <c r="W70" s="3">
        <f>(R70/R$60)*W$60</f>
        <v>18.948625280000002</v>
      </c>
    </row>
    <row r="71" spans="2:27" x14ac:dyDescent="0.2">
      <c r="L71" s="20"/>
      <c r="W71" s="3"/>
    </row>
    <row r="72" spans="2:27" x14ac:dyDescent="0.2">
      <c r="L72" s="20"/>
      <c r="W72" s="3"/>
    </row>
    <row r="73" spans="2:27" x14ac:dyDescent="0.2">
      <c r="G73" s="3"/>
      <c r="W73" s="3"/>
    </row>
    <row r="74" spans="2:27" x14ac:dyDescent="0.2">
      <c r="G74" s="3"/>
    </row>
    <row r="75" spans="2:27" x14ac:dyDescent="0.2">
      <c r="G75" s="3"/>
    </row>
    <row r="76" spans="2:27" x14ac:dyDescent="0.2">
      <c r="G76" s="3"/>
      <c r="R76" t="s">
        <v>84</v>
      </c>
    </row>
    <row r="77" spans="2:27" x14ac:dyDescent="0.2">
      <c r="G77" s="3"/>
    </row>
    <row r="78" spans="2:27" x14ac:dyDescent="0.2">
      <c r="R78">
        <v>1400</v>
      </c>
    </row>
    <row r="79" spans="2:27" x14ac:dyDescent="0.2">
      <c r="S79" t="s">
        <v>11</v>
      </c>
      <c r="T79" t="s">
        <v>12</v>
      </c>
      <c r="U79" t="s">
        <v>13</v>
      </c>
      <c r="V79" t="s">
        <v>14</v>
      </c>
      <c r="W79" t="s">
        <v>26</v>
      </c>
      <c r="X79" t="s">
        <v>54</v>
      </c>
      <c r="Y79" t="s">
        <v>26</v>
      </c>
      <c r="Z79" t="s">
        <v>16</v>
      </c>
      <c r="AA79" t="s">
        <v>17</v>
      </c>
    </row>
    <row r="80" spans="2:27" x14ac:dyDescent="0.2">
      <c r="R80">
        <v>0.98</v>
      </c>
      <c r="S80">
        <v>-493.95866695199999</v>
      </c>
      <c r="T80">
        <v>35.2230512</v>
      </c>
      <c r="U80">
        <v>18.198665333333299</v>
      </c>
      <c r="V80" s="3">
        <f>W80^3</f>
        <v>5692.6086911704369</v>
      </c>
      <c r="W80" s="3">
        <f>(R80/R$81)*W$81</f>
        <v>17.855435360000001</v>
      </c>
    </row>
    <row r="81" spans="7:27" x14ac:dyDescent="0.2">
      <c r="R81">
        <v>1</v>
      </c>
      <c r="S81">
        <v>-492.10945077999997</v>
      </c>
      <c r="T81">
        <v>35.543500133333303</v>
      </c>
      <c r="U81">
        <v>10.1999293333333</v>
      </c>
      <c r="V81" s="3">
        <f t="shared" ref="V81:V84" si="44">W81^3</f>
        <v>6048.2969374691193</v>
      </c>
      <c r="W81" s="3">
        <v>18.219832</v>
      </c>
    </row>
    <row r="82" spans="7:27" x14ac:dyDescent="0.2">
      <c r="R82">
        <v>1.02</v>
      </c>
      <c r="S82">
        <v>-490.44981978933299</v>
      </c>
      <c r="T82">
        <v>35.559509333333402</v>
      </c>
      <c r="U82">
        <v>4.1346146666666597</v>
      </c>
      <c r="V82" s="3">
        <f t="shared" si="44"/>
        <v>6418.5010964177281</v>
      </c>
      <c r="W82" s="3">
        <f>(R82/R$81)*W$81</f>
        <v>18.584228639999999</v>
      </c>
    </row>
    <row r="83" spans="7:27" x14ac:dyDescent="0.2">
      <c r="G83" s="3"/>
      <c r="R83">
        <v>1.03</v>
      </c>
      <c r="S83">
        <v>-488.98125591466697</v>
      </c>
      <c r="T83">
        <v>35.320797466666598</v>
      </c>
      <c r="U83">
        <v>2.22106</v>
      </c>
      <c r="V83" s="3">
        <f t="shared" si="44"/>
        <v>6609.1373675898185</v>
      </c>
      <c r="W83" s="3">
        <f t="shared" ref="W83:W85" si="45">(R83/R$81)*W$81</f>
        <v>18.76642696</v>
      </c>
      <c r="X83">
        <f>(V84-V83)/(U84-U83)*(0-U83)+V83</f>
        <v>6794.2976821719185</v>
      </c>
      <c r="Y83">
        <f>X83^(1/3)</f>
        <v>18.940067552392822</v>
      </c>
      <c r="Z83">
        <f>$J$8/(X83*(10^-24))</f>
        <v>2.8198524997652195</v>
      </c>
      <c r="AA83">
        <f>(S84-S83)/(U84-U83)*(0-U83)+S83</f>
        <v>-486.66955409213693</v>
      </c>
    </row>
    <row r="84" spans="7:27" x14ac:dyDescent="0.2">
      <c r="G84" s="3"/>
      <c r="R84">
        <v>1.04</v>
      </c>
      <c r="S84">
        <v>-486.55452097733399</v>
      </c>
      <c r="T84">
        <v>35.551005866666699</v>
      </c>
      <c r="U84">
        <v>-0.110522666666667</v>
      </c>
      <c r="V84" s="3">
        <f t="shared" si="44"/>
        <v>6803.5114862692653</v>
      </c>
      <c r="W84" s="3">
        <f t="shared" si="45"/>
        <v>18.948625280000002</v>
      </c>
    </row>
    <row r="85" spans="7:27" x14ac:dyDescent="0.2">
      <c r="G85" s="3"/>
      <c r="R85">
        <v>1.05</v>
      </c>
      <c r="W85" s="3">
        <f t="shared" si="45"/>
        <v>19.130823599999999</v>
      </c>
    </row>
    <row r="86" spans="7:27" x14ac:dyDescent="0.2">
      <c r="G86" s="3"/>
    </row>
    <row r="87" spans="7:27" x14ac:dyDescent="0.2">
      <c r="G87" s="3"/>
      <c r="R87">
        <v>1100</v>
      </c>
    </row>
    <row r="88" spans="7:27" x14ac:dyDescent="0.2">
      <c r="S88" t="s">
        <v>11</v>
      </c>
      <c r="T88" t="s">
        <v>12</v>
      </c>
      <c r="U88" t="s">
        <v>13</v>
      </c>
      <c r="V88" t="s">
        <v>14</v>
      </c>
      <c r="W88" t="s">
        <v>26</v>
      </c>
      <c r="X88" t="s">
        <v>54</v>
      </c>
      <c r="Z88" t="s">
        <v>16</v>
      </c>
      <c r="AA88" t="s">
        <v>17</v>
      </c>
    </row>
    <row r="89" spans="7:27" x14ac:dyDescent="0.2">
      <c r="R89">
        <v>0.98</v>
      </c>
      <c r="S89">
        <v>-502.57792260933297</v>
      </c>
      <c r="T89">
        <v>27.854562399999999</v>
      </c>
      <c r="U89">
        <v>12.9007506666666</v>
      </c>
      <c r="V89" s="3">
        <f>W89^3</f>
        <v>5692.6086911704369</v>
      </c>
      <c r="W89" s="3">
        <f>(R89/R$90)*W$90</f>
        <v>17.855435360000001</v>
      </c>
    </row>
    <row r="90" spans="7:27" x14ac:dyDescent="0.2">
      <c r="R90">
        <v>1</v>
      </c>
      <c r="S90">
        <v>-501.69029219999999</v>
      </c>
      <c r="T90">
        <v>28.009021166666674</v>
      </c>
      <c r="U90">
        <v>4.9819066666666671</v>
      </c>
      <c r="V90" s="3">
        <f t="shared" ref="V90:V93" si="46">W90^3</f>
        <v>6048.2969374691193</v>
      </c>
      <c r="W90" s="3">
        <v>18.219832</v>
      </c>
    </row>
    <row r="91" spans="7:27" x14ac:dyDescent="0.2">
      <c r="R91">
        <v>1.01</v>
      </c>
      <c r="S91">
        <v>-499.62430894400001</v>
      </c>
      <c r="T91">
        <v>27.808294</v>
      </c>
      <c r="U91">
        <v>1.95092</v>
      </c>
      <c r="V91" s="3">
        <f t="shared" si="46"/>
        <v>6231.5663829713721</v>
      </c>
      <c r="W91" s="3">
        <f>(R91/R$90)*W$90</f>
        <v>18.402030320000001</v>
      </c>
      <c r="X91">
        <f>(V92-V91)/(U92-U91)*(0-U91)+V91</f>
        <v>6400.0300649705923</v>
      </c>
      <c r="Y91">
        <f>X91^(1/3)</f>
        <v>18.566384407162207</v>
      </c>
      <c r="Z91">
        <f>$J$8/(X91*(10^-24))</f>
        <v>2.9935667658944904</v>
      </c>
      <c r="AA91">
        <f>(S92-S91)/(U92-U91)*(0-U91)+S91</f>
        <v>-498.15819731667597</v>
      </c>
    </row>
    <row r="92" spans="7:27" x14ac:dyDescent="0.2">
      <c r="R92">
        <v>1.02</v>
      </c>
      <c r="S92">
        <v>-497.99744697777834</v>
      </c>
      <c r="T92">
        <v>27.942814222222236</v>
      </c>
      <c r="U92">
        <v>-0.21390666666666699</v>
      </c>
      <c r="V92" s="3">
        <f t="shared" si="46"/>
        <v>6418.5010964177281</v>
      </c>
      <c r="W92" s="3">
        <f>(R92/R$90)*W$90</f>
        <v>18.584228639999999</v>
      </c>
    </row>
    <row r="93" spans="7:27" x14ac:dyDescent="0.2">
      <c r="G93" s="3"/>
      <c r="R93">
        <v>1.03</v>
      </c>
      <c r="V93" s="3">
        <f t="shared" si="46"/>
        <v>6609.1373675898185</v>
      </c>
      <c r="W93" s="3">
        <f>(R93/R$90)*W$90</f>
        <v>18.76642696</v>
      </c>
    </row>
    <row r="94" spans="7:27" x14ac:dyDescent="0.2">
      <c r="G94" s="3"/>
      <c r="W94" s="3"/>
    </row>
    <row r="95" spans="7:27" x14ac:dyDescent="0.2">
      <c r="G95" s="3"/>
    </row>
    <row r="96" spans="7:27" x14ac:dyDescent="0.2">
      <c r="G96" s="3"/>
    </row>
    <row r="97" spans="7:27" x14ac:dyDescent="0.2">
      <c r="G97" s="3"/>
    </row>
    <row r="98" spans="7:27" x14ac:dyDescent="0.2">
      <c r="R98" t="s">
        <v>85</v>
      </c>
    </row>
    <row r="100" spans="7:27" x14ac:dyDescent="0.2">
      <c r="R100">
        <v>1400</v>
      </c>
    </row>
    <row r="101" spans="7:27" x14ac:dyDescent="0.2">
      <c r="S101" t="s">
        <v>11</v>
      </c>
      <c r="T101" t="s">
        <v>12</v>
      </c>
      <c r="U101" t="s">
        <v>13</v>
      </c>
      <c r="V101" t="s">
        <v>14</v>
      </c>
      <c r="W101" t="s">
        <v>26</v>
      </c>
      <c r="X101" t="s">
        <v>54</v>
      </c>
      <c r="Z101" t="s">
        <v>16</v>
      </c>
      <c r="AA101" t="s">
        <v>17</v>
      </c>
    </row>
    <row r="102" spans="7:27" x14ac:dyDescent="0.2">
      <c r="R102">
        <v>0.96</v>
      </c>
      <c r="V102">
        <f>V$21*(R102/R$21)^3</f>
        <v>6162.18624</v>
      </c>
      <c r="W102" s="3">
        <f>V102^(1/3)</f>
        <v>18.333481302019688</v>
      </c>
    </row>
    <row r="103" spans="7:27" x14ac:dyDescent="0.2">
      <c r="G103" s="3"/>
      <c r="R103">
        <v>0.97</v>
      </c>
      <c r="V103">
        <f>V$21*(R103/R$21)^3</f>
        <v>6356.7674449999995</v>
      </c>
      <c r="W103" s="3">
        <f t="shared" ref="W103:W105" si="47">V103^(1/3)</f>
        <v>18.524455065582394</v>
      </c>
    </row>
    <row r="104" spans="7:27" x14ac:dyDescent="0.2">
      <c r="G104" s="3"/>
      <c r="R104">
        <v>0.98</v>
      </c>
      <c r="V104">
        <f>V$21*(R104/R$21)^3</f>
        <v>6555.4022799999993</v>
      </c>
      <c r="W104" s="3">
        <f t="shared" si="47"/>
        <v>18.715428829145097</v>
      </c>
    </row>
    <row r="105" spans="7:27" x14ac:dyDescent="0.2">
      <c r="G105" s="3"/>
      <c r="R105">
        <v>0.99</v>
      </c>
      <c r="V105">
        <f>V$21*(R105/R$21)^3</f>
        <v>6758.1325349999997</v>
      </c>
      <c r="W105" s="3">
        <f t="shared" si="47"/>
        <v>18.90640259270781</v>
      </c>
    </row>
    <row r="106" spans="7:27" x14ac:dyDescent="0.2">
      <c r="G106" s="3"/>
      <c r="R106">
        <v>1</v>
      </c>
      <c r="V106">
        <v>6965</v>
      </c>
      <c r="W106" s="3">
        <f>V106^(1/3)</f>
        <v>19.097376356270509</v>
      </c>
      <c r="X106" t="e">
        <f>(V107-V106)/(U107-U106)*(0-U106)+V106</f>
        <v>#DIV/0!</v>
      </c>
      <c r="Z106" t="e">
        <f>$J$8/(X106*(10^-24))</f>
        <v>#DIV/0!</v>
      </c>
      <c r="AA106" t="e">
        <f>(S107-S106)/(U107-U106)*(0-U106)+S106</f>
        <v>#DIV/0!</v>
      </c>
    </row>
    <row r="107" spans="7:27" x14ac:dyDescent="0.2">
      <c r="G107" s="3"/>
      <c r="R107">
        <v>1.01</v>
      </c>
      <c r="V107">
        <f>V$21*(R107/R$21)^3</f>
        <v>7176.0464649999994</v>
      </c>
      <c r="W107" s="3">
        <f t="shared" ref="W107" si="48">V107^(1/3)</f>
        <v>19.288350119833218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83B1-53D2-524E-A7C9-0B4373DE867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2F6E-3B08-2244-BB35-0270DFF58379}">
  <dimension ref="B2:X44"/>
  <sheetViews>
    <sheetView topLeftCell="K14" workbookViewId="0">
      <selection activeCell="U21" sqref="U21"/>
    </sheetView>
  </sheetViews>
  <sheetFormatPr baseColWidth="10" defaultRowHeight="16" x14ac:dyDescent="0.2"/>
  <cols>
    <col min="14" max="14" width="10.83203125" style="12"/>
  </cols>
  <sheetData>
    <row r="2" spans="2:24" x14ac:dyDescent="0.2">
      <c r="B2" t="s">
        <v>22</v>
      </c>
      <c r="D2" t="s">
        <v>0</v>
      </c>
      <c r="E2" t="s">
        <v>3</v>
      </c>
      <c r="F2" t="s">
        <v>1</v>
      </c>
      <c r="G2" t="s">
        <v>2</v>
      </c>
      <c r="H2" t="s">
        <v>21</v>
      </c>
      <c r="I2" t="s">
        <v>8</v>
      </c>
      <c r="J2" t="s">
        <v>9</v>
      </c>
    </row>
    <row r="3" spans="2:24" x14ac:dyDescent="0.2">
      <c r="B3">
        <v>0.66666666666666663</v>
      </c>
      <c r="D3">
        <v>20</v>
      </c>
      <c r="E3">
        <v>40</v>
      </c>
      <c r="F3">
        <v>140</v>
      </c>
      <c r="G3">
        <v>200</v>
      </c>
      <c r="H3">
        <v>249.16666666666666</v>
      </c>
      <c r="I3">
        <v>9.9634672866157424E-23</v>
      </c>
      <c r="J3">
        <v>2.4825639322484223E-20</v>
      </c>
    </row>
    <row r="5" spans="2:24" x14ac:dyDescent="0.2">
      <c r="P5" t="s">
        <v>79</v>
      </c>
    </row>
    <row r="8" spans="2:24" x14ac:dyDescent="0.2">
      <c r="B8">
        <v>1400</v>
      </c>
      <c r="P8">
        <v>1400</v>
      </c>
    </row>
    <row r="9" spans="2:24" x14ac:dyDescent="0.2">
      <c r="C9" t="s">
        <v>11</v>
      </c>
      <c r="D9" t="s">
        <v>12</v>
      </c>
      <c r="E9" t="s">
        <v>13</v>
      </c>
      <c r="F9" t="s">
        <v>14</v>
      </c>
      <c r="G9" t="s">
        <v>26</v>
      </c>
      <c r="H9" t="s">
        <v>15</v>
      </c>
      <c r="I9" t="s">
        <v>16</v>
      </c>
      <c r="J9" t="s">
        <v>17</v>
      </c>
      <c r="Q9" t="s">
        <v>11</v>
      </c>
      <c r="R9" t="s">
        <v>12</v>
      </c>
      <c r="S9" t="s">
        <v>13</v>
      </c>
      <c r="T9" t="s">
        <v>14</v>
      </c>
      <c r="U9" t="s">
        <v>26</v>
      </c>
      <c r="V9" t="s">
        <v>15</v>
      </c>
      <c r="W9" t="s">
        <v>16</v>
      </c>
      <c r="X9" t="s">
        <v>17</v>
      </c>
    </row>
    <row r="10" spans="2:24" x14ac:dyDescent="0.2">
      <c r="B10">
        <v>0.96</v>
      </c>
      <c r="F10">
        <f>F$11*(B10/B$11)^3</f>
        <v>5351.1487488000002</v>
      </c>
      <c r="G10">
        <f>(B10/B$11)*G$11</f>
        <v>17.491038719999999</v>
      </c>
      <c r="P10">
        <v>0.96</v>
      </c>
      <c r="Q10">
        <v>-626.03809982625</v>
      </c>
      <c r="R10">
        <v>35.424891911818598</v>
      </c>
      <c r="S10">
        <v>40.565777420163997</v>
      </c>
      <c r="T10">
        <v>5351.15</v>
      </c>
      <c r="U10">
        <f>T10^(1/3)</f>
        <v>17.491043035417494</v>
      </c>
    </row>
    <row r="11" spans="2:24" x14ac:dyDescent="0.2">
      <c r="B11">
        <v>1</v>
      </c>
      <c r="F11">
        <v>6048.3</v>
      </c>
      <c r="G11">
        <v>18.219832</v>
      </c>
      <c r="P11">
        <v>0.98</v>
      </c>
      <c r="Q11">
        <v>-629.98168650000002</v>
      </c>
      <c r="R11">
        <v>35.170108266666702</v>
      </c>
      <c r="S11">
        <v>23.8322826666667</v>
      </c>
      <c r="T11">
        <f>T$10*(P11/P$10)^3</f>
        <v>5692.6129046404776</v>
      </c>
      <c r="U11">
        <f t="shared" ref="U11:U14" si="0">T11^(1/3)</f>
        <v>17.855439765322025</v>
      </c>
    </row>
    <row r="12" spans="2:24" x14ac:dyDescent="0.2">
      <c r="B12">
        <v>1.04</v>
      </c>
      <c r="G12">
        <f>(B12/B$11)*G$11</f>
        <v>18.948625280000002</v>
      </c>
      <c r="P12">
        <v>1</v>
      </c>
      <c r="Q12">
        <v>-629.12977657777765</v>
      </c>
      <c r="R12">
        <v>34.879874888888899</v>
      </c>
      <c r="S12">
        <v>12.90278</v>
      </c>
      <c r="T12">
        <f>T$10*(P12/P$10)^3</f>
        <v>6048.301414207177</v>
      </c>
      <c r="U12">
        <f t="shared" si="0"/>
        <v>18.219836495226556</v>
      </c>
      <c r="V12">
        <f>(T13-T12)/(S13-S12)*(0-S12)+T12</f>
        <v>6418.5058471679686</v>
      </c>
      <c r="W12">
        <f>$J$3/(V12*(10^-24))</f>
        <v>3.8678221869094371</v>
      </c>
      <c r="X12">
        <f>(Q13-Q12)/(S13-S12)*(0-S12)+Q12</f>
        <v>0</v>
      </c>
    </row>
    <row r="13" spans="2:24" x14ac:dyDescent="0.2">
      <c r="B13">
        <v>1.03</v>
      </c>
      <c r="G13">
        <f t="shared" ref="G13:G15" si="1">(B13/B$11)*G$11</f>
        <v>18.76642696</v>
      </c>
      <c r="P13">
        <v>1.02</v>
      </c>
      <c r="T13">
        <f t="shared" ref="T13:T14" si="2">T$10*(P13/P$10)^3</f>
        <v>6418.5058471679686</v>
      </c>
      <c r="U13">
        <f t="shared" si="0"/>
        <v>18.58423322513109</v>
      </c>
    </row>
    <row r="14" spans="2:24" x14ac:dyDescent="0.2">
      <c r="B14">
        <v>1.04</v>
      </c>
      <c r="G14">
        <f t="shared" si="1"/>
        <v>18.948625280000002</v>
      </c>
      <c r="P14">
        <v>1.04</v>
      </c>
      <c r="T14">
        <f t="shared" si="2"/>
        <v>6803.5165219907421</v>
      </c>
      <c r="U14">
        <f t="shared" si="0"/>
        <v>18.948629955035631</v>
      </c>
    </row>
    <row r="15" spans="2:24" x14ac:dyDescent="0.2">
      <c r="B15">
        <v>1.05</v>
      </c>
      <c r="F15">
        <f>F$11*(B15/B$11)^3</f>
        <v>7001.6632875000014</v>
      </c>
      <c r="G15">
        <f t="shared" si="1"/>
        <v>19.130823599999999</v>
      </c>
      <c r="H15" t="e">
        <f>(F16-F15)/(E16-E15)*(0-E15)+F15</f>
        <v>#DIV/0!</v>
      </c>
      <c r="I15" t="e">
        <f>$J$3/(H15*(10^-24))</f>
        <v>#DIV/0!</v>
      </c>
      <c r="J15" t="e">
        <f>(C16-C15)/(E16-E15)*(0-E15)+C15</f>
        <v>#DIV/0!</v>
      </c>
    </row>
    <row r="16" spans="2:24" x14ac:dyDescent="0.2">
      <c r="P16">
        <v>1100</v>
      </c>
    </row>
    <row r="17" spans="2:24" x14ac:dyDescent="0.2">
      <c r="Q17" t="s">
        <v>11</v>
      </c>
      <c r="R17" t="s">
        <v>12</v>
      </c>
      <c r="S17" t="s">
        <v>13</v>
      </c>
      <c r="T17" t="s">
        <v>14</v>
      </c>
      <c r="U17" t="s">
        <v>26</v>
      </c>
      <c r="V17" t="s">
        <v>15</v>
      </c>
      <c r="W17" t="s">
        <v>16</v>
      </c>
      <c r="X17" t="s">
        <v>17</v>
      </c>
    </row>
    <row r="18" spans="2:24" x14ac:dyDescent="0.2">
      <c r="P18">
        <v>1</v>
      </c>
      <c r="T18">
        <v>5351.15</v>
      </c>
      <c r="U18">
        <f>T18^(1/3)</f>
        <v>17.491043035417494</v>
      </c>
    </row>
    <row r="19" spans="2:24" x14ac:dyDescent="0.2">
      <c r="B19">
        <v>1300</v>
      </c>
      <c r="P19">
        <v>1.02</v>
      </c>
      <c r="T19">
        <f>T$10*(P19/P$10)^3</f>
        <v>6418.5058471679686</v>
      </c>
      <c r="U19">
        <f t="shared" ref="U19:U20" si="3">T19^(1/3)</f>
        <v>18.58423322513109</v>
      </c>
    </row>
    <row r="20" spans="2:24" x14ac:dyDescent="0.2">
      <c r="C20" t="s">
        <v>11</v>
      </c>
      <c r="D20" t="s">
        <v>12</v>
      </c>
      <c r="E20" t="s">
        <v>13</v>
      </c>
      <c r="F20" t="s">
        <v>14</v>
      </c>
      <c r="H20" t="s">
        <v>15</v>
      </c>
      <c r="I20" t="s">
        <v>16</v>
      </c>
      <c r="J20" t="s">
        <v>17</v>
      </c>
      <c r="P20">
        <v>1.04</v>
      </c>
      <c r="T20">
        <f>T$10*(P20/P$10)^3</f>
        <v>6803.5165219907421</v>
      </c>
      <c r="U20">
        <f t="shared" si="3"/>
        <v>18.948629955035631</v>
      </c>
      <c r="V20" t="e">
        <f>(T21-T20)/(S21-S20)*(0-S20)+T20</f>
        <v>#DIV/0!</v>
      </c>
      <c r="W20" t="e">
        <f>$J$3/(V20*(10^-24))</f>
        <v>#DIV/0!</v>
      </c>
      <c r="X20" t="e">
        <f>(Q21-Q20)/(S21-S20)*(0-S20)+Q20</f>
        <v>#DIV/0!</v>
      </c>
    </row>
    <row r="21" spans="2:24" x14ac:dyDescent="0.2">
      <c r="B21">
        <v>0.95</v>
      </c>
      <c r="F21">
        <f>F$11*(B21/B$11)^3</f>
        <v>5185.6612124999992</v>
      </c>
    </row>
    <row r="22" spans="2:24" x14ac:dyDescent="0.2">
      <c r="B22">
        <v>1</v>
      </c>
      <c r="F22">
        <v>6048.3</v>
      </c>
    </row>
    <row r="23" spans="2:24" x14ac:dyDescent="0.2">
      <c r="B23">
        <v>1.05</v>
      </c>
      <c r="F23">
        <f>F$11*(B23/B$11)^3</f>
        <v>7001.6632875000014</v>
      </c>
      <c r="H23" t="e">
        <f>(F24-F23)/(E24-E23)*(0-E23)+F23</f>
        <v>#DIV/0!</v>
      </c>
      <c r="I23" t="e">
        <f>$J$3/(H23*(10^-24))</f>
        <v>#DIV/0!</v>
      </c>
      <c r="J23" t="e">
        <f>(C24-C23)/(E24-E23)*(0-E23)+C23</f>
        <v>#DIV/0!</v>
      </c>
    </row>
    <row r="25" spans="2:24" x14ac:dyDescent="0.2">
      <c r="P25" t="s">
        <v>82</v>
      </c>
    </row>
    <row r="27" spans="2:24" x14ac:dyDescent="0.2">
      <c r="B27">
        <v>1200</v>
      </c>
      <c r="P27">
        <v>1400</v>
      </c>
    </row>
    <row r="28" spans="2:24" x14ac:dyDescent="0.2">
      <c r="C28" t="s">
        <v>11</v>
      </c>
      <c r="D28" t="s">
        <v>12</v>
      </c>
      <c r="E28" t="s">
        <v>13</v>
      </c>
      <c r="F28" t="s">
        <v>14</v>
      </c>
      <c r="H28" t="s">
        <v>15</v>
      </c>
      <c r="I28" t="s">
        <v>16</v>
      </c>
      <c r="J28" t="s">
        <v>17</v>
      </c>
      <c r="Q28" t="s">
        <v>11</v>
      </c>
      <c r="R28" t="s">
        <v>12</v>
      </c>
      <c r="S28" t="s">
        <v>13</v>
      </c>
      <c r="T28" t="s">
        <v>14</v>
      </c>
      <c r="U28" t="s">
        <v>26</v>
      </c>
      <c r="V28" t="s">
        <v>15</v>
      </c>
      <c r="W28" t="s">
        <v>16</v>
      </c>
      <c r="X28" t="s">
        <v>17</v>
      </c>
    </row>
    <row r="29" spans="2:24" x14ac:dyDescent="0.2">
      <c r="B29">
        <v>0.95</v>
      </c>
      <c r="F29">
        <f>F$11*(B29/B$11)^3</f>
        <v>5185.6612124999992</v>
      </c>
      <c r="P29">
        <v>0.96</v>
      </c>
      <c r="T29">
        <v>5351.15</v>
      </c>
      <c r="U29">
        <f>T29^(1/3)</f>
        <v>17.491043035417494</v>
      </c>
    </row>
    <row r="30" spans="2:24" x14ac:dyDescent="0.2">
      <c r="B30">
        <v>1</v>
      </c>
      <c r="F30">
        <v>6048.3</v>
      </c>
      <c r="P30">
        <v>0.98</v>
      </c>
      <c r="T30">
        <f>T$10*(P30/P$10)^3</f>
        <v>5692.6129046404776</v>
      </c>
      <c r="U30">
        <f t="shared" ref="U30:U33" si="4">T30^(1/3)</f>
        <v>17.855439765322025</v>
      </c>
    </row>
    <row r="31" spans="2:24" x14ac:dyDescent="0.2">
      <c r="B31">
        <v>1.05</v>
      </c>
      <c r="F31">
        <f>F$11*(B31/B$11)^3</f>
        <v>7001.6632875000014</v>
      </c>
      <c r="H31" t="e">
        <f>(F32-F31)/(E32-E31)*(0-E31)+F31</f>
        <v>#DIV/0!</v>
      </c>
      <c r="I31" t="e">
        <f>$J$3/(H31*(10^-24))</f>
        <v>#DIV/0!</v>
      </c>
      <c r="J31" t="e">
        <f>(C32-C31)/(E32-E31)*(0-E31)+C31</f>
        <v>#DIV/0!</v>
      </c>
      <c r="P31">
        <v>1</v>
      </c>
      <c r="T31">
        <f>T$10*(P31/P$10)^3</f>
        <v>6048.301414207177</v>
      </c>
      <c r="U31">
        <f t="shared" si="4"/>
        <v>18.219836495226556</v>
      </c>
      <c r="V31" t="e">
        <f>(T32-T31)/(S32-S31)*(0-S31)+T31</f>
        <v>#DIV/0!</v>
      </c>
      <c r="W31" t="e">
        <f>$J$3/(V31*(10^-24))</f>
        <v>#DIV/0!</v>
      </c>
      <c r="X31" t="e">
        <f>(Q32-Q31)/(S32-S31)*(0-S31)+Q31</f>
        <v>#DIV/0!</v>
      </c>
    </row>
    <row r="32" spans="2:24" x14ac:dyDescent="0.2">
      <c r="P32">
        <v>1.02</v>
      </c>
      <c r="T32">
        <f t="shared" ref="T32:T33" si="5">T$10*(P32/P$10)^3</f>
        <v>6418.5058471679686</v>
      </c>
      <c r="U32">
        <f t="shared" si="4"/>
        <v>18.58423322513109</v>
      </c>
    </row>
    <row r="33" spans="2:24" x14ac:dyDescent="0.2">
      <c r="P33">
        <v>1.04</v>
      </c>
      <c r="T33">
        <f t="shared" si="5"/>
        <v>6803.5165219907421</v>
      </c>
      <c r="U33">
        <f t="shared" si="4"/>
        <v>18.948629955035631</v>
      </c>
    </row>
    <row r="35" spans="2:24" x14ac:dyDescent="0.2">
      <c r="B35">
        <v>1100</v>
      </c>
    </row>
    <row r="36" spans="2:24" x14ac:dyDescent="0.2">
      <c r="C36" t="s">
        <v>11</v>
      </c>
      <c r="D36" t="s">
        <v>12</v>
      </c>
      <c r="E36" t="s">
        <v>13</v>
      </c>
      <c r="F36" t="s">
        <v>14</v>
      </c>
      <c r="H36" t="s">
        <v>15</v>
      </c>
      <c r="I36" t="s">
        <v>16</v>
      </c>
      <c r="J36" t="s">
        <v>17</v>
      </c>
      <c r="P36" t="s">
        <v>83</v>
      </c>
    </row>
    <row r="37" spans="2:24" x14ac:dyDescent="0.2">
      <c r="B37">
        <v>0.95</v>
      </c>
      <c r="F37">
        <f>F$11*(B37/B$11)^3</f>
        <v>5185.6612124999992</v>
      </c>
    </row>
    <row r="38" spans="2:24" x14ac:dyDescent="0.2">
      <c r="B38">
        <v>1</v>
      </c>
      <c r="F38">
        <v>6048.3</v>
      </c>
      <c r="P38">
        <v>1400</v>
      </c>
    </row>
    <row r="39" spans="2:24" x14ac:dyDescent="0.2">
      <c r="B39">
        <v>1.05</v>
      </c>
      <c r="F39">
        <f>F$11*(B39/B$11)^3</f>
        <v>7001.6632875000014</v>
      </c>
      <c r="H39" t="e">
        <f>(F40-F39)/(E40-E39)*(0-E39)+F39</f>
        <v>#DIV/0!</v>
      </c>
      <c r="I39" t="e">
        <f>$J$3/(H39*(10^-24))</f>
        <v>#DIV/0!</v>
      </c>
      <c r="J39" t="e">
        <f>(C40-C39)/(E40-E39)*(0-E39)+C39</f>
        <v>#DIV/0!</v>
      </c>
      <c r="Q39" t="s">
        <v>11</v>
      </c>
      <c r="R39" t="s">
        <v>12</v>
      </c>
      <c r="S39" t="s">
        <v>13</v>
      </c>
      <c r="T39" t="s">
        <v>14</v>
      </c>
      <c r="U39" t="s">
        <v>26</v>
      </c>
      <c r="V39" t="s">
        <v>15</v>
      </c>
      <c r="W39" t="s">
        <v>16</v>
      </c>
      <c r="X39" t="s">
        <v>17</v>
      </c>
    </row>
    <row r="40" spans="2:24" x14ac:dyDescent="0.2">
      <c r="P40">
        <v>0.96</v>
      </c>
      <c r="T40">
        <v>5351.15</v>
      </c>
      <c r="U40">
        <f>T40^(1/3)</f>
        <v>17.491043035417494</v>
      </c>
    </row>
    <row r="41" spans="2:24" x14ac:dyDescent="0.2">
      <c r="P41">
        <v>0.98</v>
      </c>
      <c r="T41">
        <f>T$10*(P41/P$10)^3</f>
        <v>5692.6129046404776</v>
      </c>
      <c r="U41">
        <f t="shared" ref="U41:U44" si="6">T41^(1/3)</f>
        <v>17.855439765322025</v>
      </c>
    </row>
    <row r="42" spans="2:24" x14ac:dyDescent="0.2">
      <c r="P42">
        <v>1</v>
      </c>
      <c r="T42">
        <f>T$10*(P42/P$10)^3</f>
        <v>6048.301414207177</v>
      </c>
      <c r="U42">
        <f t="shared" si="6"/>
        <v>18.219836495226556</v>
      </c>
      <c r="V42" t="e">
        <f>(T43-T42)/(S43-S42)*(0-S42)+T42</f>
        <v>#DIV/0!</v>
      </c>
      <c r="W42" t="e">
        <f>$J$3/(V42*(10^-24))</f>
        <v>#DIV/0!</v>
      </c>
      <c r="X42" t="e">
        <f>(Q43-Q42)/(S43-S42)*(0-S42)+Q42</f>
        <v>#DIV/0!</v>
      </c>
    </row>
    <row r="43" spans="2:24" x14ac:dyDescent="0.2">
      <c r="P43">
        <v>1.02</v>
      </c>
      <c r="T43">
        <f t="shared" ref="T43:T44" si="7">T$10*(P43/P$10)^3</f>
        <v>6418.5058471679686</v>
      </c>
      <c r="U43">
        <f t="shared" si="6"/>
        <v>18.58423322513109</v>
      </c>
    </row>
    <row r="44" spans="2:24" x14ac:dyDescent="0.2">
      <c r="P44">
        <v>1.04</v>
      </c>
      <c r="T44">
        <f t="shared" si="7"/>
        <v>6803.5165219907421</v>
      </c>
      <c r="U44">
        <f t="shared" si="6"/>
        <v>18.948629955035631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CCEE-258E-C84C-A822-2E6A5C7065E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6B4-97E6-2742-B81D-F0D5871F16F8}">
  <dimension ref="B2:CM87"/>
  <sheetViews>
    <sheetView topLeftCell="BL30" workbookViewId="0">
      <selection activeCell="BY45" sqref="BY45"/>
    </sheetView>
  </sheetViews>
  <sheetFormatPr baseColWidth="10" defaultRowHeight="16" x14ac:dyDescent="0.2"/>
  <cols>
    <col min="6" max="6" width="10.5" customWidth="1"/>
    <col min="24" max="24" width="10.83203125" style="11"/>
    <col min="29" max="29" width="10.6640625" customWidth="1"/>
    <col min="37" max="37" width="10.83203125" style="12"/>
    <col min="38" max="38" width="10.83203125" style="11"/>
    <col min="43" max="43" width="10.6640625" customWidth="1"/>
    <col min="51" max="51" width="10.83203125" style="12"/>
    <col min="52" max="52" width="10.83203125" style="11"/>
    <col min="57" max="57" width="10.6640625" customWidth="1"/>
    <col min="65" max="65" width="10.83203125" style="12"/>
    <col min="66" max="66" width="10.83203125" style="11"/>
    <col min="71" max="71" width="10.6640625" customWidth="1"/>
    <col min="79" max="79" width="10.83203125" style="12"/>
    <col min="85" max="85" width="10.83203125" customWidth="1"/>
  </cols>
  <sheetData>
    <row r="2" spans="2:90" x14ac:dyDescent="0.2">
      <c r="B2" t="s">
        <v>4</v>
      </c>
      <c r="N2" t="s">
        <v>63</v>
      </c>
      <c r="O2" t="s">
        <v>58</v>
      </c>
    </row>
    <row r="3" spans="2:90" x14ac:dyDescent="0.2">
      <c r="B3">
        <f>238+3*35.5</f>
        <v>344.5</v>
      </c>
      <c r="C3" t="s">
        <v>5</v>
      </c>
      <c r="M3">
        <v>1100</v>
      </c>
      <c r="N3">
        <f>6.3747-0.0015222*M3</f>
        <v>4.7002799999999993</v>
      </c>
      <c r="O3">
        <f t="shared" ref="O3:O4" si="0">13.652-0.007943*M3</f>
        <v>4.9146999999999981</v>
      </c>
    </row>
    <row r="4" spans="2:90" x14ac:dyDescent="0.2">
      <c r="M4">
        <v>1150</v>
      </c>
      <c r="N4">
        <f t="shared" ref="N4:N9" si="1">6.3747-0.0015222*M4</f>
        <v>4.6241699999999994</v>
      </c>
      <c r="O4">
        <f t="shared" si="0"/>
        <v>4.5175499999999982</v>
      </c>
    </row>
    <row r="5" spans="2:90" x14ac:dyDescent="0.2">
      <c r="B5" t="s">
        <v>6</v>
      </c>
      <c r="C5" t="s">
        <v>8</v>
      </c>
      <c r="D5" t="s">
        <v>10</v>
      </c>
      <c r="M5">
        <v>1200</v>
      </c>
      <c r="N5">
        <f t="shared" si="1"/>
        <v>4.5480599999999995</v>
      </c>
      <c r="O5">
        <f>13.652-0.007943*M5</f>
        <v>4.1203999999999983</v>
      </c>
    </row>
    <row r="6" spans="2:90" x14ac:dyDescent="0.2">
      <c r="B6">
        <v>40</v>
      </c>
      <c r="C6">
        <f>B6/(6.022E+23)</f>
        <v>6.6423115244104945E-23</v>
      </c>
      <c r="D6">
        <f>C6*B3</f>
        <v>2.2882763201594152E-20</v>
      </c>
      <c r="M6">
        <v>1250</v>
      </c>
      <c r="N6">
        <f t="shared" si="1"/>
        <v>4.4719499999999996</v>
      </c>
      <c r="O6">
        <f t="shared" ref="O6:O9" si="2">13.652-0.007943*M6</f>
        <v>3.7232499999999984</v>
      </c>
    </row>
    <row r="7" spans="2:90" x14ac:dyDescent="0.2">
      <c r="M7">
        <v>1300</v>
      </c>
      <c r="N7">
        <f t="shared" si="1"/>
        <v>4.3958399999999997</v>
      </c>
      <c r="O7">
        <f t="shared" si="2"/>
        <v>3.3260999999999985</v>
      </c>
    </row>
    <row r="8" spans="2:90" x14ac:dyDescent="0.2">
      <c r="B8" t="s">
        <v>7</v>
      </c>
      <c r="M8">
        <v>1350</v>
      </c>
      <c r="N8">
        <f t="shared" si="1"/>
        <v>4.3197299999999998</v>
      </c>
      <c r="O8">
        <f t="shared" si="2"/>
        <v>2.9289499999999986</v>
      </c>
      <c r="Y8" t="s">
        <v>67</v>
      </c>
      <c r="AM8" t="s">
        <v>76</v>
      </c>
      <c r="BA8" t="s">
        <v>78</v>
      </c>
      <c r="BO8" t="s">
        <v>77</v>
      </c>
      <c r="CC8" t="s">
        <v>72</v>
      </c>
      <c r="CD8" t="s">
        <v>75</v>
      </c>
    </row>
    <row r="9" spans="2:90" x14ac:dyDescent="0.2">
      <c r="B9">
        <v>160</v>
      </c>
      <c r="M9">
        <v>1400</v>
      </c>
      <c r="N9">
        <f t="shared" si="1"/>
        <v>4.2436199999999999</v>
      </c>
      <c r="O9">
        <f t="shared" si="2"/>
        <v>2.5317999999999987</v>
      </c>
    </row>
    <row r="12" spans="2:90" x14ac:dyDescent="0.2">
      <c r="B12">
        <v>1400</v>
      </c>
      <c r="Y12">
        <v>1400</v>
      </c>
      <c r="AM12">
        <v>1400</v>
      </c>
      <c r="BA12">
        <v>1400</v>
      </c>
      <c r="BO12">
        <v>1400</v>
      </c>
      <c r="CC12">
        <v>1400</v>
      </c>
    </row>
    <row r="13" spans="2:90" x14ac:dyDescent="0.2">
      <c r="C13" t="s">
        <v>11</v>
      </c>
      <c r="D13" t="s">
        <v>12</v>
      </c>
      <c r="E13" t="s">
        <v>13</v>
      </c>
      <c r="F13" t="s">
        <v>14</v>
      </c>
      <c r="G13" t="s">
        <v>26</v>
      </c>
      <c r="H13" t="s">
        <v>15</v>
      </c>
      <c r="I13" t="s">
        <v>31</v>
      </c>
      <c r="J13" t="s">
        <v>16</v>
      </c>
      <c r="K13" t="s">
        <v>17</v>
      </c>
      <c r="Z13" t="s">
        <v>11</v>
      </c>
      <c r="AA13" t="s">
        <v>12</v>
      </c>
      <c r="AB13" t="s">
        <v>13</v>
      </c>
      <c r="AC13" t="s">
        <v>14</v>
      </c>
      <c r="AD13" t="s">
        <v>26</v>
      </c>
      <c r="AE13" t="s">
        <v>15</v>
      </c>
      <c r="AF13" t="s">
        <v>26</v>
      </c>
      <c r="AG13" t="s">
        <v>16</v>
      </c>
      <c r="AH13" t="s">
        <v>17</v>
      </c>
      <c r="AN13" t="s">
        <v>11</v>
      </c>
      <c r="AO13" t="s">
        <v>12</v>
      </c>
      <c r="AP13" t="s">
        <v>13</v>
      </c>
      <c r="AQ13" t="s">
        <v>14</v>
      </c>
      <c r="AR13" t="s">
        <v>26</v>
      </c>
      <c r="AS13" t="s">
        <v>15</v>
      </c>
      <c r="AT13" t="s">
        <v>26</v>
      </c>
      <c r="AU13" t="s">
        <v>16</v>
      </c>
      <c r="AV13" t="s">
        <v>17</v>
      </c>
      <c r="BB13" t="s">
        <v>11</v>
      </c>
      <c r="BC13" t="s">
        <v>12</v>
      </c>
      <c r="BD13" t="s">
        <v>13</v>
      </c>
      <c r="BE13" t="s">
        <v>14</v>
      </c>
      <c r="BF13" t="s">
        <v>26</v>
      </c>
      <c r="BG13" t="s">
        <v>15</v>
      </c>
      <c r="BH13" t="s">
        <v>26</v>
      </c>
      <c r="BI13" t="s">
        <v>16</v>
      </c>
      <c r="BJ13" t="s">
        <v>17</v>
      </c>
      <c r="BP13" t="s">
        <v>11</v>
      </c>
      <c r="BQ13" t="s">
        <v>12</v>
      </c>
      <c r="BR13" t="s">
        <v>13</v>
      </c>
      <c r="BS13" t="s">
        <v>14</v>
      </c>
      <c r="BT13" t="s">
        <v>26</v>
      </c>
      <c r="BU13" t="s">
        <v>15</v>
      </c>
      <c r="BV13" t="s">
        <v>26</v>
      </c>
      <c r="BW13" t="s">
        <v>16</v>
      </c>
      <c r="BX13" t="s">
        <v>17</v>
      </c>
      <c r="CD13" t="s">
        <v>11</v>
      </c>
      <c r="CE13" t="s">
        <v>12</v>
      </c>
      <c r="CF13" t="s">
        <v>13</v>
      </c>
      <c r="CG13" t="s">
        <v>14</v>
      </c>
      <c r="CH13" t="s">
        <v>26</v>
      </c>
      <c r="CI13" t="s">
        <v>15</v>
      </c>
      <c r="CJ13" t="s">
        <v>26</v>
      </c>
      <c r="CK13" t="s">
        <v>16</v>
      </c>
      <c r="CL13" t="s">
        <v>17</v>
      </c>
    </row>
    <row r="14" spans="2:90" x14ac:dyDescent="0.2">
      <c r="B14">
        <v>0.95</v>
      </c>
      <c r="C14">
        <v>-572.64547449066697</v>
      </c>
      <c r="D14">
        <v>28.137942800000001</v>
      </c>
      <c r="E14">
        <v>40.533058666666697</v>
      </c>
      <c r="F14" s="4">
        <f>G14^3</f>
        <v>4362.7081039999994</v>
      </c>
      <c r="G14" s="8">
        <f>B14*$G$17</f>
        <v>16.34</v>
      </c>
      <c r="Y14">
        <v>0.98</v>
      </c>
      <c r="Z14" s="10">
        <v>-569.58448987199995</v>
      </c>
      <c r="AA14" s="10">
        <v>28.606925333333301</v>
      </c>
      <c r="AB14" s="10">
        <v>18.027567999999999</v>
      </c>
      <c r="AC14" s="4">
        <f>AD14^3</f>
        <v>4789.2065500159979</v>
      </c>
      <c r="AD14" s="8">
        <f>Y14*$AD$15</f>
        <v>16.855999999999998</v>
      </c>
      <c r="AM14">
        <v>0.98</v>
      </c>
      <c r="AN14" s="10">
        <v>-564.85326966000002</v>
      </c>
      <c r="AO14" s="10">
        <v>28.1252422666666</v>
      </c>
      <c r="AP14" s="10">
        <v>17.857573333333299</v>
      </c>
      <c r="AQ14" s="8">
        <f>AR14^3</f>
        <v>4789.2065500159979</v>
      </c>
      <c r="AR14" s="8">
        <f>AM14*$AR$15</f>
        <v>16.855999999999998</v>
      </c>
      <c r="BA14">
        <v>0.98</v>
      </c>
      <c r="BB14" s="10">
        <v>-559.84837454666695</v>
      </c>
      <c r="BC14" s="10">
        <v>28.285185200000001</v>
      </c>
      <c r="BD14" s="10">
        <v>19.183073333333301</v>
      </c>
      <c r="BE14" s="3">
        <f>BF14^3</f>
        <v>4789.2065500159979</v>
      </c>
      <c r="BF14" s="8">
        <f>BA14*$BT$15</f>
        <v>16.855999999999998</v>
      </c>
      <c r="BO14">
        <v>0.98</v>
      </c>
      <c r="BP14" s="10">
        <v>-557.23624708</v>
      </c>
      <c r="BQ14" s="10">
        <v>28.297124933333301</v>
      </c>
      <c r="BR14" s="10">
        <v>17.787570666666699</v>
      </c>
      <c r="BS14" s="3">
        <f>BT14^3</f>
        <v>4789.2065500159979</v>
      </c>
      <c r="BT14" s="8">
        <f>BO14*$BT$15</f>
        <v>16.855999999999998</v>
      </c>
      <c r="CC14">
        <v>0.98</v>
      </c>
      <c r="CD14" s="10">
        <v>-577.31845565066601</v>
      </c>
      <c r="CE14" s="10">
        <v>28.148949866666701</v>
      </c>
      <c r="CF14" s="10">
        <v>19.4544866666667</v>
      </c>
      <c r="CG14" s="8">
        <f t="shared" ref="CG14:CG17" si="3">CH14^3</f>
        <v>4789.2065500159979</v>
      </c>
      <c r="CH14" s="8">
        <f>CC14*$CH$15</f>
        <v>16.855999999999998</v>
      </c>
    </row>
    <row r="15" spans="2:90" x14ac:dyDescent="0.2">
      <c r="B15">
        <v>0.98</v>
      </c>
      <c r="F15" s="4">
        <f t="shared" ref="F15" si="4">G15^3</f>
        <v>4789.2065500159979</v>
      </c>
      <c r="G15" s="8">
        <f>B15*$G$17</f>
        <v>16.855999999999998</v>
      </c>
      <c r="Y15">
        <v>1</v>
      </c>
      <c r="Z15">
        <v>-568.49928361466698</v>
      </c>
      <c r="AA15">
        <v>28.2783868</v>
      </c>
      <c r="AB15">
        <v>9.1893266666666698</v>
      </c>
      <c r="AC15" s="4">
        <f t="shared" ref="AC15:AC19" si="5">AD15^3</f>
        <v>5088.4479999999994</v>
      </c>
      <c r="AD15" s="8">
        <f>17.2</f>
        <v>17.2</v>
      </c>
      <c r="AM15">
        <v>1</v>
      </c>
      <c r="AN15">
        <v>-562.94303718799995</v>
      </c>
      <c r="AO15">
        <v>28.065533200000001</v>
      </c>
      <c r="AP15">
        <v>7.67809866666666</v>
      </c>
      <c r="AQ15" s="8">
        <f t="shared" ref="AQ15:AQ18" si="6">AR15^3</f>
        <v>5088.4479999999994</v>
      </c>
      <c r="AR15" s="8">
        <f>17.2</f>
        <v>17.2</v>
      </c>
      <c r="BA15">
        <v>1</v>
      </c>
      <c r="BB15">
        <v>-559.57655833333297</v>
      </c>
      <c r="BC15">
        <v>28.454805466666699</v>
      </c>
      <c r="BD15">
        <v>7.7711586666666603</v>
      </c>
      <c r="BE15" s="3">
        <f t="shared" ref="BE15:BE18" si="7">BF15^3</f>
        <v>5088.4479999999994</v>
      </c>
      <c r="BF15" s="8">
        <f>17.2</f>
        <v>17.2</v>
      </c>
      <c r="BO15">
        <v>1</v>
      </c>
      <c r="BP15">
        <v>-556.45807810133397</v>
      </c>
      <c r="BQ15">
        <v>28.2775696</v>
      </c>
      <c r="BR15">
        <v>7.8135906666666601</v>
      </c>
      <c r="BS15" s="3">
        <f t="shared" ref="BS15:BS18" si="8">BT15^3</f>
        <v>5088.4479999999994</v>
      </c>
      <c r="BT15" s="8">
        <f>17.2</f>
        <v>17.2</v>
      </c>
      <c r="CC15">
        <v>1</v>
      </c>
      <c r="CD15">
        <v>-578.10187470533299</v>
      </c>
      <c r="CE15">
        <v>28.038789333333401</v>
      </c>
      <c r="CF15">
        <v>10.0054586666667</v>
      </c>
      <c r="CG15" s="8">
        <f t="shared" si="3"/>
        <v>5088.4479999999994</v>
      </c>
      <c r="CH15" s="8">
        <v>17.2</v>
      </c>
    </row>
    <row r="16" spans="2:90" x14ac:dyDescent="0.2">
      <c r="B16">
        <v>0.99</v>
      </c>
      <c r="C16">
        <v>-574.63881368933301</v>
      </c>
      <c r="D16">
        <v>28.030247866666699</v>
      </c>
      <c r="E16">
        <v>11.1465453333333</v>
      </c>
      <c r="F16" s="4">
        <f t="shared" ref="F16:F21" si="9">G16^3</f>
        <v>4937.3160059519987</v>
      </c>
      <c r="G16" s="8">
        <f>B16*$G$17</f>
        <v>17.027999999999999</v>
      </c>
      <c r="N16" t="s">
        <v>18</v>
      </c>
      <c r="O16" t="s">
        <v>62</v>
      </c>
      <c r="P16" t="s">
        <v>39</v>
      </c>
      <c r="Q16" t="s">
        <v>12</v>
      </c>
      <c r="R16" t="s">
        <v>40</v>
      </c>
      <c r="S16" t="s">
        <v>64</v>
      </c>
      <c r="T16" t="s">
        <v>65</v>
      </c>
      <c r="U16" t="s">
        <v>66</v>
      </c>
      <c r="V16" t="s">
        <v>48</v>
      </c>
      <c r="Y16">
        <v>1.01</v>
      </c>
      <c r="Z16">
        <v>-567.39247729733302</v>
      </c>
      <c r="AA16">
        <v>28.3690990666666</v>
      </c>
      <c r="AB16">
        <v>3.6160653333333399</v>
      </c>
      <c r="AC16" s="4">
        <f t="shared" si="5"/>
        <v>5242.633062848</v>
      </c>
      <c r="AD16" s="8">
        <f>Y16*$AD$15</f>
        <v>17.372</v>
      </c>
      <c r="AM16">
        <v>1.01</v>
      </c>
      <c r="AN16">
        <v>-562.38515748666703</v>
      </c>
      <c r="AO16">
        <v>28.2109089333333</v>
      </c>
      <c r="AP16">
        <v>3.5509919999999999</v>
      </c>
      <c r="AQ16" s="8">
        <f t="shared" si="6"/>
        <v>5242.633062848</v>
      </c>
      <c r="AR16" s="8">
        <f>AM16*$AR$15</f>
        <v>17.372</v>
      </c>
      <c r="BA16">
        <v>1.01</v>
      </c>
      <c r="BB16">
        <v>-558.75197500666695</v>
      </c>
      <c r="BC16">
        <v>28.162655999999998</v>
      </c>
      <c r="BD16">
        <v>3.4890746666666699</v>
      </c>
      <c r="BE16" s="3">
        <f t="shared" si="7"/>
        <v>5242.633062848</v>
      </c>
      <c r="BF16" s="8">
        <f>BA16*$BT$15</f>
        <v>17.372</v>
      </c>
      <c r="BO16">
        <v>1.01</v>
      </c>
      <c r="BP16">
        <v>-555.69561786533302</v>
      </c>
      <c r="BQ16">
        <v>28.204227866666599</v>
      </c>
      <c r="BR16">
        <v>3.59719733333334</v>
      </c>
      <c r="BS16" s="3">
        <f t="shared" si="8"/>
        <v>5242.633062848</v>
      </c>
      <c r="BT16" s="8">
        <f>BO16*$BT$15</f>
        <v>17.372</v>
      </c>
      <c r="CC16">
        <v>1.01</v>
      </c>
      <c r="CD16">
        <v>-576.15510169614004</v>
      </c>
      <c r="CE16">
        <v>28.141891753431999</v>
      </c>
      <c r="CF16">
        <v>6.8433280592193801</v>
      </c>
      <c r="CG16" s="8">
        <f t="shared" si="3"/>
        <v>5242.633062848</v>
      </c>
      <c r="CH16" s="8">
        <f>CC16*$CH$15</f>
        <v>17.372</v>
      </c>
      <c r="CI16">
        <f>(CG17-CG16)/(CF17-CF16)*(0-CF16)+CG16</f>
        <v>5566.3949401701921</v>
      </c>
      <c r="CJ16" s="27">
        <f>CI16^(1/3)</f>
        <v>17.722487234849087</v>
      </c>
      <c r="CK16">
        <f>$D$6/(CI16*(10^-24))</f>
        <v>4.1108766890504738</v>
      </c>
      <c r="CL16">
        <f>(CD17-CD16)/(CF17-CF16)*(0-CF16)+CD16</f>
        <v>-574.11309858688492</v>
      </c>
    </row>
    <row r="17" spans="2:91" x14ac:dyDescent="0.2">
      <c r="B17">
        <v>1</v>
      </c>
      <c r="C17">
        <v>-573.97358766666696</v>
      </c>
      <c r="D17">
        <v>28.121542399999999</v>
      </c>
      <c r="E17">
        <v>7.9640800000000098</v>
      </c>
      <c r="F17" s="4">
        <f t="shared" si="9"/>
        <v>5088.4479999999994</v>
      </c>
      <c r="G17" s="8">
        <v>17.2</v>
      </c>
      <c r="N17">
        <v>1400</v>
      </c>
      <c r="O17">
        <v>4.1775925516374537</v>
      </c>
      <c r="P17">
        <v>-571.64537229045914</v>
      </c>
      <c r="Q17">
        <v>28.188388892210352</v>
      </c>
      <c r="R17">
        <f>P17+Q17</f>
        <v>-543.45698339824878</v>
      </c>
      <c r="S17">
        <f>(R17-R18)/(N17-N18)</f>
        <v>5.7545962126254152E-2</v>
      </c>
      <c r="T17">
        <f>S17*(1.602*10^-19)*(6.022*10^23)/40</f>
        <v>138.78998446168313</v>
      </c>
      <c r="U17">
        <f>T17/$B$3</f>
        <v>0.40287368493957371</v>
      </c>
      <c r="V17">
        <v>0.10723951845467447</v>
      </c>
      <c r="Y17">
        <v>1.02</v>
      </c>
      <c r="Z17">
        <v>-567.50180726799999</v>
      </c>
      <c r="AA17">
        <v>27.8745597333333</v>
      </c>
      <c r="AB17">
        <v>1.51973333333333</v>
      </c>
      <c r="AC17" s="4">
        <f>AD17^3</f>
        <v>5399.9017251840005</v>
      </c>
      <c r="AD17" s="8">
        <f t="shared" ref="AD17:AD19" si="10">Y17*$AD$15</f>
        <v>17.544</v>
      </c>
      <c r="AE17">
        <f>(AC18-AC17)/(AB18-AB17)*(0-AB17)+AC17</f>
        <v>5494.3340709641561</v>
      </c>
      <c r="AF17" s="3">
        <f>AE17^(1/3)</f>
        <v>17.645678168813781</v>
      </c>
      <c r="AG17">
        <f>$D$6/(AE17*(10^-24))</f>
        <v>4.1647928404139867</v>
      </c>
      <c r="AH17">
        <f>(Z18-Z17)/(AB18-AB17)*(0-AB17)+Z17</f>
        <v>-566.54063010563129</v>
      </c>
      <c r="AM17">
        <v>1.02</v>
      </c>
      <c r="AN17">
        <v>-561.84740951333299</v>
      </c>
      <c r="AO17">
        <v>28.040704933333298</v>
      </c>
      <c r="AP17">
        <v>0.42905066666666802</v>
      </c>
      <c r="AQ17" s="8">
        <f t="shared" si="6"/>
        <v>5399.9017251840005</v>
      </c>
      <c r="AR17" s="8">
        <f t="shared" ref="AR17" si="11">AM17*$AR$15</f>
        <v>17.544</v>
      </c>
      <c r="AS17">
        <f>(AQ18-AQ17)/(AP18-AP17)*(0-AP17)+AQ17</f>
        <v>5439.1304400407707</v>
      </c>
      <c r="AT17" s="3">
        <f>AS17^(1/3)</f>
        <v>17.586381553642159</v>
      </c>
      <c r="AU17">
        <f>$D$6/(AS17*(10^-24))</f>
        <v>4.2070627748031404</v>
      </c>
      <c r="AV17">
        <f>(AN18-AN17)/(AP18-AP17)*(0-AP17)+AN17</f>
        <v>-561.41164475239077</v>
      </c>
      <c r="BA17">
        <v>1.02</v>
      </c>
      <c r="BB17">
        <v>-557.75426394399994</v>
      </c>
      <c r="BC17">
        <v>28.0099962666667</v>
      </c>
      <c r="BD17">
        <v>5.6660000000001202E-2</v>
      </c>
      <c r="BE17" s="3">
        <f t="shared" si="7"/>
        <v>5399.9017251840005</v>
      </c>
      <c r="BF17" s="8">
        <f t="shared" ref="BF17" si="12">BA17*$BT$15</f>
        <v>17.544</v>
      </c>
      <c r="BG17">
        <f>(BE18-BE17)/(BD18-BD17)*(0-BD17)+BE17</f>
        <v>5404.2013624164965</v>
      </c>
      <c r="BH17" s="3">
        <f>BG17^(1/3)</f>
        <v>17.548655197281082</v>
      </c>
      <c r="BI17">
        <f>$D$6/(BG17*(10^-24))</f>
        <v>4.2342543637867127</v>
      </c>
      <c r="BJ17">
        <f>(BB18-BB17)/(BD18-BD17)*(0-BD17)+BB17</f>
        <v>-557.69513393479872</v>
      </c>
      <c r="BO17">
        <v>1.02</v>
      </c>
      <c r="BP17">
        <v>-554.69444271333305</v>
      </c>
      <c r="BQ17">
        <v>28.343242666666701</v>
      </c>
      <c r="BR17">
        <v>0.75174666666666701</v>
      </c>
      <c r="BS17" s="3">
        <f t="shared" si="8"/>
        <v>5399.9017251840005</v>
      </c>
      <c r="BT17" s="8">
        <f t="shared" ref="BT17" si="13">BO17*$BT$15</f>
        <v>17.544</v>
      </c>
      <c r="BU17">
        <f>(BS18-BS17)/(BR18-BR17)*(0-BR17)+BS17</f>
        <v>5436.0028542831878</v>
      </c>
      <c r="BV17" s="3">
        <f>BU17^(1/3)</f>
        <v>17.583010091790257</v>
      </c>
      <c r="BW17">
        <f>$D$6/(BU17*(10^-24))</f>
        <v>4.2094832940648921</v>
      </c>
      <c r="BX17">
        <f>(BP18-BP17)/(BR18-BR17)*(0-BR17)+BP17</f>
        <v>-554.45465695767155</v>
      </c>
      <c r="CC17">
        <v>1.02</v>
      </c>
      <c r="CD17">
        <v>-575.16319029466604</v>
      </c>
      <c r="CE17">
        <v>28.341623999999999</v>
      </c>
      <c r="CF17">
        <v>3.51915333333333</v>
      </c>
      <c r="CG17" s="8">
        <f t="shared" si="3"/>
        <v>5399.9017251840005</v>
      </c>
      <c r="CH17" s="8">
        <f t="shared" ref="CH17:CH18" si="14">CC17*$CH$15</f>
        <v>17.544</v>
      </c>
    </row>
    <row r="18" spans="2:91" x14ac:dyDescent="0.2">
      <c r="B18">
        <v>1.01</v>
      </c>
      <c r="C18">
        <v>-573.95589568000003</v>
      </c>
      <c r="D18">
        <v>28.245137733333301</v>
      </c>
      <c r="E18">
        <v>4.4624759999999997</v>
      </c>
      <c r="F18" s="4">
        <f t="shared" si="9"/>
        <v>5242.633062848</v>
      </c>
      <c r="G18" s="8">
        <f>B18*$G$17</f>
        <v>17.372</v>
      </c>
      <c r="N18">
        <v>1300</v>
      </c>
      <c r="O18">
        <v>4.2250301332337798</v>
      </c>
      <c r="P18">
        <v>-575.29741214435762</v>
      </c>
      <c r="Q18">
        <v>26.085832533483384</v>
      </c>
      <c r="R18">
        <f t="shared" ref="R18:R20" si="15">P18+Q18</f>
        <v>-549.2115796108742</v>
      </c>
      <c r="S18">
        <f t="shared" ref="S18:S19" si="16">(R18-R19)/(N18-N19)</f>
        <v>4.6226183648317376E-2</v>
      </c>
      <c r="T18">
        <f t="shared" ref="T18:T19" si="17">S18*(1.602*10^-19)*(6.022*10^23)/40</f>
        <v>111.48881821103195</v>
      </c>
      <c r="U18">
        <f t="shared" ref="U18:U19" si="18">T18/$B$3</f>
        <v>0.32362501657774151</v>
      </c>
      <c r="V18">
        <v>0.1057698486083427</v>
      </c>
      <c r="Y18">
        <v>1.03</v>
      </c>
      <c r="Z18">
        <v>-565.869355208</v>
      </c>
      <c r="AA18">
        <v>28.120532399999998</v>
      </c>
      <c r="AB18">
        <v>-1.061364</v>
      </c>
      <c r="AC18" s="4">
        <f t="shared" si="5"/>
        <v>5560.2845176960009</v>
      </c>
      <c r="AD18" s="8">
        <f t="shared" si="10"/>
        <v>17.716000000000001</v>
      </c>
      <c r="AM18">
        <v>1.03</v>
      </c>
      <c r="AN18">
        <v>-560.06582759066703</v>
      </c>
      <c r="AO18">
        <v>28.319152533333298</v>
      </c>
      <c r="AP18">
        <v>-1.32508133333334</v>
      </c>
      <c r="AQ18" s="8">
        <f t="shared" si="6"/>
        <v>5560.2845176960009</v>
      </c>
      <c r="AR18" s="8">
        <f>AM18*$AR$15</f>
        <v>17.716000000000001</v>
      </c>
      <c r="BA18">
        <v>1.03</v>
      </c>
      <c r="BB18">
        <v>-555.54862763466701</v>
      </c>
      <c r="BC18">
        <v>28.494225733333302</v>
      </c>
      <c r="BD18">
        <v>-2.0568413333333302</v>
      </c>
      <c r="BE18" s="3">
        <f t="shared" si="7"/>
        <v>5560.2845176960009</v>
      </c>
      <c r="BF18" s="8">
        <f>BA18*$BT$15</f>
        <v>17.716000000000001</v>
      </c>
      <c r="BO18">
        <v>1.03</v>
      </c>
      <c r="BP18">
        <v>-553.62917107066698</v>
      </c>
      <c r="BQ18">
        <v>28.2131917333333</v>
      </c>
      <c r="BR18">
        <v>-2.5879613333333298</v>
      </c>
      <c r="BS18" s="3">
        <f t="shared" si="8"/>
        <v>5560.2845176960009</v>
      </c>
      <c r="BT18" s="8">
        <f>BO18*$BT$15</f>
        <v>17.716000000000001</v>
      </c>
      <c r="CC18">
        <v>1.03</v>
      </c>
      <c r="CD18">
        <v>-574.03488053733304</v>
      </c>
      <c r="CE18">
        <v>27.983223466666701</v>
      </c>
      <c r="CF18">
        <v>0.48293066666666701</v>
      </c>
      <c r="CG18" s="8">
        <f>CH18^3</f>
        <v>5560.2845176960009</v>
      </c>
      <c r="CH18" s="8">
        <f t="shared" si="14"/>
        <v>17.716000000000001</v>
      </c>
    </row>
    <row r="19" spans="2:91" x14ac:dyDescent="0.2">
      <c r="B19">
        <v>1.02</v>
      </c>
      <c r="C19">
        <v>-572.26527667200003</v>
      </c>
      <c r="D19">
        <v>28.152767333333301</v>
      </c>
      <c r="E19">
        <v>1.116652</v>
      </c>
      <c r="F19" s="4">
        <f>G19^3</f>
        <v>5399.9017251840005</v>
      </c>
      <c r="G19" s="8">
        <f>B19*$G$17</f>
        <v>17.544</v>
      </c>
      <c r="H19">
        <f>(F20-F19)/(E20-E19)*(0-E19)+F19</f>
        <v>5477.5662329207889</v>
      </c>
      <c r="I19" s="3">
        <f>H19^(1/3)</f>
        <v>17.627709271273858</v>
      </c>
      <c r="J19">
        <f>$D$6/(H19*(10^-24))</f>
        <v>4.1775420375688332</v>
      </c>
      <c r="K19">
        <f>(C20-C19)/(E20-E19)*(0-E19)+C19</f>
        <v>-571.64537229045914</v>
      </c>
      <c r="N19">
        <v>1200</v>
      </c>
      <c r="O19">
        <v>4.3046697019440439</v>
      </c>
      <c r="P19">
        <v>-578.03350932986905</v>
      </c>
      <c r="Q19">
        <v>24.199311354163079</v>
      </c>
      <c r="R19">
        <f t="shared" si="15"/>
        <v>-553.83419797570593</v>
      </c>
      <c r="S19">
        <f t="shared" si="16"/>
        <v>4.5711163044391018E-2</v>
      </c>
      <c r="T19">
        <f t="shared" si="17"/>
        <v>110.24668585325574</v>
      </c>
      <c r="U19">
        <f t="shared" si="18"/>
        <v>0.32001940741148255</v>
      </c>
      <c r="V19">
        <v>8.6699020760000634E-2</v>
      </c>
      <c r="Y19">
        <v>1.04</v>
      </c>
      <c r="Z19">
        <v>-564.75947891333306</v>
      </c>
      <c r="AA19">
        <v>28.262007066666701</v>
      </c>
      <c r="AB19">
        <v>-2.952032</v>
      </c>
      <c r="AC19" s="4">
        <f t="shared" si="5"/>
        <v>5723.8119710719984</v>
      </c>
      <c r="AD19" s="8">
        <f t="shared" si="10"/>
        <v>17.887999999999998</v>
      </c>
      <c r="AQ19" s="8"/>
      <c r="AR19" s="8"/>
      <c r="BE19" s="8"/>
      <c r="BF19" s="8"/>
      <c r="BS19" s="8"/>
      <c r="BT19" s="8"/>
      <c r="CC19">
        <v>1.04</v>
      </c>
      <c r="CD19">
        <v>-573.57842849251801</v>
      </c>
      <c r="CE19">
        <v>27.535674282292501</v>
      </c>
      <c r="CF19">
        <v>-2.0476898864970599</v>
      </c>
      <c r="CG19" s="8">
        <f>CH19^3</f>
        <v>5723.8119710719984</v>
      </c>
      <c r="CH19" s="8">
        <f t="shared" ref="CH19" si="19">CC19*$CH$15</f>
        <v>17.887999999999998</v>
      </c>
    </row>
    <row r="20" spans="2:91" x14ac:dyDescent="0.2">
      <c r="B20">
        <v>1.03</v>
      </c>
      <c r="C20">
        <v>-570.98512955333297</v>
      </c>
      <c r="D20">
        <v>28.359069333333299</v>
      </c>
      <c r="E20">
        <v>-1.1893146666666701</v>
      </c>
      <c r="F20" s="4">
        <f t="shared" si="9"/>
        <v>5560.2845176960009</v>
      </c>
      <c r="G20" s="8">
        <f>B20*$G$17</f>
        <v>17.716000000000001</v>
      </c>
      <c r="N20">
        <v>1100</v>
      </c>
      <c r="O20">
        <v>4.3579574924952675</v>
      </c>
      <c r="P20">
        <v>-580.52332115475986</v>
      </c>
      <c r="Q20">
        <v>22.118006874614768</v>
      </c>
      <c r="R20">
        <f t="shared" si="15"/>
        <v>-558.40531428014503</v>
      </c>
      <c r="V20">
        <v>8.3774110303112659E-2</v>
      </c>
      <c r="AA20">
        <f>AVERAGE(AA14:AA19)</f>
        <v>28.251918399999983</v>
      </c>
      <c r="AH20" t="s">
        <v>51</v>
      </c>
      <c r="AI20" t="s">
        <v>52</v>
      </c>
      <c r="AO20">
        <f>AVERAGE(AO14:AO19)</f>
        <v>28.152308373333302</v>
      </c>
      <c r="AV20" t="s">
        <v>51</v>
      </c>
      <c r="AW20" t="s">
        <v>52</v>
      </c>
      <c r="BQ20">
        <f>AVERAGE(BQ14:BQ19)</f>
        <v>28.267071359999978</v>
      </c>
      <c r="BX20" t="s">
        <v>51</v>
      </c>
      <c r="BY20" t="s">
        <v>52</v>
      </c>
      <c r="CE20">
        <f>AVERAGE(CE14:CE18)</f>
        <v>28.130895684019759</v>
      </c>
      <c r="CL20" t="s">
        <v>51</v>
      </c>
      <c r="CM20" t="s">
        <v>52</v>
      </c>
    </row>
    <row r="21" spans="2:91" x14ac:dyDescent="0.2">
      <c r="B21">
        <v>1.05</v>
      </c>
      <c r="C21">
        <v>-568.70787252456898</v>
      </c>
      <c r="D21">
        <v>28.113873753262201</v>
      </c>
      <c r="E21">
        <v>-4.1902342823250303</v>
      </c>
      <c r="F21" s="4">
        <f t="shared" si="9"/>
        <v>5890.5146159999995</v>
      </c>
      <c r="G21" s="8">
        <f>B21*$G$17</f>
        <v>18.059999999999999</v>
      </c>
      <c r="AC21" t="s">
        <v>50</v>
      </c>
      <c r="AG21" t="e">
        <f>$D$6/(AE21*(10^-24))</f>
        <v>#DIV/0!</v>
      </c>
      <c r="AH21">
        <f>-AE21*(2*(0.000007001*AE21)-0.09372)</f>
        <v>0</v>
      </c>
      <c r="AI21" t="e">
        <f>10/AH21</f>
        <v>#DIV/0!</v>
      </c>
      <c r="AQ21" t="s">
        <v>50</v>
      </c>
      <c r="AU21" t="e">
        <f>$D$6/(AS21*(10^-24))</f>
        <v>#DIV/0!</v>
      </c>
      <c r="AV21">
        <f>-AS21*(2*(0.000007001*AS21)-0.09372)</f>
        <v>0</v>
      </c>
      <c r="AW21" t="e">
        <f>10/AV21</f>
        <v>#DIV/0!</v>
      </c>
      <c r="BA21">
        <v>1100</v>
      </c>
      <c r="BS21" t="s">
        <v>50</v>
      </c>
      <c r="BW21" t="e">
        <f>$D$6/(BU21*(10^-24))</f>
        <v>#DIV/0!</v>
      </c>
      <c r="BX21">
        <f>-BU21*(2*(0.000007001*BU21)-0.09372)</f>
        <v>0</v>
      </c>
      <c r="BY21" t="e">
        <f>10/BX21</f>
        <v>#DIV/0!</v>
      </c>
      <c r="CG21" t="s">
        <v>50</v>
      </c>
      <c r="CK21" t="e">
        <f>$D$6/(CI21*(10^-24))</f>
        <v>#DIV/0!</v>
      </c>
      <c r="CL21">
        <f>-CI21*(2*(0.000007001*CI21)-0.09372)</f>
        <v>0</v>
      </c>
      <c r="CM21" t="e">
        <f>10/CL21</f>
        <v>#DIV/0!</v>
      </c>
    </row>
    <row r="22" spans="2:91" x14ac:dyDescent="0.2">
      <c r="D22">
        <f>AVERAGE(D14:D21)</f>
        <v>28.165797317132682</v>
      </c>
      <c r="K22" t="s">
        <v>51</v>
      </c>
      <c r="L22" t="s">
        <v>52</v>
      </c>
      <c r="BB22" t="s">
        <v>11</v>
      </c>
      <c r="BC22" t="s">
        <v>12</v>
      </c>
      <c r="BD22" t="s">
        <v>13</v>
      </c>
      <c r="BE22" t="s">
        <v>14</v>
      </c>
      <c r="BF22" t="s">
        <v>26</v>
      </c>
      <c r="BG22" t="s">
        <v>15</v>
      </c>
      <c r="BI22" t="s">
        <v>16</v>
      </c>
      <c r="BJ22" t="s">
        <v>17</v>
      </c>
    </row>
    <row r="23" spans="2:91" x14ac:dyDescent="0.2">
      <c r="F23" t="s">
        <v>50</v>
      </c>
      <c r="H23">
        <v>5477.5</v>
      </c>
      <c r="J23">
        <f>$D$6/(H23*(10^-24))</f>
        <v>4.1775925516374537</v>
      </c>
      <c r="K23">
        <f>-H23*(2*(0.000007001*H23)-0.09372)</f>
        <v>93.249206487499933</v>
      </c>
      <c r="L23">
        <f>10/K23</f>
        <v>0.10723951845467447</v>
      </c>
      <c r="N23" t="s">
        <v>18</v>
      </c>
      <c r="O23" t="s">
        <v>14</v>
      </c>
      <c r="P23" t="s">
        <v>68</v>
      </c>
      <c r="Q23" t="s">
        <v>42</v>
      </c>
      <c r="Y23">
        <v>1300</v>
      </c>
      <c r="BA23">
        <v>0.98</v>
      </c>
      <c r="BB23" s="10"/>
      <c r="BC23" s="10"/>
      <c r="BD23" s="10"/>
      <c r="BE23" s="8">
        <v>4362.71</v>
      </c>
      <c r="BF23" s="8">
        <f>BE23^(1/3)</f>
        <v>16.340002367079865</v>
      </c>
    </row>
    <row r="24" spans="2:91" x14ac:dyDescent="0.2">
      <c r="N24">
        <v>1400</v>
      </c>
      <c r="O24">
        <v>5477.5</v>
      </c>
      <c r="P24">
        <f>O24/40</f>
        <v>136.9375</v>
      </c>
      <c r="Q24">
        <f>P17/40</f>
        <v>-14.291134307261478</v>
      </c>
      <c r="Z24" t="s">
        <v>11</v>
      </c>
      <c r="AA24" t="s">
        <v>12</v>
      </c>
      <c r="AB24" t="s">
        <v>13</v>
      </c>
      <c r="AC24" t="s">
        <v>14</v>
      </c>
      <c r="AD24" t="s">
        <v>26</v>
      </c>
      <c r="AE24" t="s">
        <v>15</v>
      </c>
      <c r="AG24" t="s">
        <v>16</v>
      </c>
      <c r="AH24" t="s">
        <v>17</v>
      </c>
      <c r="AM24">
        <v>1100</v>
      </c>
      <c r="BA24">
        <v>1</v>
      </c>
      <c r="BB24">
        <v>-567.80172271804099</v>
      </c>
      <c r="BC24">
        <v>21.8716674759787</v>
      </c>
      <c r="BD24">
        <v>2.8599113845229698</v>
      </c>
      <c r="BE24" s="8">
        <f>$F$14*(BA24/$B$14)^3</f>
        <v>5088.4479999999976</v>
      </c>
      <c r="BF24" s="8">
        <f t="shared" ref="BF24:BF27" si="20">BE24^(1/3)</f>
        <v>17.199999999999992</v>
      </c>
      <c r="BO24">
        <v>1100</v>
      </c>
      <c r="CC24">
        <v>1100</v>
      </c>
    </row>
    <row r="25" spans="2:91" x14ac:dyDescent="0.2">
      <c r="B25">
        <v>1300</v>
      </c>
      <c r="N25">
        <v>1300</v>
      </c>
      <c r="O25">
        <v>5416</v>
      </c>
      <c r="P25">
        <f t="shared" ref="P25:P27" si="21">O25/40</f>
        <v>135.4</v>
      </c>
      <c r="Q25">
        <f t="shared" ref="Q25:Q27" si="22">P18/40</f>
        <v>-14.38243530360894</v>
      </c>
      <c r="Y25">
        <v>0.98</v>
      </c>
      <c r="Z25" s="10">
        <v>-572.30333077733303</v>
      </c>
      <c r="AA25" s="10">
        <v>26.1496401333333</v>
      </c>
      <c r="AB25" s="10">
        <v>15.744882666666699</v>
      </c>
      <c r="AC25" s="8">
        <v>4362.71</v>
      </c>
      <c r="AD25" s="8">
        <f>AC25^(1/3)</f>
        <v>16.340002367079865</v>
      </c>
      <c r="AN25" t="s">
        <v>11</v>
      </c>
      <c r="AO25" t="s">
        <v>12</v>
      </c>
      <c r="AP25" t="s">
        <v>13</v>
      </c>
      <c r="AQ25" t="s">
        <v>14</v>
      </c>
      <c r="AR25" t="s">
        <v>26</v>
      </c>
      <c r="AS25" t="s">
        <v>15</v>
      </c>
      <c r="AT25" t="s">
        <v>26</v>
      </c>
      <c r="AU25" t="s">
        <v>16</v>
      </c>
      <c r="AV25" t="s">
        <v>17</v>
      </c>
      <c r="BA25">
        <v>1.01</v>
      </c>
      <c r="BB25">
        <v>-566.38507767777799</v>
      </c>
      <c r="BC25">
        <v>22.002271259955499</v>
      </c>
      <c r="BD25">
        <v>-1.15085617837996</v>
      </c>
      <c r="BE25" s="8">
        <f>$F$14*(BA25/$B$14)^3</f>
        <v>5242.6330628479982</v>
      </c>
      <c r="BF25" s="8">
        <f t="shared" si="20"/>
        <v>17.371999999999996</v>
      </c>
      <c r="BG25">
        <f>(BE26-BE25)/(BD26-BD25)*(0-BD25)+BE25</f>
        <v>5158.9927565203816</v>
      </c>
      <c r="BI25">
        <f>$D$6/(BG25*(10^-24))</f>
        <v>4.4355098527077663</v>
      </c>
      <c r="BJ25">
        <f>(BB26-BB25)/(BD26-BD25)*(0-BD25)+BB25</f>
        <v>-566.57899243567181</v>
      </c>
      <c r="BP25" t="s">
        <v>11</v>
      </c>
      <c r="BQ25" t="s">
        <v>12</v>
      </c>
      <c r="BR25" t="s">
        <v>13</v>
      </c>
      <c r="BS25" t="s">
        <v>14</v>
      </c>
      <c r="BT25" t="s">
        <v>26</v>
      </c>
      <c r="BU25" t="s">
        <v>15</v>
      </c>
      <c r="BW25" t="s">
        <v>16</v>
      </c>
      <c r="BX25" t="s">
        <v>17</v>
      </c>
      <c r="CD25" t="s">
        <v>11</v>
      </c>
      <c r="CE25" t="s">
        <v>12</v>
      </c>
      <c r="CF25" t="s">
        <v>13</v>
      </c>
      <c r="CG25" t="s">
        <v>14</v>
      </c>
      <c r="CH25" t="s">
        <v>26</v>
      </c>
      <c r="CI25" t="s">
        <v>15</v>
      </c>
      <c r="CJ25" t="s">
        <v>26</v>
      </c>
      <c r="CK25" t="s">
        <v>16</v>
      </c>
      <c r="CL25" t="s">
        <v>17</v>
      </c>
    </row>
    <row r="26" spans="2:91" x14ac:dyDescent="0.2">
      <c r="C26" t="s">
        <v>11</v>
      </c>
      <c r="D26" t="s">
        <v>12</v>
      </c>
      <c r="E26" t="s">
        <v>13</v>
      </c>
      <c r="F26" t="s">
        <v>14</v>
      </c>
      <c r="G26" t="s">
        <v>26</v>
      </c>
      <c r="H26" t="s">
        <v>15</v>
      </c>
      <c r="J26" t="s">
        <v>16</v>
      </c>
      <c r="K26" t="s">
        <v>17</v>
      </c>
      <c r="N26">
        <v>1200</v>
      </c>
      <c r="O26">
        <v>5315.8</v>
      </c>
      <c r="P26">
        <f t="shared" si="21"/>
        <v>132.89500000000001</v>
      </c>
      <c r="Q26">
        <f t="shared" si="22"/>
        <v>-14.450837733246725</v>
      </c>
      <c r="Y26">
        <v>1</v>
      </c>
      <c r="Z26">
        <v>-572.17986827877201</v>
      </c>
      <c r="AA26">
        <v>26.0084953594022</v>
      </c>
      <c r="AB26">
        <v>6.1589961191462601</v>
      </c>
      <c r="AC26" s="8">
        <f>$F$14*(Y26/$B$14)^3</f>
        <v>5088.4479999999976</v>
      </c>
      <c r="AD26" s="8">
        <f t="shared" ref="AD26:AD29" si="23">AC26^(1/3)</f>
        <v>17.199999999999992</v>
      </c>
      <c r="AM26">
        <v>0.99</v>
      </c>
      <c r="AN26" s="10"/>
      <c r="AO26" s="10"/>
      <c r="AP26" s="10"/>
      <c r="AQ26" s="8">
        <v>4362.71</v>
      </c>
      <c r="AR26" s="8">
        <f>AQ26^(1/3)</f>
        <v>16.340002367079865</v>
      </c>
      <c r="BA26">
        <v>1.02</v>
      </c>
      <c r="BB26">
        <v>-566.02046023530102</v>
      </c>
      <c r="BC26">
        <v>21.965151438343</v>
      </c>
      <c r="BD26">
        <v>-3.3148082209034899</v>
      </c>
      <c r="BE26" s="8">
        <f t="shared" ref="BE26:BE27" si="24">$F$14*(BA26/$B$14)^3</f>
        <v>5399.9017251839996</v>
      </c>
      <c r="BF26" s="8">
        <f t="shared" si="20"/>
        <v>17.543999999999993</v>
      </c>
      <c r="BP26" s="10"/>
      <c r="BQ26" s="10"/>
      <c r="BR26" s="10"/>
      <c r="BS26" s="8"/>
      <c r="BT26" s="8"/>
      <c r="CC26">
        <v>0.98</v>
      </c>
      <c r="CD26" s="10">
        <v>-585.82993584133305</v>
      </c>
      <c r="CE26" s="10">
        <v>22.0649710666667</v>
      </c>
      <c r="CF26" s="10">
        <v>14.994548</v>
      </c>
      <c r="CG26" s="8">
        <f t="shared" ref="CG26:CG28" si="25">CH26^3</f>
        <v>4789.2065500159979</v>
      </c>
      <c r="CH26" s="8">
        <f>CC26*$CH$15</f>
        <v>16.855999999999998</v>
      </c>
    </row>
    <row r="27" spans="2:91" x14ac:dyDescent="0.2">
      <c r="B27">
        <v>0.95</v>
      </c>
      <c r="C27">
        <v>-575.57605391200002</v>
      </c>
      <c r="D27">
        <v>26.248877333333301</v>
      </c>
      <c r="E27">
        <v>39.153946666666698</v>
      </c>
      <c r="F27" s="8">
        <v>4362.71</v>
      </c>
      <c r="G27" s="8">
        <f>F27^(1/3)</f>
        <v>16.340002367079865</v>
      </c>
      <c r="N27">
        <v>1100</v>
      </c>
      <c r="O27">
        <v>5250.8</v>
      </c>
      <c r="P27">
        <f t="shared" si="21"/>
        <v>131.27000000000001</v>
      </c>
      <c r="Q27">
        <f t="shared" si="22"/>
        <v>-14.513083028868996</v>
      </c>
      <c r="Y27">
        <v>1.01</v>
      </c>
      <c r="Z27">
        <v>-570.84928925600002</v>
      </c>
      <c r="AA27">
        <v>25.902839466666698</v>
      </c>
      <c r="AB27">
        <v>2.2873600000000001</v>
      </c>
      <c r="AC27" s="8">
        <f>$F$14*(Y27/$B$14)^3</f>
        <v>5242.6330628479982</v>
      </c>
      <c r="AD27" s="8">
        <f t="shared" si="23"/>
        <v>17.371999999999996</v>
      </c>
      <c r="AE27">
        <f>(AC28-AC27)/(AB28-AB27)*(0-AB27)+AC27</f>
        <v>5408.2493725861905</v>
      </c>
      <c r="AF27" s="3">
        <f>AE27^(1/3)</f>
        <v>17.553035703024612</v>
      </c>
      <c r="AG27">
        <f>$D$6/(AE27*(10^-24))</f>
        <v>4.2310850748828841</v>
      </c>
      <c r="AH27">
        <f>(Z28-Z27)/(AB28-AB27)*(0-AB27)+Z27</f>
        <v>-569.00401999288283</v>
      </c>
      <c r="AM27">
        <v>1</v>
      </c>
      <c r="AN27">
        <v>-571.511790061895</v>
      </c>
      <c r="AO27">
        <v>21.8697324614064</v>
      </c>
      <c r="AP27">
        <v>2.2923119805131802</v>
      </c>
      <c r="AQ27" s="8">
        <f>$F$14*(AM27/$B$14)^3</f>
        <v>5088.4479999999976</v>
      </c>
      <c r="AR27" s="8">
        <f t="shared" ref="AR27:AR30" si="26">AQ27^(1/3)</f>
        <v>17.199999999999992</v>
      </c>
      <c r="AS27">
        <f>(AQ28-AQ27)/(AP28-AP27)*(0-AP27)+AQ27</f>
        <v>5240.2600587309034</v>
      </c>
      <c r="AT27" s="3">
        <f>AS27^(1/3)</f>
        <v>17.369378540618321</v>
      </c>
      <c r="AU27">
        <f>$D$6/(AS27*(10^-24))</f>
        <v>4.3667228238928173</v>
      </c>
      <c r="AV27">
        <f>(AN28-AN27)/(AP28-AP27)*(0-AP27)+AN27</f>
        <v>-570.86974454709684</v>
      </c>
      <c r="BA27">
        <v>1.03</v>
      </c>
      <c r="BB27">
        <v>-563.61660021948501</v>
      </c>
      <c r="BC27">
        <v>22.219501349679302</v>
      </c>
      <c r="BD27">
        <v>-4.2489012550223997</v>
      </c>
      <c r="BE27" s="8">
        <f t="shared" si="24"/>
        <v>5560.284517696</v>
      </c>
      <c r="BF27" s="8">
        <f t="shared" si="20"/>
        <v>17.716000000000001</v>
      </c>
      <c r="BO27">
        <v>0.99</v>
      </c>
      <c r="BP27">
        <v>-564.92167674000098</v>
      </c>
      <c r="BQ27">
        <v>22.110664533333299</v>
      </c>
      <c r="BR27">
        <v>7.4188413333333303</v>
      </c>
      <c r="BS27" s="3">
        <f>BT27^3</f>
        <v>4937.3160059519987</v>
      </c>
      <c r="BT27" s="8">
        <f>BO27*$BT$28</f>
        <v>17.027999999999999</v>
      </c>
      <c r="CC27">
        <v>1</v>
      </c>
      <c r="CD27">
        <v>-584.54157470799998</v>
      </c>
      <c r="CE27">
        <v>22.193858666666699</v>
      </c>
      <c r="CF27">
        <v>5.9403213333333298</v>
      </c>
      <c r="CG27" s="8">
        <f t="shared" si="25"/>
        <v>5088.4479999999994</v>
      </c>
      <c r="CH27" s="8">
        <v>17.2</v>
      </c>
    </row>
    <row r="28" spans="2:91" x14ac:dyDescent="0.2">
      <c r="B28">
        <v>0.99</v>
      </c>
      <c r="C28">
        <v>-577.57887525333297</v>
      </c>
      <c r="D28">
        <v>26.067771066666602</v>
      </c>
      <c r="E28">
        <v>10.4188733333333</v>
      </c>
      <c r="F28" s="8">
        <f>$F$14*(B28/$B$14)^3</f>
        <v>4937.3160059520014</v>
      </c>
      <c r="G28" s="8">
        <f t="shared" ref="G28:G33" si="27">F28^(1/3)</f>
        <v>17.027999999999995</v>
      </c>
      <c r="Y28">
        <v>1.02</v>
      </c>
      <c r="Z28">
        <v>-569.09702808607699</v>
      </c>
      <c r="AA28">
        <v>26.156202998267801</v>
      </c>
      <c r="AB28">
        <v>0.115291028957587</v>
      </c>
      <c r="AC28" s="8">
        <f t="shared" ref="AC28:AC29" si="28">$F$14*(Y28/$B$14)^3</f>
        <v>5399.9017251839996</v>
      </c>
      <c r="AD28" s="8">
        <f t="shared" si="23"/>
        <v>17.543999999999993</v>
      </c>
      <c r="AM28">
        <v>1.01</v>
      </c>
      <c r="AN28">
        <v>-570.85970860751002</v>
      </c>
      <c r="AO28">
        <v>21.855246245912799</v>
      </c>
      <c r="AP28">
        <v>-3.58315789463442E-2</v>
      </c>
      <c r="AQ28" s="8">
        <f>$F$14*(AM28/$B$14)^3</f>
        <v>5242.6330628479982</v>
      </c>
      <c r="AR28" s="8">
        <f t="shared" si="26"/>
        <v>17.371999999999996</v>
      </c>
      <c r="BC28">
        <f>AVERAGE(BC23:BC27)</f>
        <v>22.014647880989127</v>
      </c>
      <c r="BJ28" t="s">
        <v>51</v>
      </c>
      <c r="BK28" t="s">
        <v>52</v>
      </c>
      <c r="BO28">
        <v>1</v>
      </c>
      <c r="BP28">
        <v>-564.21573438533301</v>
      </c>
      <c r="BQ28">
        <v>22.206920799999999</v>
      </c>
      <c r="BR28">
        <v>3.7692760000000001</v>
      </c>
      <c r="BS28" s="3">
        <f t="shared" ref="BS28:BS30" si="29">BT28^3</f>
        <v>5088.4479999999994</v>
      </c>
      <c r="BT28" s="8">
        <v>17.2</v>
      </c>
      <c r="BU28">
        <f>(BS29-BS28)/(BR29-BR28)*(0-BR28)+BS28</f>
        <v>5207.9593601959214</v>
      </c>
      <c r="BV28" s="3">
        <f>BU28^(1/3)</f>
        <v>17.333616971249867</v>
      </c>
      <c r="BW28">
        <f>$D$6/(BU28*(10^-24))</f>
        <v>4.3938060224673698</v>
      </c>
      <c r="BX28">
        <f>(BP29-BP28)/(BR29-BR28)*(0-BR28)+BP28</f>
        <v>-563.7031265874956</v>
      </c>
      <c r="CC28">
        <v>1.01</v>
      </c>
      <c r="CD28">
        <v>-584.33397977869504</v>
      </c>
      <c r="CE28">
        <v>22.106572848297201</v>
      </c>
      <c r="CF28">
        <v>1.7750764086687301</v>
      </c>
      <c r="CG28" s="8">
        <f t="shared" si="25"/>
        <v>5242.633062848</v>
      </c>
      <c r="CH28" s="8">
        <f>CC28*$CH$15</f>
        <v>17.372</v>
      </c>
      <c r="CI28">
        <f>(CG29-CG28)/(CF29-CF28)*(0-CF28)+CG28</f>
        <v>5355.5894975752835</v>
      </c>
      <c r="CJ28" s="27">
        <f>CI28^(1/3)</f>
        <v>17.495878754776069</v>
      </c>
      <c r="CK28">
        <f>$D$6/(CI28*(10^-24))</f>
        <v>4.2726880415226391</v>
      </c>
      <c r="CL28">
        <f>(CD29-CD28)/(CF29-CF28)*(0-CF28)+CD28</f>
        <v>-583.49438578984768</v>
      </c>
    </row>
    <row r="29" spans="2:91" x14ac:dyDescent="0.2">
      <c r="B29">
        <v>1</v>
      </c>
      <c r="C29">
        <v>-577.50345312000002</v>
      </c>
      <c r="D29">
        <v>26.117071466666701</v>
      </c>
      <c r="E29">
        <v>6.1217600000000001</v>
      </c>
      <c r="F29" s="8">
        <f>$F$14*(B29/$B$14)^3</f>
        <v>5088.4479999999976</v>
      </c>
      <c r="G29" s="8">
        <f t="shared" si="27"/>
        <v>17.199999999999992</v>
      </c>
      <c r="Y29">
        <v>1.03</v>
      </c>
      <c r="Z29">
        <v>-567.59122897187103</v>
      </c>
      <c r="AA29">
        <v>26.2707895526882</v>
      </c>
      <c r="AB29">
        <v>-2.18791720430107</v>
      </c>
      <c r="AC29" s="8">
        <f t="shared" si="28"/>
        <v>5560.284517696</v>
      </c>
      <c r="AD29" s="8">
        <f t="shared" si="23"/>
        <v>17.716000000000001</v>
      </c>
      <c r="AM29">
        <v>1.02</v>
      </c>
      <c r="AN29">
        <v>-568.75352801696101</v>
      </c>
      <c r="AO29">
        <v>22.119652223969599</v>
      </c>
      <c r="AP29">
        <v>-2.7354548301052901</v>
      </c>
      <c r="AQ29" s="8">
        <f t="shared" ref="AQ29:AQ30" si="30">$F$14*(AM29/$B$14)^3</f>
        <v>5399.9017251839996</v>
      </c>
      <c r="AR29" s="8">
        <f t="shared" si="26"/>
        <v>17.543999999999993</v>
      </c>
      <c r="AT29" s="3"/>
      <c r="BE29" t="s">
        <v>50</v>
      </c>
      <c r="BI29" t="e">
        <f>$D$6/(BG29*(10^-24))</f>
        <v>#DIV/0!</v>
      </c>
      <c r="BJ29">
        <f>-BG29*(2*(0.000007001*BG29)-0.09372)</f>
        <v>0</v>
      </c>
      <c r="BK29" t="e">
        <f>10/BJ29</f>
        <v>#DIV/0!</v>
      </c>
      <c r="BO29">
        <v>1.01</v>
      </c>
      <c r="BP29">
        <v>-563.55440423733398</v>
      </c>
      <c r="BQ29">
        <v>22.330561199999998</v>
      </c>
      <c r="BR29">
        <v>-1.0935760000000001</v>
      </c>
      <c r="BS29" s="3">
        <f t="shared" si="29"/>
        <v>5242.633062848</v>
      </c>
      <c r="BT29" s="8">
        <f>BO29*$BT$28</f>
        <v>17.372</v>
      </c>
      <c r="CC29">
        <v>1.02</v>
      </c>
      <c r="CD29">
        <v>-583.16501739199998</v>
      </c>
      <c r="CE29">
        <v>22.1275616</v>
      </c>
      <c r="CF29">
        <v>-0.69635333333333305</v>
      </c>
      <c r="CG29" s="8">
        <f t="shared" ref="CG29:CG30" si="31">CH29^3</f>
        <v>5399.9017251840005</v>
      </c>
      <c r="CH29" s="8">
        <f t="shared" ref="CH29:CH30" si="32">CC29*$CH$15</f>
        <v>17.544</v>
      </c>
    </row>
    <row r="30" spans="2:91" x14ac:dyDescent="0.2">
      <c r="B30">
        <v>1.01</v>
      </c>
      <c r="C30">
        <v>-575.66288300133397</v>
      </c>
      <c r="D30">
        <v>26.0322474666667</v>
      </c>
      <c r="E30">
        <v>3.7435386666666601</v>
      </c>
      <c r="F30" s="8">
        <f t="shared" ref="F30:F32" si="33">$F$14*(B30/$B$14)^3</f>
        <v>5242.6330628479982</v>
      </c>
      <c r="G30" s="8">
        <f t="shared" si="27"/>
        <v>17.371999999999996</v>
      </c>
      <c r="H30">
        <f>(F31-F30)/(E31-E30)*(0-E30)+F30</f>
        <v>5387.1590388340064</v>
      </c>
      <c r="I30" s="3">
        <f>H30^(1/3)</f>
        <v>17.53018902206815</v>
      </c>
      <c r="J30">
        <f>$D$6/(H30*(10^-24))</f>
        <v>4.2476494635931301</v>
      </c>
      <c r="K30">
        <f>(C31-C30)/(E31-E30)*(0-E30)+C30</f>
        <v>-575.47259953149864</v>
      </c>
      <c r="AA30">
        <f>AVERAGE(AA25:AA29)</f>
        <v>26.097593502071639</v>
      </c>
      <c r="AH30" t="s">
        <v>51</v>
      </c>
      <c r="AI30" t="s">
        <v>52</v>
      </c>
      <c r="AM30">
        <v>1.03</v>
      </c>
      <c r="AN30">
        <v>-567.56678594631296</v>
      </c>
      <c r="AO30">
        <v>22.215674066033699</v>
      </c>
      <c r="AP30">
        <v>-4.8343166244098503</v>
      </c>
      <c r="AQ30" s="8">
        <f t="shared" si="30"/>
        <v>5560.284517696</v>
      </c>
      <c r="AR30" s="8">
        <f t="shared" si="26"/>
        <v>17.716000000000001</v>
      </c>
      <c r="BO30">
        <v>1.03</v>
      </c>
      <c r="BP30">
        <v>-560.837245876</v>
      </c>
      <c r="BQ30">
        <v>22.222803200000001</v>
      </c>
      <c r="BR30">
        <v>-5.9904106666666701</v>
      </c>
      <c r="BS30" s="3">
        <f t="shared" si="29"/>
        <v>5560.2845176960009</v>
      </c>
      <c r="BT30" s="8">
        <f>BO30*$BT$28</f>
        <v>17.716000000000001</v>
      </c>
      <c r="CC30">
        <v>1.03</v>
      </c>
      <c r="CG30" s="8">
        <f t="shared" si="31"/>
        <v>5560.2845176960009</v>
      </c>
      <c r="CH30" s="8">
        <f t="shared" si="32"/>
        <v>17.716000000000001</v>
      </c>
    </row>
    <row r="31" spans="2:91" x14ac:dyDescent="0.2">
      <c r="B31">
        <v>1.02</v>
      </c>
      <c r="C31" s="10">
        <v>-575.45582246040703</v>
      </c>
      <c r="D31" s="10">
        <v>25.9638321530715</v>
      </c>
      <c r="E31" s="10">
        <v>-0.33006342799597199</v>
      </c>
      <c r="F31" s="8">
        <f t="shared" si="33"/>
        <v>5399.9017251839996</v>
      </c>
      <c r="G31" s="8">
        <f t="shared" si="27"/>
        <v>17.543999999999993</v>
      </c>
      <c r="AC31" t="s">
        <v>50</v>
      </c>
      <c r="AG31" t="e">
        <f>$D$6/(AE31*(10^-24))</f>
        <v>#DIV/0!</v>
      </c>
      <c r="AH31">
        <f>-AE31*(2*(0.000007001*AE31)-0.09372)</f>
        <v>0</v>
      </c>
      <c r="AI31" t="e">
        <f>10/AH31</f>
        <v>#DIV/0!</v>
      </c>
      <c r="AO31">
        <f>AVERAGE(AO26:AO30)</f>
        <v>22.015076249330622</v>
      </c>
      <c r="AV31" t="s">
        <v>51</v>
      </c>
      <c r="AW31" t="s">
        <v>52</v>
      </c>
      <c r="BQ31">
        <f>AVERAGE(BQ26:BQ30)</f>
        <v>22.217737433333323</v>
      </c>
      <c r="BX31" t="s">
        <v>51</v>
      </c>
      <c r="BY31" t="s">
        <v>52</v>
      </c>
      <c r="CE31">
        <f>AVERAGE(CE26:CE30)</f>
        <v>22.123241045407653</v>
      </c>
      <c r="CL31" t="s">
        <v>51</v>
      </c>
      <c r="CM31" t="s">
        <v>52</v>
      </c>
    </row>
    <row r="32" spans="2:91" x14ac:dyDescent="0.2">
      <c r="B32">
        <v>1.03</v>
      </c>
      <c r="C32">
        <v>-573.86741960740596</v>
      </c>
      <c r="D32">
        <v>26.0515756009003</v>
      </c>
      <c r="E32">
        <v>-2.4206185163177998</v>
      </c>
      <c r="F32" s="8">
        <f t="shared" si="33"/>
        <v>5560.284517696</v>
      </c>
      <c r="G32" s="8">
        <f t="shared" si="27"/>
        <v>17.716000000000001</v>
      </c>
      <c r="AQ32" t="s">
        <v>50</v>
      </c>
      <c r="AU32" t="e">
        <f>$D$6/(AS32*(10^-24))</f>
        <v>#DIV/0!</v>
      </c>
      <c r="AV32">
        <f>-AS32*(2*(0.000007001*AS32)-0.09372)</f>
        <v>0</v>
      </c>
      <c r="AW32" t="e">
        <f>10/AV32</f>
        <v>#DIV/0!</v>
      </c>
      <c r="BA32" t="s">
        <v>106</v>
      </c>
      <c r="BS32" t="s">
        <v>50</v>
      </c>
      <c r="BW32" t="e">
        <f>$D$6/(BU32*(10^-24))</f>
        <v>#DIV/0!</v>
      </c>
      <c r="BX32">
        <f>-BU32*(2*(0.000007001*BU32)-0.09372)</f>
        <v>0</v>
      </c>
      <c r="BY32" t="e">
        <f>10/BX32</f>
        <v>#DIV/0!</v>
      </c>
      <c r="CG32" t="s">
        <v>50</v>
      </c>
      <c r="CK32" t="e">
        <f>$D$6/(CI32*(10^-24))</f>
        <v>#DIV/0!</v>
      </c>
      <c r="CL32">
        <f>-CI32*(2*(0.000007001*CI32)-0.09372)</f>
        <v>0</v>
      </c>
      <c r="CM32" t="e">
        <f>10/CL32</f>
        <v>#DIV/0!</v>
      </c>
    </row>
    <row r="33" spans="2:77" x14ac:dyDescent="0.2">
      <c r="B33">
        <v>1.05</v>
      </c>
      <c r="C33">
        <v>-571.14066974399998</v>
      </c>
      <c r="D33">
        <v>26.141047333333301</v>
      </c>
      <c r="E33">
        <v>-5.04686533333334</v>
      </c>
      <c r="F33" s="8">
        <f>$F$14*(B33/$B$14)^3</f>
        <v>5890.5146160000013</v>
      </c>
      <c r="G33" s="8">
        <f t="shared" si="27"/>
        <v>18.059999999999992</v>
      </c>
      <c r="Y33">
        <v>1200</v>
      </c>
    </row>
    <row r="34" spans="2:77" x14ac:dyDescent="0.2">
      <c r="D34">
        <f>AVERAGE(D27:D33)</f>
        <v>26.088917488662627</v>
      </c>
      <c r="K34" t="s">
        <v>51</v>
      </c>
      <c r="L34" t="s">
        <v>52</v>
      </c>
      <c r="Z34" t="s">
        <v>11</v>
      </c>
      <c r="AA34" t="s">
        <v>12</v>
      </c>
      <c r="AB34" t="s">
        <v>13</v>
      </c>
      <c r="AC34" t="s">
        <v>14</v>
      </c>
      <c r="AD34" t="s">
        <v>26</v>
      </c>
      <c r="AE34" t="s">
        <v>15</v>
      </c>
      <c r="AG34" t="s">
        <v>16</v>
      </c>
      <c r="AH34" t="s">
        <v>17</v>
      </c>
    </row>
    <row r="35" spans="2:77" x14ac:dyDescent="0.2">
      <c r="F35" t="s">
        <v>50</v>
      </c>
      <c r="H35">
        <v>5416</v>
      </c>
      <c r="J35">
        <f>$D$6/(H35*(10^-24))</f>
        <v>4.2250301332337798</v>
      </c>
      <c r="K35">
        <f>-H35*(2*(0.000009319*H35)-0.1184)</f>
        <v>94.544902272000044</v>
      </c>
      <c r="L35">
        <f>10/K35</f>
        <v>0.1057698486083427</v>
      </c>
      <c r="Y35">
        <v>0.98</v>
      </c>
      <c r="Z35" s="10">
        <v>-574.23992281200003</v>
      </c>
      <c r="AA35" s="10">
        <v>24.2578852</v>
      </c>
      <c r="AB35" s="10">
        <v>13.5809293333333</v>
      </c>
      <c r="AC35" s="8">
        <v>4362.71</v>
      </c>
      <c r="AD35" s="8">
        <f>AC35^(1/3)</f>
        <v>16.340002367079865</v>
      </c>
      <c r="AM35" t="s">
        <v>105</v>
      </c>
      <c r="BO35" t="s">
        <v>107</v>
      </c>
    </row>
    <row r="36" spans="2:77" x14ac:dyDescent="0.2">
      <c r="Y36">
        <v>0.99</v>
      </c>
      <c r="Z36" s="10">
        <v>-574.041976342667</v>
      </c>
      <c r="AA36" s="10">
        <v>23.926235333333299</v>
      </c>
      <c r="AB36" s="10">
        <v>9.5478280000000204</v>
      </c>
      <c r="AC36" s="8">
        <f>$F$14*(Y36/$B$14)^3</f>
        <v>4937.3160059520014</v>
      </c>
      <c r="AD36" s="8">
        <f t="shared" ref="AD36:AD39" si="34">AC36^(1/3)</f>
        <v>17.027999999999995</v>
      </c>
      <c r="BA36">
        <v>1400</v>
      </c>
    </row>
    <row r="37" spans="2:77" x14ac:dyDescent="0.2">
      <c r="B37">
        <v>1200</v>
      </c>
      <c r="Y37">
        <v>1</v>
      </c>
      <c r="Z37">
        <v>-573.25362623466594</v>
      </c>
      <c r="AA37">
        <v>24.2752692</v>
      </c>
      <c r="AB37">
        <v>5.1367693333333397</v>
      </c>
      <c r="AC37" s="8">
        <f>$F$14*(Y37/$B$14)^3</f>
        <v>5088.4479999999976</v>
      </c>
      <c r="AD37" s="8">
        <f t="shared" si="34"/>
        <v>17.199999999999992</v>
      </c>
      <c r="BB37" t="s">
        <v>11</v>
      </c>
      <c r="BC37" t="s">
        <v>12</v>
      </c>
      <c r="BD37" t="s">
        <v>13</v>
      </c>
      <c r="BE37" t="s">
        <v>14</v>
      </c>
      <c r="BF37" t="s">
        <v>26</v>
      </c>
      <c r="BG37" t="s">
        <v>15</v>
      </c>
      <c r="BH37" t="s">
        <v>26</v>
      </c>
      <c r="BI37" t="s">
        <v>16</v>
      </c>
      <c r="BJ37" t="s">
        <v>17</v>
      </c>
    </row>
    <row r="38" spans="2:77" x14ac:dyDescent="0.2">
      <c r="C38" t="s">
        <v>11</v>
      </c>
      <c r="D38" t="s">
        <v>12</v>
      </c>
      <c r="E38" t="s">
        <v>13</v>
      </c>
      <c r="F38" t="s">
        <v>14</v>
      </c>
      <c r="G38" t="s">
        <v>26</v>
      </c>
      <c r="H38" t="s">
        <v>15</v>
      </c>
      <c r="J38" t="s">
        <v>16</v>
      </c>
      <c r="K38" t="s">
        <v>17</v>
      </c>
      <c r="Y38">
        <v>1.01</v>
      </c>
      <c r="Z38">
        <v>-573.32302500133301</v>
      </c>
      <c r="AA38">
        <v>24.035495600000001</v>
      </c>
      <c r="AB38">
        <v>1.2509106666666701</v>
      </c>
      <c r="AC38" s="8">
        <f>$F$14*(Y38/$B$14)^3</f>
        <v>5242.6330628479982</v>
      </c>
      <c r="AD38" s="8">
        <f t="shared" si="34"/>
        <v>17.371999999999996</v>
      </c>
      <c r="AE38">
        <f>(AC39-AC38)/(AB39-AB38)*(0-AB38)+AC38</f>
        <v>5305.8152561020988</v>
      </c>
      <c r="AF38" s="3">
        <f>AE38^(1/3)</f>
        <v>17.441508396916337</v>
      </c>
      <c r="AG38">
        <f>$D$6/(AE38*(10^-24))</f>
        <v>4.3127704409378369</v>
      </c>
      <c r="AH38">
        <f>(Z39-Z38)/(AB39-AB38)*(0-AB38)+Z38</f>
        <v>-572.74202462215135</v>
      </c>
      <c r="BA38">
        <v>0.98</v>
      </c>
      <c r="BB38" s="10"/>
      <c r="BC38" s="10"/>
      <c r="BD38" s="10"/>
      <c r="BE38" s="8">
        <f>BF38^3</f>
        <v>4789.2065500159979</v>
      </c>
      <c r="BF38" s="8">
        <f>BA38*$BT$15</f>
        <v>16.855999999999998</v>
      </c>
    </row>
    <row r="39" spans="2:77" x14ac:dyDescent="0.2">
      <c r="B39">
        <v>0.95</v>
      </c>
      <c r="C39">
        <v>-578.81915118133395</v>
      </c>
      <c r="D39">
        <v>23.996174266666699</v>
      </c>
      <c r="E39">
        <v>37.121631999999998</v>
      </c>
      <c r="F39" s="8">
        <v>4362.71</v>
      </c>
      <c r="G39" s="8">
        <f>F39^(1/3)</f>
        <v>16.340002367079865</v>
      </c>
      <c r="O39" t="s">
        <v>20</v>
      </c>
      <c r="P39" t="s">
        <v>101</v>
      </c>
      <c r="Q39" t="s">
        <v>99</v>
      </c>
      <c r="R39" t="s">
        <v>124</v>
      </c>
      <c r="S39" t="s">
        <v>125</v>
      </c>
      <c r="T39" t="s">
        <v>100</v>
      </c>
      <c r="Y39">
        <v>1.02</v>
      </c>
      <c r="Z39">
        <v>-571.87683980666702</v>
      </c>
      <c r="AA39">
        <v>24.173656000000001</v>
      </c>
      <c r="AB39">
        <v>-1.862768</v>
      </c>
      <c r="AC39" s="8">
        <f t="shared" ref="AC39" si="35">$F$14*(Y39/$B$14)^3</f>
        <v>5399.9017251839996</v>
      </c>
      <c r="AD39" s="8">
        <f t="shared" si="34"/>
        <v>17.543999999999993</v>
      </c>
      <c r="AM39">
        <v>1400</v>
      </c>
      <c r="BA39">
        <v>1</v>
      </c>
      <c r="BE39" s="8">
        <f t="shared" ref="BE39:BE42" si="36">BF39^3</f>
        <v>5088.4479999999994</v>
      </c>
      <c r="BF39" s="8">
        <f>17.2</f>
        <v>17.2</v>
      </c>
      <c r="BO39">
        <v>1400</v>
      </c>
    </row>
    <row r="40" spans="2:77" x14ac:dyDescent="0.2">
      <c r="B40">
        <v>0.99</v>
      </c>
      <c r="C40">
        <v>-579.84222614800001</v>
      </c>
      <c r="D40">
        <v>24.300129999999999</v>
      </c>
      <c r="E40">
        <v>9.0789080000000002</v>
      </c>
      <c r="F40" s="8">
        <f>$F$14*(B40/$B$14)^3</f>
        <v>4937.3160059520014</v>
      </c>
      <c r="G40" s="8">
        <f t="shared" ref="G40:G45" si="37">F40^(1/3)</f>
        <v>17.027999999999995</v>
      </c>
      <c r="O40">
        <v>1400</v>
      </c>
      <c r="P40">
        <v>4.1775420375688332</v>
      </c>
      <c r="Q40">
        <v>4.1647928404139867</v>
      </c>
      <c r="R40">
        <v>4.2070627748031404</v>
      </c>
      <c r="S40">
        <v>4.2342543637867127</v>
      </c>
      <c r="T40">
        <v>4.2094832940648921</v>
      </c>
      <c r="AA40">
        <f>AVERAGE(AA35:AA39)</f>
        <v>24.133708266666662</v>
      </c>
      <c r="AH40" t="s">
        <v>51</v>
      </c>
      <c r="AI40" t="s">
        <v>52</v>
      </c>
      <c r="AN40" t="s">
        <v>11</v>
      </c>
      <c r="AO40" t="s">
        <v>12</v>
      </c>
      <c r="AP40" t="s">
        <v>13</v>
      </c>
      <c r="AQ40" t="s">
        <v>14</v>
      </c>
      <c r="AR40" t="s">
        <v>26</v>
      </c>
      <c r="AS40" t="s">
        <v>15</v>
      </c>
      <c r="AT40" t="s">
        <v>26</v>
      </c>
      <c r="AU40" t="s">
        <v>16</v>
      </c>
      <c r="AV40" t="s">
        <v>17</v>
      </c>
      <c r="BA40">
        <v>1.01</v>
      </c>
      <c r="BE40" s="8">
        <f t="shared" si="36"/>
        <v>5242.633062848</v>
      </c>
      <c r="BF40" s="8">
        <f>BA40*$BT$15</f>
        <v>17.372</v>
      </c>
      <c r="BP40" t="s">
        <v>11</v>
      </c>
      <c r="BQ40" t="s">
        <v>12</v>
      </c>
      <c r="BR40" t="s">
        <v>13</v>
      </c>
      <c r="BS40" t="s">
        <v>14</v>
      </c>
      <c r="BT40" t="s">
        <v>26</v>
      </c>
      <c r="BU40" t="s">
        <v>15</v>
      </c>
      <c r="BV40" t="s">
        <v>26</v>
      </c>
      <c r="BW40" t="s">
        <v>16</v>
      </c>
      <c r="BX40" t="s">
        <v>17</v>
      </c>
    </row>
    <row r="41" spans="2:77" x14ac:dyDescent="0.2">
      <c r="B41">
        <v>1</v>
      </c>
      <c r="C41">
        <v>-579.18717521025496</v>
      </c>
      <c r="D41">
        <v>24.4014689041488</v>
      </c>
      <c r="E41">
        <v>5.2613479885550802</v>
      </c>
      <c r="F41" s="8">
        <f>$F$14*(B41/$B$14)^3</f>
        <v>5088.4479999999976</v>
      </c>
      <c r="G41" s="8">
        <f t="shared" si="37"/>
        <v>17.199999999999992</v>
      </c>
      <c r="O41">
        <v>1100</v>
      </c>
      <c r="P41">
        <v>4.3672848864000109</v>
      </c>
      <c r="Q41">
        <v>4.3703020406367896</v>
      </c>
      <c r="R41">
        <v>4.3667228238928173</v>
      </c>
      <c r="S41">
        <v>4.4355098527077663</v>
      </c>
      <c r="T41">
        <v>4.3938060224673698</v>
      </c>
      <c r="AC41" t="s">
        <v>50</v>
      </c>
      <c r="AG41" t="e">
        <f>$D$6/(AE41*(10^-24))</f>
        <v>#DIV/0!</v>
      </c>
      <c r="AH41">
        <f>-AE41*(2*(0.000007001*AE41)-0.09372)</f>
        <v>0</v>
      </c>
      <c r="AI41" t="e">
        <f>10/AH41</f>
        <v>#DIV/0!</v>
      </c>
      <c r="AM41">
        <v>0.98</v>
      </c>
      <c r="AN41" s="10">
        <v>-564.85326966000002</v>
      </c>
      <c r="AO41" s="10">
        <v>28.1252422666666</v>
      </c>
      <c r="AP41" s="10">
        <v>17.857573333333299</v>
      </c>
      <c r="AQ41" s="8">
        <f>AR41^3</f>
        <v>4789.2065500159979</v>
      </c>
      <c r="AR41" s="8">
        <f>AM41*$BT$15</f>
        <v>16.855999999999998</v>
      </c>
      <c r="BA41">
        <v>1.02</v>
      </c>
      <c r="BE41" s="8">
        <f t="shared" si="36"/>
        <v>5399.9017251840005</v>
      </c>
      <c r="BF41" s="8">
        <f t="shared" ref="BF41:BF42" si="38">BA41*$BT$15</f>
        <v>17.544</v>
      </c>
      <c r="BG41" t="e">
        <f>(BE42-BE41)/(BD42-BD41)*(0-BD41)+BE41</f>
        <v>#DIV/0!</v>
      </c>
      <c r="BH41" s="3" t="e">
        <f>BG41^(1/3)</f>
        <v>#DIV/0!</v>
      </c>
      <c r="BI41" t="e">
        <f>$D$6/(BG41*(10^-24))</f>
        <v>#DIV/0!</v>
      </c>
      <c r="BJ41" t="e">
        <f>(BB42-BB41)/(BD42-BD41)*(0-BD41)+BB41</f>
        <v>#DIV/0!</v>
      </c>
      <c r="BO41">
        <v>0.98</v>
      </c>
      <c r="BP41" s="10">
        <v>-561.52039903466698</v>
      </c>
      <c r="BQ41" s="10">
        <v>27.483892666666598</v>
      </c>
      <c r="BR41" s="10">
        <v>21.591828</v>
      </c>
      <c r="BS41" s="8">
        <f>BT41^3</f>
        <v>4789.2065500159979</v>
      </c>
      <c r="BT41" s="8">
        <f>BO41*$BT$15</f>
        <v>16.855999999999998</v>
      </c>
    </row>
    <row r="42" spans="2:77" x14ac:dyDescent="0.2">
      <c r="B42">
        <v>1.01</v>
      </c>
      <c r="C42">
        <v>-578.84117428000002</v>
      </c>
      <c r="D42">
        <v>24.082023866666599</v>
      </c>
      <c r="E42">
        <v>1.62017733333333</v>
      </c>
      <c r="F42" s="8">
        <f t="shared" ref="F42:F44" si="39">$F$14*(B42/$B$14)^3</f>
        <v>5242.6330628479982</v>
      </c>
      <c r="G42" s="8">
        <f t="shared" si="37"/>
        <v>17.371999999999996</v>
      </c>
      <c r="H42">
        <f>(F43-F42)/(E43-E42)*(0-E42)+F42</f>
        <v>5317.7735283712273</v>
      </c>
      <c r="I42" s="3">
        <f>H42^(1/3)</f>
        <v>17.454601817360366</v>
      </c>
      <c r="J42">
        <f>$D$6/(H42*(10^-24))</f>
        <v>4.3030721559522442</v>
      </c>
      <c r="K42">
        <f>(C43-C42)/(E43-E42)*(0-E42)+C42</f>
        <v>-578.03350932986905</v>
      </c>
      <c r="AM42">
        <v>1</v>
      </c>
      <c r="AN42">
        <v>-562.94303718799995</v>
      </c>
      <c r="AO42">
        <v>28.065533200000001</v>
      </c>
      <c r="AP42">
        <v>7.67809866666666</v>
      </c>
      <c r="AQ42" s="8">
        <f t="shared" ref="AQ42:AQ45" si="40">AR42^3</f>
        <v>5088.4479999999994</v>
      </c>
      <c r="AR42" s="8">
        <f>17.2</f>
        <v>17.2</v>
      </c>
      <c r="BA42">
        <v>1.03</v>
      </c>
      <c r="BE42" s="8">
        <f t="shared" si="36"/>
        <v>5560.2845176960009</v>
      </c>
      <c r="BF42" s="8">
        <f t="shared" si="38"/>
        <v>17.716000000000001</v>
      </c>
      <c r="BO42">
        <v>1</v>
      </c>
      <c r="BP42">
        <v>-560.08656664</v>
      </c>
      <c r="BQ42">
        <v>28.214937466666701</v>
      </c>
      <c r="BR42">
        <v>10.6633453333333</v>
      </c>
      <c r="BS42" s="8">
        <f t="shared" ref="BS42:BS45" si="41">BT42^3</f>
        <v>5088.4479999999994</v>
      </c>
      <c r="BT42" s="8">
        <f>17.2</f>
        <v>17.2</v>
      </c>
    </row>
    <row r="43" spans="2:77" x14ac:dyDescent="0.2">
      <c r="B43">
        <v>1.02</v>
      </c>
      <c r="C43">
        <v>-577.15073510800005</v>
      </c>
      <c r="D43">
        <v>24.294524266666699</v>
      </c>
      <c r="E43">
        <v>-1.77084666666667</v>
      </c>
      <c r="F43" s="8">
        <f t="shared" si="39"/>
        <v>5399.9017251839996</v>
      </c>
      <c r="G43" s="8">
        <f t="shared" si="37"/>
        <v>17.543999999999993</v>
      </c>
      <c r="O43" t="s">
        <v>20</v>
      </c>
      <c r="P43" t="s">
        <v>101</v>
      </c>
      <c r="Q43" t="s">
        <v>99</v>
      </c>
      <c r="R43" t="s">
        <v>100</v>
      </c>
      <c r="S43" t="s">
        <v>102</v>
      </c>
      <c r="T43" t="s">
        <v>103</v>
      </c>
      <c r="U43" t="s">
        <v>104</v>
      </c>
      <c r="V43" t="s">
        <v>63</v>
      </c>
      <c r="W43" t="s">
        <v>58</v>
      </c>
      <c r="Y43">
        <v>1100</v>
      </c>
      <c r="AM43">
        <v>1.01</v>
      </c>
      <c r="AN43">
        <v>-562.38515748666703</v>
      </c>
      <c r="AO43">
        <v>28.2109089333333</v>
      </c>
      <c r="AP43">
        <v>3.5509919999999999</v>
      </c>
      <c r="AQ43" s="8">
        <f t="shared" si="40"/>
        <v>5242.633062848</v>
      </c>
      <c r="AR43" s="8">
        <f>AM43*$BT$15</f>
        <v>17.372</v>
      </c>
      <c r="BE43" s="8"/>
      <c r="BF43" s="8"/>
      <c r="BO43">
        <v>1.02</v>
      </c>
      <c r="BP43">
        <v>-558.08456125711496</v>
      </c>
      <c r="BQ43">
        <v>28.563474481557702</v>
      </c>
      <c r="BR43">
        <v>3.5344048768783498</v>
      </c>
      <c r="BS43" s="8">
        <f t="shared" si="41"/>
        <v>5399.9017251840005</v>
      </c>
      <c r="BT43" s="8">
        <f>BO43*$BT$15</f>
        <v>17.544</v>
      </c>
    </row>
    <row r="44" spans="2:77" x14ac:dyDescent="0.2">
      <c r="B44">
        <v>1.03</v>
      </c>
      <c r="C44">
        <v>-576.29305145599994</v>
      </c>
      <c r="D44">
        <v>23.985181333333301</v>
      </c>
      <c r="E44">
        <v>-4.0926920000000004</v>
      </c>
      <c r="F44" s="8">
        <f t="shared" si="39"/>
        <v>5560.284517696</v>
      </c>
      <c r="G44" s="8">
        <f t="shared" si="37"/>
        <v>17.716000000000001</v>
      </c>
      <c r="O44">
        <v>1400</v>
      </c>
      <c r="P44">
        <v>4.1775420375688332</v>
      </c>
      <c r="Q44">
        <v>4.1647928404139867</v>
      </c>
      <c r="R44">
        <v>4.2094832940648921</v>
      </c>
      <c r="S44">
        <v>4.1108766890504738</v>
      </c>
      <c r="T44">
        <v>4.0556581539005654</v>
      </c>
      <c r="U44">
        <v>4.0572725944546377</v>
      </c>
      <c r="V44">
        <v>4.2436199999999999</v>
      </c>
      <c r="W44">
        <v>2.5317999999999987</v>
      </c>
      <c r="Z44" t="s">
        <v>11</v>
      </c>
      <c r="AA44" t="s">
        <v>12</v>
      </c>
      <c r="AB44" t="s">
        <v>13</v>
      </c>
      <c r="AC44" t="s">
        <v>14</v>
      </c>
      <c r="AD44" t="s">
        <v>26</v>
      </c>
      <c r="AE44" t="s">
        <v>15</v>
      </c>
      <c r="AG44" t="s">
        <v>16</v>
      </c>
      <c r="AH44" t="s">
        <v>17</v>
      </c>
      <c r="AM44">
        <v>1.02</v>
      </c>
      <c r="AN44">
        <v>-561.84740951333299</v>
      </c>
      <c r="AO44">
        <v>28.040704933333298</v>
      </c>
      <c r="AP44">
        <v>0.42905066666666802</v>
      </c>
      <c r="AQ44" s="8">
        <f t="shared" si="40"/>
        <v>5399.9017251840005</v>
      </c>
      <c r="AR44" s="8">
        <f t="shared" ref="AR44:AR45" si="42">AM44*$BT$15</f>
        <v>17.544</v>
      </c>
      <c r="AS44">
        <f>(AQ45-AQ44)/(AP45-AP44)*(0-AP44)+AQ44</f>
        <v>5439.1304400407707</v>
      </c>
      <c r="AT44" s="3">
        <f>AS44^(1/3)</f>
        <v>17.586381553642159</v>
      </c>
      <c r="AU44">
        <f>$D$6/(AS44*(10^-24))</f>
        <v>4.2070627748031404</v>
      </c>
      <c r="AV44">
        <f>(AN45-AN44)/(AP45-AP44)*(0-AP44)+AN44</f>
        <v>-561.41164475239077</v>
      </c>
      <c r="BO44">
        <v>1.03</v>
      </c>
      <c r="BP44">
        <v>-557.29226941646198</v>
      </c>
      <c r="BQ44">
        <v>28.105723441603899</v>
      </c>
      <c r="BR44">
        <v>1.3257952723009001</v>
      </c>
      <c r="BS44" s="8">
        <f t="shared" si="41"/>
        <v>5560.2845176960009</v>
      </c>
      <c r="BT44" s="8">
        <f t="shared" ref="BT44:BT45" si="43">BO44*$BT$15</f>
        <v>17.716000000000001</v>
      </c>
      <c r="BU44">
        <f>(BS45-BS44)/(BR45-BR44)*(0-BR44)+BS44</f>
        <v>5639.9373394012628</v>
      </c>
      <c r="BV44" s="3">
        <f>BU44^(1/3)</f>
        <v>17.800194985240736</v>
      </c>
      <c r="BW44">
        <f>$D$6/(BU44*(10^-24))</f>
        <v>4.0572725944546377</v>
      </c>
      <c r="BX44">
        <f>(BP45-BP44)/(BR45-BR44)*(0-BR44)+BP44</f>
        <v>-556.47337326598768</v>
      </c>
      <c r="BY44">
        <f>BX44/40</f>
        <v>-13.911834331649692</v>
      </c>
    </row>
    <row r="45" spans="2:77" x14ac:dyDescent="0.2">
      <c r="B45">
        <v>1.05</v>
      </c>
      <c r="C45">
        <v>-574.31390750666606</v>
      </c>
      <c r="D45">
        <v>24.2333584</v>
      </c>
      <c r="E45">
        <v>-6.5418946666666704</v>
      </c>
      <c r="F45" s="8">
        <f>$F$14*(B45/$B$14)^3</f>
        <v>5890.5146160000013</v>
      </c>
      <c r="G45" s="8">
        <f t="shared" si="37"/>
        <v>18.059999999999992</v>
      </c>
      <c r="O45">
        <v>1100</v>
      </c>
      <c r="P45">
        <v>4.3672848864000109</v>
      </c>
      <c r="Q45">
        <v>4.3703020406367896</v>
      </c>
      <c r="R45">
        <v>4.3938060224673698</v>
      </c>
      <c r="S45">
        <v>4.2726880415226391</v>
      </c>
      <c r="T45">
        <v>4.2806126843490961</v>
      </c>
      <c r="U45">
        <v>4.2536668623248355</v>
      </c>
      <c r="V45">
        <v>4.7002799999999993</v>
      </c>
      <c r="W45">
        <v>4.9146999999999981</v>
      </c>
      <c r="Y45">
        <v>0.98</v>
      </c>
      <c r="Z45" s="10">
        <v>-577.39078939466594</v>
      </c>
      <c r="AA45" s="10">
        <v>21.977221733333302</v>
      </c>
      <c r="AB45" s="10">
        <v>12.091244</v>
      </c>
      <c r="AC45" s="8">
        <v>4362.71</v>
      </c>
      <c r="AD45" s="8">
        <f>AC45^(1/3)</f>
        <v>16.340002367079865</v>
      </c>
      <c r="AM45">
        <v>1.03</v>
      </c>
      <c r="AN45">
        <v>-560.06582759066703</v>
      </c>
      <c r="AO45">
        <v>28.319152533333298</v>
      </c>
      <c r="AP45">
        <v>-1.32508133333334</v>
      </c>
      <c r="AQ45" s="8">
        <f t="shared" si="40"/>
        <v>5560.2845176960009</v>
      </c>
      <c r="AR45" s="8">
        <f t="shared" si="42"/>
        <v>17.716000000000001</v>
      </c>
      <c r="BA45">
        <v>1100</v>
      </c>
      <c r="BO45">
        <v>1.04</v>
      </c>
      <c r="BP45">
        <v>-555.61107345629898</v>
      </c>
      <c r="BQ45">
        <v>28.379962399759702</v>
      </c>
      <c r="BR45">
        <v>-1.39606592402357</v>
      </c>
      <c r="BS45" s="8">
        <f t="shared" si="41"/>
        <v>5723.8119710719984</v>
      </c>
      <c r="BT45" s="8">
        <f t="shared" si="43"/>
        <v>17.887999999999998</v>
      </c>
    </row>
    <row r="46" spans="2:77" x14ac:dyDescent="0.2">
      <c r="D46">
        <f>AVERAGE(D40:D45)</f>
        <v>24.216114461802565</v>
      </c>
      <c r="K46" t="s">
        <v>51</v>
      </c>
      <c r="L46" t="s">
        <v>52</v>
      </c>
      <c r="Y46">
        <v>0.99</v>
      </c>
      <c r="Z46">
        <v>-576.38473833066701</v>
      </c>
      <c r="AA46">
        <v>22.1497408</v>
      </c>
      <c r="AB46">
        <v>6.2590706666666698</v>
      </c>
      <c r="AC46" s="8">
        <f>$F$14*(Y46/$B$14)^3</f>
        <v>4937.3160059520014</v>
      </c>
      <c r="AD46" s="8">
        <f t="shared" ref="AD46:AD49" si="44">AC46^(1/3)</f>
        <v>17.027999999999995</v>
      </c>
      <c r="AQ46" s="8"/>
      <c r="AR46" s="8"/>
      <c r="BB46" t="s">
        <v>11</v>
      </c>
      <c r="BC46" t="s">
        <v>12</v>
      </c>
      <c r="BD46" t="s">
        <v>13</v>
      </c>
      <c r="BE46" t="s">
        <v>14</v>
      </c>
      <c r="BF46" t="s">
        <v>26</v>
      </c>
      <c r="BG46" t="s">
        <v>15</v>
      </c>
      <c r="BI46" t="s">
        <v>16</v>
      </c>
      <c r="BJ46" t="s">
        <v>17</v>
      </c>
      <c r="BS46" s="8"/>
      <c r="BT46" s="8"/>
    </row>
    <row r="47" spans="2:77" x14ac:dyDescent="0.2">
      <c r="F47" t="s">
        <v>50</v>
      </c>
      <c r="H47">
        <v>5315.8</v>
      </c>
      <c r="J47">
        <f>$D$6/(H47*(10^-24))</f>
        <v>4.3046697019440439</v>
      </c>
      <c r="K47">
        <f>-H47*(2*(0.000006004*H47)-0.08553)</f>
        <v>115.34155648288001</v>
      </c>
      <c r="L47">
        <f>10/K47</f>
        <v>8.6699020760000634E-2</v>
      </c>
      <c r="Y47">
        <v>1</v>
      </c>
      <c r="Z47">
        <v>-576.15385326266596</v>
      </c>
      <c r="AA47">
        <v>22.147317999999999</v>
      </c>
      <c r="AB47">
        <v>3.9493973333333399</v>
      </c>
      <c r="AC47" s="8">
        <f>$F$14*(Y47/$B$14)^3</f>
        <v>5088.4479999999976</v>
      </c>
      <c r="AD47" s="8">
        <f t="shared" si="44"/>
        <v>17.199999999999992</v>
      </c>
      <c r="AE47">
        <f>(AC48-AC47)/(AB48-AB47)*(0-AB47)+AC47</f>
        <v>5235.968358438663</v>
      </c>
      <c r="AF47" s="3">
        <f>AE47^(1/3)</f>
        <v>17.364635485528151</v>
      </c>
      <c r="AG47">
        <f>$D$6/(AE47*(10^-24))</f>
        <v>4.3703020406367896</v>
      </c>
      <c r="AH47">
        <f>(Z48-Z47)/(AB48-AB47)*(0-AB47)+Z47</f>
        <v>-575.57027297552861</v>
      </c>
      <c r="AO47">
        <f>AVERAGE(AO41:AO46)</f>
        <v>28.152308373333302</v>
      </c>
      <c r="AV47" t="s">
        <v>51</v>
      </c>
      <c r="AW47" t="s">
        <v>52</v>
      </c>
      <c r="BA47">
        <v>0.98</v>
      </c>
      <c r="BB47" s="10"/>
      <c r="BC47" s="10"/>
      <c r="BD47" s="10"/>
      <c r="BE47" s="8">
        <v>4362.71</v>
      </c>
      <c r="BF47" s="8">
        <f>BE47^(1/3)</f>
        <v>16.340002367079865</v>
      </c>
      <c r="BX47" t="s">
        <v>51</v>
      </c>
      <c r="BY47" t="s">
        <v>52</v>
      </c>
    </row>
    <row r="48" spans="2:77" x14ac:dyDescent="0.2">
      <c r="Y48">
        <v>1.01</v>
      </c>
      <c r="Z48">
        <v>-575.54390786800002</v>
      </c>
      <c r="AA48">
        <v>22.1671229333333</v>
      </c>
      <c r="AB48">
        <v>-0.17842666666666701</v>
      </c>
      <c r="AC48" s="8">
        <f t="shared" ref="AC48:AC49" si="45">$F$14*(Y48/$B$14)^3</f>
        <v>5242.6330628479982</v>
      </c>
      <c r="AD48" s="8">
        <f t="shared" si="44"/>
        <v>17.371999999999996</v>
      </c>
      <c r="AQ48" t="s">
        <v>50</v>
      </c>
      <c r="AU48" t="e">
        <f>$D$6/(AS48*(10^-24))</f>
        <v>#DIV/0!</v>
      </c>
      <c r="AV48">
        <f>-AS48*(2*(0.000007001*AS48)-0.09372)</f>
        <v>0</v>
      </c>
      <c r="AW48" t="e">
        <f>10/AV48</f>
        <v>#DIV/0!</v>
      </c>
      <c r="BA48">
        <v>1</v>
      </c>
      <c r="BE48" s="8">
        <f>$F$14*(BA48/$B$14)^3</f>
        <v>5088.4479999999976</v>
      </c>
      <c r="BF48" s="8">
        <f t="shared" ref="BF48:BF51" si="46">BE48^(1/3)</f>
        <v>17.199999999999992</v>
      </c>
      <c r="BS48" t="s">
        <v>50</v>
      </c>
      <c r="BW48" t="e">
        <f>$D$6/(BU48*(10^-24))</f>
        <v>#DIV/0!</v>
      </c>
      <c r="BX48">
        <f>-BU48*(2*(0.000007001*BU48)-0.09372)</f>
        <v>0</v>
      </c>
      <c r="BY48" t="e">
        <f>10/BX48</f>
        <v>#DIV/0!</v>
      </c>
    </row>
    <row r="49" spans="2:77" x14ac:dyDescent="0.2">
      <c r="B49">
        <v>1100</v>
      </c>
      <c r="P49" t="s">
        <v>63</v>
      </c>
      <c r="Q49" t="s">
        <v>58</v>
      </c>
      <c r="Y49">
        <v>1.02</v>
      </c>
      <c r="Z49">
        <v>-573.86428410133396</v>
      </c>
      <c r="AA49">
        <v>22.258300800000001</v>
      </c>
      <c r="AB49">
        <v>-3.5246213333333301</v>
      </c>
      <c r="AC49" s="8">
        <f t="shared" si="45"/>
        <v>5399.9017251839996</v>
      </c>
      <c r="AD49" s="8">
        <f t="shared" si="44"/>
        <v>17.543999999999993</v>
      </c>
      <c r="BA49">
        <v>1.01</v>
      </c>
      <c r="BE49" s="8">
        <f>$F$14*(BA49/$B$14)^3</f>
        <v>5242.6330628479982</v>
      </c>
      <c r="BF49" s="8">
        <f t="shared" si="46"/>
        <v>17.371999999999996</v>
      </c>
      <c r="BG49" t="e">
        <f>(BE50-BE49)/(BD50-BD49)*(0-BD49)+BE49</f>
        <v>#DIV/0!</v>
      </c>
      <c r="BI49" t="e">
        <f>$D$6/(BG49*(10^-24))</f>
        <v>#DIV/0!</v>
      </c>
      <c r="BJ49" t="e">
        <f>(BB50-BB49)/(BD50-BD49)*(0-BD49)+BB49</f>
        <v>#DIV/0!</v>
      </c>
    </row>
    <row r="50" spans="2:77" x14ac:dyDescent="0.2">
      <c r="C50" t="s">
        <v>11</v>
      </c>
      <c r="D50" t="s">
        <v>12</v>
      </c>
      <c r="E50" t="s">
        <v>13</v>
      </c>
      <c r="F50" t="s">
        <v>14</v>
      </c>
      <c r="G50" t="s">
        <v>26</v>
      </c>
      <c r="H50" t="s">
        <v>15</v>
      </c>
      <c r="J50" t="s">
        <v>16</v>
      </c>
      <c r="K50" t="s">
        <v>17</v>
      </c>
      <c r="O50">
        <v>1100</v>
      </c>
      <c r="P50">
        <v>4.7002799999999993</v>
      </c>
      <c r="Q50">
        <v>4.9146999999999981</v>
      </c>
      <c r="AA50">
        <f>AVERAGE(AA45:AA49)</f>
        <v>22.139940853333322</v>
      </c>
      <c r="AH50" t="s">
        <v>51</v>
      </c>
      <c r="AI50" t="s">
        <v>52</v>
      </c>
      <c r="BA50">
        <v>1.02</v>
      </c>
      <c r="BE50" s="8">
        <f t="shared" ref="BE50:BE51" si="47">$F$14*(BA50/$B$14)^3</f>
        <v>5399.9017251839996</v>
      </c>
      <c r="BF50" s="8">
        <f t="shared" si="46"/>
        <v>17.543999999999993</v>
      </c>
    </row>
    <row r="51" spans="2:77" x14ac:dyDescent="0.2">
      <c r="B51">
        <v>0.95</v>
      </c>
      <c r="C51">
        <v>-580.80906607066697</v>
      </c>
      <c r="D51">
        <v>22.088850000000001</v>
      </c>
      <c r="E51">
        <v>34.590504000000003</v>
      </c>
      <c r="F51" s="8">
        <v>4362.71</v>
      </c>
      <c r="G51" s="8">
        <f>F51^(1/3)</f>
        <v>16.340002367079865</v>
      </c>
      <c r="O51">
        <v>1400</v>
      </c>
      <c r="P51">
        <v>4.2436199999999999</v>
      </c>
      <c r="Q51">
        <v>2.5317999999999987</v>
      </c>
      <c r="AC51" t="s">
        <v>50</v>
      </c>
      <c r="AG51" t="e">
        <f>$D$6/(AE51*(10^-24))</f>
        <v>#DIV/0!</v>
      </c>
      <c r="AH51">
        <f>-AE51*(2*(0.000007001*AE51)-0.09372)</f>
        <v>0</v>
      </c>
      <c r="AI51" t="e">
        <f>10/AH51</f>
        <v>#DIV/0!</v>
      </c>
      <c r="AM51">
        <v>1100</v>
      </c>
      <c r="BA51">
        <v>1.03</v>
      </c>
      <c r="BE51" s="8">
        <f t="shared" si="47"/>
        <v>5560.284517696</v>
      </c>
      <c r="BF51" s="8">
        <f t="shared" si="46"/>
        <v>17.716000000000001</v>
      </c>
      <c r="BO51">
        <v>1100</v>
      </c>
    </row>
    <row r="52" spans="2:77" x14ac:dyDescent="0.2">
      <c r="B52">
        <v>0.99</v>
      </c>
      <c r="C52" s="10">
        <v>-582.16420735066697</v>
      </c>
      <c r="D52" s="10">
        <v>22.249146133333301</v>
      </c>
      <c r="E52" s="10">
        <v>8.0376759999999994</v>
      </c>
      <c r="F52" s="8">
        <f>$F$14*(B52/$B$14)^3</f>
        <v>4937.3160059520014</v>
      </c>
      <c r="G52" s="8">
        <f t="shared" ref="G52:G56" si="48">F52^(1/3)</f>
        <v>17.027999999999995</v>
      </c>
      <c r="AN52" t="s">
        <v>11</v>
      </c>
      <c r="AO52" t="s">
        <v>12</v>
      </c>
      <c r="AP52" t="s">
        <v>13</v>
      </c>
      <c r="AQ52" t="s">
        <v>14</v>
      </c>
      <c r="AR52" t="s">
        <v>26</v>
      </c>
      <c r="AS52" t="s">
        <v>15</v>
      </c>
      <c r="AU52" t="s">
        <v>16</v>
      </c>
      <c r="AV52" t="s">
        <v>17</v>
      </c>
      <c r="BC52" t="e">
        <f>AVERAGE(BC47:BC51)</f>
        <v>#DIV/0!</v>
      </c>
      <c r="BJ52" t="s">
        <v>51</v>
      </c>
      <c r="BK52" t="s">
        <v>52</v>
      </c>
      <c r="BP52" t="s">
        <v>11</v>
      </c>
      <c r="BQ52" t="s">
        <v>12</v>
      </c>
      <c r="BR52" t="s">
        <v>13</v>
      </c>
      <c r="BS52" t="s">
        <v>14</v>
      </c>
      <c r="BT52" t="s">
        <v>26</v>
      </c>
      <c r="BU52" t="s">
        <v>15</v>
      </c>
      <c r="BW52" t="s">
        <v>16</v>
      </c>
      <c r="BX52" t="s">
        <v>17</v>
      </c>
    </row>
    <row r="53" spans="2:77" x14ac:dyDescent="0.2">
      <c r="B53">
        <v>1</v>
      </c>
      <c r="C53">
        <v>-581.80973662666702</v>
      </c>
      <c r="D53">
        <v>22.126205866666702</v>
      </c>
      <c r="E53">
        <v>3.8244213333333299</v>
      </c>
      <c r="F53" s="8">
        <f>$F$14*(B53/$B$14)^3</f>
        <v>5088.4479999999976</v>
      </c>
      <c r="G53" s="8">
        <f t="shared" si="48"/>
        <v>17.199999999999992</v>
      </c>
      <c r="H53">
        <f>(F54-F53)/(E54-E53)*(0-E53)+F53</f>
        <v>5239.5856457297887</v>
      </c>
      <c r="I53" s="3">
        <f>H53^(1/3)</f>
        <v>17.368633371667169</v>
      </c>
      <c r="J53">
        <f>$D$6/(H53*(10^-24))</f>
        <v>4.3672848864000109</v>
      </c>
      <c r="K53">
        <f>(C54-C53)/(E54-E53)*(0-E53)+C53</f>
        <v>-580.52332115475986</v>
      </c>
      <c r="AM53">
        <v>0.99</v>
      </c>
      <c r="AN53" s="10"/>
      <c r="AO53" s="10"/>
      <c r="AP53" s="10"/>
      <c r="AQ53" s="8">
        <v>4362.71</v>
      </c>
      <c r="AR53" s="8">
        <f>AQ53^(1/3)</f>
        <v>16.340002367079865</v>
      </c>
      <c r="BE53" t="s">
        <v>50</v>
      </c>
      <c r="BI53" t="e">
        <f>$D$6/(BG53*(10^-24))</f>
        <v>#DIV/0!</v>
      </c>
      <c r="BJ53">
        <f>-BG53*(2*(0.000007001*BG53)-0.09372)</f>
        <v>0</v>
      </c>
      <c r="BK53" t="e">
        <f>10/BJ53</f>
        <v>#DIV/0!</v>
      </c>
      <c r="BO53">
        <v>0.98</v>
      </c>
      <c r="BP53" s="10">
        <v>-568.63393233466797</v>
      </c>
      <c r="BQ53" s="10">
        <v>22.1148125333333</v>
      </c>
      <c r="BR53" s="10">
        <v>16.613597333333299</v>
      </c>
      <c r="BS53" s="8">
        <v>4362.71</v>
      </c>
      <c r="BT53" s="8">
        <f>BS53^(1/3)</f>
        <v>16.340002367079865</v>
      </c>
    </row>
    <row r="54" spans="2:77" x14ac:dyDescent="0.2">
      <c r="B54">
        <v>1.01</v>
      </c>
      <c r="C54">
        <v>-580.497382914745</v>
      </c>
      <c r="D54">
        <v>21.998895514355201</v>
      </c>
      <c r="E54">
        <v>-7.7112535279804995E-2</v>
      </c>
      <c r="F54" s="8">
        <f t="shared" ref="F54:F55" si="49">$F$14*(B54/$B$14)^3</f>
        <v>5242.6330628479982</v>
      </c>
      <c r="G54" s="8">
        <f t="shared" si="48"/>
        <v>17.371999999999996</v>
      </c>
      <c r="P54">
        <f>MAX(P44:U44)-MIN(P44:U44)</f>
        <v>0.15382514016432669</v>
      </c>
      <c r="Q54">
        <f>P54/P44</f>
        <v>3.6821925137071013E-2</v>
      </c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M54">
        <v>1</v>
      </c>
      <c r="AQ54" s="8">
        <f>$F$14*(AM54/$B$14)^3</f>
        <v>5088.4479999999976</v>
      </c>
      <c r="AR54" s="8">
        <f t="shared" ref="AR54:AR57" si="50">AQ54^(1/3)</f>
        <v>17.199999999999992</v>
      </c>
      <c r="BO54">
        <v>0.99</v>
      </c>
      <c r="BS54" s="8">
        <f>$F$14*(BO54/$B$14)^3</f>
        <v>4937.3160059520014</v>
      </c>
      <c r="BT54" s="8">
        <f t="shared" ref="BT54:BT57" si="51">BS54^(1/3)</f>
        <v>17.027999999999995</v>
      </c>
    </row>
    <row r="55" spans="2:77" x14ac:dyDescent="0.2">
      <c r="B55">
        <v>1.02</v>
      </c>
      <c r="C55">
        <v>-580.28296639333405</v>
      </c>
      <c r="D55">
        <v>22.135521199999999</v>
      </c>
      <c r="E55">
        <v>-3.3407973333333301</v>
      </c>
      <c r="F55" s="8">
        <f t="shared" si="49"/>
        <v>5399.9017251839996</v>
      </c>
      <c r="G55" s="8">
        <f t="shared" si="48"/>
        <v>17.543999999999993</v>
      </c>
      <c r="P55">
        <f>MAX(P45:U45)-MIN(P45:U45)</f>
        <v>0.14013916014253436</v>
      </c>
      <c r="Q55">
        <f>P55/P45</f>
        <v>3.2088394457374686E-2</v>
      </c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M55">
        <v>1.01</v>
      </c>
      <c r="AQ55" s="8">
        <f>$F$14*(AM55/$B$14)^3</f>
        <v>5242.6330628479982</v>
      </c>
      <c r="AR55" s="8">
        <f t="shared" si="50"/>
        <v>17.371999999999996</v>
      </c>
      <c r="AS55" t="e">
        <f>(AQ56-AQ55)/(AP56-AP55)*(0-AP55)+AQ55</f>
        <v>#DIV/0!</v>
      </c>
      <c r="AU55" t="e">
        <f>$D$6/(AS55*(10^-24))</f>
        <v>#DIV/0!</v>
      </c>
      <c r="AV55" t="e">
        <f>(AN56-AN55)/(AP56-AP55)*(0-AP55)+AN55</f>
        <v>#DIV/0!</v>
      </c>
      <c r="BO55">
        <v>1</v>
      </c>
      <c r="BP55">
        <v>-567.68682660666605</v>
      </c>
      <c r="BQ55">
        <v>21.9840758666667</v>
      </c>
      <c r="BR55">
        <v>6.1572746666666696</v>
      </c>
      <c r="BS55" s="8">
        <f>$F$14*(BO55/$B$14)^3</f>
        <v>5088.4479999999976</v>
      </c>
      <c r="BT55" s="8">
        <f t="shared" si="51"/>
        <v>17.199999999999992</v>
      </c>
      <c r="BV55" s="3"/>
    </row>
    <row r="56" spans="2:77" x14ac:dyDescent="0.2">
      <c r="B56">
        <v>1.05</v>
      </c>
      <c r="C56">
        <v>-576.13226485999996</v>
      </c>
      <c r="D56">
        <v>22.107306666666702</v>
      </c>
      <c r="E56">
        <v>-7.5248493333333304</v>
      </c>
      <c r="F56" s="8">
        <f>$F$14*(B56/$B$14)^3</f>
        <v>5890.5146160000013</v>
      </c>
      <c r="G56" s="8">
        <f t="shared" si="48"/>
        <v>18.059999999999992</v>
      </c>
      <c r="Y56" s="14" t="s">
        <v>108</v>
      </c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M56">
        <v>1.02</v>
      </c>
      <c r="AQ56" s="8">
        <f t="shared" ref="AQ56:AQ57" si="52">$F$14*(AM56/$B$14)^3</f>
        <v>5399.9017251839996</v>
      </c>
      <c r="AR56" s="8">
        <f t="shared" si="50"/>
        <v>17.543999999999993</v>
      </c>
      <c r="BO56">
        <v>1.01</v>
      </c>
      <c r="BP56">
        <v>-566.80590677199996</v>
      </c>
      <c r="BQ56">
        <v>22.095739600000002</v>
      </c>
      <c r="BR56">
        <v>3.4133866666666699</v>
      </c>
      <c r="BS56" s="8">
        <f t="shared" ref="BS56:BS57" si="53">$F$14*(BO56/$B$14)^3</f>
        <v>5242.6330628479982</v>
      </c>
      <c r="BT56" s="8">
        <f t="shared" si="51"/>
        <v>17.371999999999996</v>
      </c>
      <c r="BU56">
        <f>(BS57-BS56)/(BR57-BR56)*(0-BR56)+BS56</f>
        <v>5379.5381590103207</v>
      </c>
      <c r="BV56" s="3">
        <f>BU56^(1/3)</f>
        <v>17.521918830623246</v>
      </c>
      <c r="BW56">
        <f>$D$6/(BU56*(10^-24))</f>
        <v>4.2536668623248355</v>
      </c>
      <c r="BX56">
        <f>(BP57-BP56)/(BR57-BR56)*(0-BR56)+BP56</f>
        <v>-565.89790450757721</v>
      </c>
      <c r="BY56">
        <f>BX56/40</f>
        <v>-14.14744761268943</v>
      </c>
    </row>
    <row r="57" spans="2:77" x14ac:dyDescent="0.2">
      <c r="D57">
        <f>AVERAGE(D51:D56)</f>
        <v>22.117654230170317</v>
      </c>
      <c r="K57" t="s">
        <v>51</v>
      </c>
      <c r="L57" t="s">
        <v>52</v>
      </c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M57">
        <v>1.03</v>
      </c>
      <c r="AQ57" s="8">
        <f t="shared" si="52"/>
        <v>5560.284517696</v>
      </c>
      <c r="AR57" s="8">
        <f t="shared" si="50"/>
        <v>17.716000000000001</v>
      </c>
      <c r="BO57">
        <v>1.02</v>
      </c>
      <c r="BP57">
        <v>-565.76284624666698</v>
      </c>
      <c r="BQ57">
        <v>21.932169600000002</v>
      </c>
      <c r="BR57">
        <v>-0.50771466666666598</v>
      </c>
      <c r="BS57" s="8">
        <f t="shared" si="53"/>
        <v>5399.9017251839996</v>
      </c>
      <c r="BT57" s="8">
        <f t="shared" si="51"/>
        <v>17.543999999999993</v>
      </c>
    </row>
    <row r="58" spans="2:77" x14ac:dyDescent="0.2">
      <c r="F58" t="s">
        <v>50</v>
      </c>
      <c r="H58">
        <v>5250.8</v>
      </c>
      <c r="J58">
        <f>$D$6/(H58*(10^-24))</f>
        <v>4.3579574924952675</v>
      </c>
      <c r="K58">
        <f>-H58*(2*(0.00001349*H58)-0.1644)</f>
        <v>119.3686207327999</v>
      </c>
      <c r="L58">
        <f>10/K58</f>
        <v>8.3774110303112659E-2</v>
      </c>
      <c r="Y58" s="14">
        <v>1400</v>
      </c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O58" t="e">
        <f>AVERAGE(AO53:AO57)</f>
        <v>#DIV/0!</v>
      </c>
      <c r="AV58" t="s">
        <v>51</v>
      </c>
      <c r="AW58" t="s">
        <v>52</v>
      </c>
      <c r="BQ58">
        <f>AVERAGE(BQ53:BQ57)</f>
        <v>22.031699400000001</v>
      </c>
      <c r="BX58" t="s">
        <v>51</v>
      </c>
      <c r="BY58" t="s">
        <v>52</v>
      </c>
    </row>
    <row r="59" spans="2:77" x14ac:dyDescent="0.2">
      <c r="Y59" s="14"/>
      <c r="Z59" s="14" t="s">
        <v>11</v>
      </c>
      <c r="AA59" s="14" t="s">
        <v>12</v>
      </c>
      <c r="AB59" s="14" t="s">
        <v>13</v>
      </c>
      <c r="AC59" s="14" t="s">
        <v>14</v>
      </c>
      <c r="AD59" s="14" t="s">
        <v>26</v>
      </c>
      <c r="AE59" s="14" t="s">
        <v>15</v>
      </c>
      <c r="AF59" s="14" t="s">
        <v>26</v>
      </c>
      <c r="AG59" s="14" t="s">
        <v>16</v>
      </c>
      <c r="AH59" s="14" t="s">
        <v>17</v>
      </c>
      <c r="AI59" s="14"/>
      <c r="AQ59" t="s">
        <v>50</v>
      </c>
      <c r="AU59" t="e">
        <f>$D$6/(AS59*(10^-24))</f>
        <v>#DIV/0!</v>
      </c>
      <c r="AV59">
        <f>-AS59*(2*(0.000007001*AS59)-0.09372)</f>
        <v>0</v>
      </c>
      <c r="AW59" t="e">
        <f>10/AV59</f>
        <v>#DIV/0!</v>
      </c>
      <c r="BS59" t="s">
        <v>50</v>
      </c>
      <c r="BW59" t="e">
        <f>$D$6/(BU59*(10^-24))</f>
        <v>#DIV/0!</v>
      </c>
      <c r="BX59">
        <f>-BU59*(2*(0.000007001*BU59)-0.09372)</f>
        <v>0</v>
      </c>
      <c r="BY59" t="e">
        <f>10/BX59</f>
        <v>#DIV/0!</v>
      </c>
    </row>
    <row r="60" spans="2:77" x14ac:dyDescent="0.2">
      <c r="Y60" s="14">
        <v>0.98</v>
      </c>
      <c r="Z60" s="14">
        <v>-573.83586371199999</v>
      </c>
      <c r="AA60" s="14">
        <v>27.451655599999999</v>
      </c>
      <c r="AB60" s="14">
        <v>20.118179999999999</v>
      </c>
      <c r="AC60" s="28">
        <f>AD60^3</f>
        <v>4789.2065500159979</v>
      </c>
      <c r="AD60" s="15">
        <f>(Y60/Y$61)*AD$61</f>
        <v>16.855999999999998</v>
      </c>
      <c r="AE60" s="14"/>
      <c r="AF60" s="14"/>
      <c r="AG60" s="14"/>
      <c r="AH60" s="14"/>
      <c r="AI60" s="14"/>
    </row>
    <row r="61" spans="2:77" x14ac:dyDescent="0.2">
      <c r="Y61" s="14">
        <v>1</v>
      </c>
      <c r="Z61" s="14">
        <v>-572.73528008000005</v>
      </c>
      <c r="AA61" s="14">
        <v>27.5686824</v>
      </c>
      <c r="AB61" s="14">
        <v>9.0030280000000005</v>
      </c>
      <c r="AC61" s="28">
        <f t="shared" ref="AC61:AC65" si="54">AD61^3</f>
        <v>5088.4479999999994</v>
      </c>
      <c r="AD61" s="15">
        <v>17.2</v>
      </c>
      <c r="AE61" s="14"/>
      <c r="AF61" s="14"/>
      <c r="AG61" s="14"/>
      <c r="AH61" s="14"/>
      <c r="AI61" s="14"/>
    </row>
    <row r="62" spans="2:77" x14ac:dyDescent="0.2">
      <c r="Y62" s="14">
        <v>1.01</v>
      </c>
      <c r="Z62" s="14"/>
      <c r="AA62" s="14"/>
      <c r="AB62" s="14"/>
      <c r="AC62" s="28">
        <f t="shared" si="54"/>
        <v>5242.633062848</v>
      </c>
      <c r="AD62" s="15">
        <f>(Y62/Y$61)*AD$61</f>
        <v>17.372</v>
      </c>
      <c r="AE62" s="14"/>
      <c r="AF62" s="14"/>
      <c r="AG62" s="14"/>
      <c r="AH62" s="14"/>
      <c r="AI62" s="14"/>
    </row>
    <row r="63" spans="2:77" x14ac:dyDescent="0.2">
      <c r="Y63" s="14">
        <v>1.02</v>
      </c>
      <c r="Z63" s="14">
        <v>-570.37896979200002</v>
      </c>
      <c r="AA63" s="14">
        <v>28.2666264</v>
      </c>
      <c r="AB63" s="14">
        <v>3.5479159999999998</v>
      </c>
      <c r="AC63" s="28">
        <f t="shared" si="54"/>
        <v>5399.9017251840005</v>
      </c>
      <c r="AD63" s="15">
        <f t="shared" ref="AD63:AD65" si="55">(Y63/Y$61)*AD$61</f>
        <v>17.544</v>
      </c>
      <c r="AF63" s="3"/>
      <c r="AI63" s="14"/>
    </row>
    <row r="64" spans="2:77" x14ac:dyDescent="0.2">
      <c r="Y64" s="14">
        <v>1.03</v>
      </c>
      <c r="Z64" s="14">
        <v>-568.32141238166696</v>
      </c>
      <c r="AA64" s="14">
        <v>27.801993833333324</v>
      </c>
      <c r="AB64" s="14">
        <v>1.0615266666666656</v>
      </c>
      <c r="AC64" s="28">
        <f t="shared" si="54"/>
        <v>5560.2845176960009</v>
      </c>
      <c r="AD64" s="15">
        <f t="shared" si="55"/>
        <v>17.716000000000001</v>
      </c>
      <c r="AE64">
        <f>(AC65-AC64)/(AB65-AB64)*(0-AB64)+AC64</f>
        <v>5642.1824358116692</v>
      </c>
      <c r="AF64" s="3">
        <f>AE64^(1/3)</f>
        <v>17.802556586673948</v>
      </c>
      <c r="AG64">
        <f>$D$6/(AE64*(10^-24))</f>
        <v>4.0556581539005654</v>
      </c>
      <c r="AH64">
        <f>(Z65-Z64)/(AB65-AB64)*(0-AB64)+Z64</f>
        <v>-568.15715990376134</v>
      </c>
      <c r="AI64" s="14"/>
    </row>
    <row r="65" spans="25:35" x14ac:dyDescent="0.2">
      <c r="Y65" s="14">
        <v>1.04</v>
      </c>
      <c r="Z65" s="14">
        <v>-567.99344568799995</v>
      </c>
      <c r="AA65" s="14">
        <v>27.508107733333301</v>
      </c>
      <c r="AB65" s="14">
        <v>-1.0580480000000001</v>
      </c>
      <c r="AC65" s="28">
        <f t="shared" si="54"/>
        <v>5723.8119710719984</v>
      </c>
      <c r="AD65" s="15">
        <f t="shared" si="55"/>
        <v>17.887999999999998</v>
      </c>
      <c r="AE65" s="14"/>
      <c r="AF65" s="14"/>
      <c r="AG65" s="14"/>
      <c r="AH65" s="14"/>
      <c r="AI65" s="14"/>
    </row>
    <row r="66" spans="25:35" x14ac:dyDescent="0.2">
      <c r="Y66" s="14"/>
      <c r="Z66" s="14"/>
      <c r="AA66" s="14"/>
      <c r="AB66" s="14"/>
      <c r="AC66" s="14"/>
      <c r="AD66" s="14"/>
      <c r="AE66" s="14"/>
      <c r="AF66" s="14"/>
      <c r="AG66" s="14"/>
      <c r="AH66" s="14" t="s">
        <v>51</v>
      </c>
      <c r="AI66" s="14" t="s">
        <v>52</v>
      </c>
    </row>
    <row r="67" spans="25:35" x14ac:dyDescent="0.2">
      <c r="Y67" s="14"/>
      <c r="Z67" s="14"/>
      <c r="AA67" s="14"/>
      <c r="AB67" s="14"/>
      <c r="AC67" s="14" t="s">
        <v>50</v>
      </c>
      <c r="AD67" s="14"/>
      <c r="AE67" s="14"/>
      <c r="AF67" s="14"/>
      <c r="AG67" s="14" t="e">
        <v>#DIV/0!</v>
      </c>
      <c r="AH67" s="14">
        <v>0</v>
      </c>
      <c r="AI67" s="14" t="e">
        <v>#DIV/0!</v>
      </c>
    </row>
    <row r="69" spans="25:35" x14ac:dyDescent="0.2">
      <c r="Y69" s="14">
        <v>1100</v>
      </c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25:35" x14ac:dyDescent="0.2">
      <c r="Y70" s="14"/>
      <c r="Z70" s="14" t="s">
        <v>11</v>
      </c>
      <c r="AA70" s="14" t="s">
        <v>12</v>
      </c>
      <c r="AB70" s="14" t="s">
        <v>13</v>
      </c>
      <c r="AC70" s="14" t="s">
        <v>14</v>
      </c>
      <c r="AD70" s="14" t="s">
        <v>26</v>
      </c>
      <c r="AE70" s="14" t="s">
        <v>15</v>
      </c>
      <c r="AF70" s="14" t="s">
        <v>26</v>
      </c>
      <c r="AG70" s="14" t="s">
        <v>16</v>
      </c>
      <c r="AH70" s="14" t="s">
        <v>17</v>
      </c>
      <c r="AI70" s="14"/>
    </row>
    <row r="71" spans="25:35" x14ac:dyDescent="0.2">
      <c r="Y71" s="14">
        <v>0.98</v>
      </c>
      <c r="Z71" s="14">
        <v>-579.60309200400002</v>
      </c>
      <c r="AA71" s="14">
        <v>21.743959199999999</v>
      </c>
      <c r="AB71" s="14">
        <v>14.098100000000001</v>
      </c>
      <c r="AC71" s="28">
        <f t="shared" ref="AC71:AC76" si="56">AD71^3</f>
        <v>4789.2065500159979</v>
      </c>
      <c r="AD71" s="15">
        <f>(Y71/Y$72)*AD$72</f>
        <v>16.855999999999998</v>
      </c>
      <c r="AE71" s="14"/>
      <c r="AF71" s="14"/>
      <c r="AG71" s="14"/>
      <c r="AH71" s="14"/>
      <c r="AI71" s="14"/>
    </row>
    <row r="72" spans="25:35" x14ac:dyDescent="0.2">
      <c r="Y72" s="14">
        <v>1</v>
      </c>
      <c r="Z72" s="14">
        <v>-578.72491842399995</v>
      </c>
      <c r="AA72" s="14">
        <v>21.592072399999999</v>
      </c>
      <c r="AB72" s="14">
        <v>4.3712799999999996</v>
      </c>
      <c r="AC72" s="28">
        <f t="shared" si="56"/>
        <v>5088.4479999999994</v>
      </c>
      <c r="AD72" s="15">
        <v>17.2</v>
      </c>
      <c r="AE72" s="14"/>
      <c r="AF72" s="14"/>
      <c r="AG72" s="14"/>
      <c r="AH72" s="14"/>
      <c r="AI72" s="14"/>
    </row>
    <row r="73" spans="25:35" x14ac:dyDescent="0.2">
      <c r="Y73" s="14">
        <v>1.01</v>
      </c>
      <c r="Z73" s="14">
        <v>-577.70041082800003</v>
      </c>
      <c r="AA73" s="14">
        <v>21.937646666666701</v>
      </c>
      <c r="AB73" s="14">
        <v>2.07227466666667</v>
      </c>
      <c r="AC73" s="28">
        <f t="shared" si="56"/>
        <v>5242.633062848</v>
      </c>
      <c r="AD73" s="15">
        <f>(Y73/Y$72)*AD$72</f>
        <v>17.372</v>
      </c>
      <c r="AE73">
        <f>(AC74-AC73)/(AB74-AB73)*(0-AB73)+AC73</f>
        <v>5345.6747640959884</v>
      </c>
      <c r="AF73" s="3">
        <f>AE73^(1/3)</f>
        <v>17.485075454107893</v>
      </c>
      <c r="AG73">
        <f>$D$6/(AE73*(10^-24))</f>
        <v>4.2806126843490961</v>
      </c>
      <c r="AH73">
        <f>(Z74-Z73)/(AB74-AB73)*(0-AB73)+Z73</f>
        <v>-577.46399228599296</v>
      </c>
      <c r="AI73" s="14"/>
    </row>
    <row r="74" spans="25:35" x14ac:dyDescent="0.2">
      <c r="Y74" s="14">
        <v>1.02</v>
      </c>
      <c r="Z74" s="14">
        <v>-577.33957412400002</v>
      </c>
      <c r="AA74" s="14">
        <v>21.7286152</v>
      </c>
      <c r="AB74" s="14">
        <v>-1.09056</v>
      </c>
      <c r="AC74" s="28">
        <f t="shared" si="56"/>
        <v>5399.9017251840005</v>
      </c>
      <c r="AD74" s="15">
        <f t="shared" ref="AD74:AD76" si="57">(Y74/Y$72)*AD$72</f>
        <v>17.544</v>
      </c>
      <c r="AF74" s="3"/>
      <c r="AI74" s="14"/>
    </row>
    <row r="75" spans="25:35" x14ac:dyDescent="0.2">
      <c r="Y75" s="14">
        <v>1.03</v>
      </c>
      <c r="Z75" s="14"/>
      <c r="AA75" s="14"/>
      <c r="AB75" s="14"/>
      <c r="AC75" s="28">
        <f t="shared" si="56"/>
        <v>5560.2845176960009</v>
      </c>
      <c r="AD75" s="15">
        <f t="shared" si="57"/>
        <v>17.716000000000001</v>
      </c>
      <c r="AE75" s="14"/>
      <c r="AF75" s="14"/>
      <c r="AG75" s="14"/>
      <c r="AH75" s="14"/>
      <c r="AI75" s="14"/>
    </row>
    <row r="76" spans="25:35" x14ac:dyDescent="0.2">
      <c r="Y76" s="14">
        <v>1.04</v>
      </c>
      <c r="Z76" s="14"/>
      <c r="AA76" s="14"/>
      <c r="AB76" s="14"/>
      <c r="AC76" s="28">
        <f t="shared" si="56"/>
        <v>5723.8119710719984</v>
      </c>
      <c r="AD76" s="15">
        <f t="shared" si="57"/>
        <v>17.887999999999998</v>
      </c>
      <c r="AE76" s="14"/>
      <c r="AF76" s="14"/>
      <c r="AG76" s="14"/>
      <c r="AH76" s="14"/>
      <c r="AI76" s="14"/>
    </row>
    <row r="77" spans="25:35" x14ac:dyDescent="0.2">
      <c r="Y77" s="14"/>
      <c r="Z77" s="14"/>
      <c r="AA77" s="14"/>
      <c r="AB77" s="14"/>
      <c r="AC77" s="14"/>
      <c r="AD77" s="14"/>
      <c r="AE77" s="14"/>
      <c r="AF77" s="14"/>
      <c r="AG77" s="14"/>
      <c r="AH77" s="14" t="s">
        <v>51</v>
      </c>
      <c r="AI77" s="14" t="s">
        <v>52</v>
      </c>
    </row>
    <row r="78" spans="25:35" x14ac:dyDescent="0.2">
      <c r="Y78" s="14"/>
      <c r="Z78" s="14"/>
      <c r="AA78" s="14"/>
      <c r="AB78" s="14"/>
      <c r="AC78" s="14" t="s">
        <v>50</v>
      </c>
      <c r="AD78" s="14"/>
      <c r="AE78" s="14"/>
      <c r="AF78" s="14"/>
      <c r="AG78" s="14" t="e">
        <v>#DIV/0!</v>
      </c>
      <c r="AH78" s="14">
        <v>0</v>
      </c>
      <c r="AI78" s="14" t="e">
        <v>#DIV/0!</v>
      </c>
    </row>
    <row r="81" spans="27:29" x14ac:dyDescent="0.2">
      <c r="AA81">
        <v>-568.86726237333301</v>
      </c>
      <c r="AB81">
        <v>28.249473999999999</v>
      </c>
      <c r="AC81">
        <v>2.10574666666666</v>
      </c>
    </row>
    <row r="82" spans="27:29" x14ac:dyDescent="0.2">
      <c r="AA82">
        <v>-567.66744108666796</v>
      </c>
      <c r="AB82">
        <v>27.795628000000001</v>
      </c>
      <c r="AC82">
        <v>0.63731333333333295</v>
      </c>
    </row>
    <row r="83" spans="27:29" x14ac:dyDescent="0.2">
      <c r="AA83">
        <v>-569.276220446666</v>
      </c>
      <c r="AB83">
        <v>27.378071333333299</v>
      </c>
      <c r="AC83">
        <v>8.5799999999999904E-2</v>
      </c>
    </row>
    <row r="85" spans="27:29" x14ac:dyDescent="0.2">
      <c r="AA85">
        <v>-567.47472562000098</v>
      </c>
      <c r="AB85">
        <v>27.784801999999999</v>
      </c>
      <c r="AC85">
        <v>1.4172466666666701</v>
      </c>
    </row>
    <row r="87" spans="27:29" x14ac:dyDescent="0.2">
      <c r="AA87">
        <f>AVERAGE(AA81:AA85)</f>
        <v>-568.32141238166696</v>
      </c>
      <c r="AB87">
        <f t="shared" ref="AB87:AC87" si="58">AVERAGE(AB81:AB85)</f>
        <v>27.801993833333324</v>
      </c>
      <c r="AC87">
        <f t="shared" si="58"/>
        <v>1.0615266666666656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BBE4-8EDA-E642-A950-342315F24CB5}">
  <dimension ref="B2:V97"/>
  <sheetViews>
    <sheetView topLeftCell="D1" workbookViewId="0">
      <selection activeCell="V17" sqref="V17"/>
    </sheetView>
  </sheetViews>
  <sheetFormatPr baseColWidth="10" defaultRowHeight="16" x14ac:dyDescent="0.2"/>
  <cols>
    <col min="2" max="2" width="11" bestFit="1" customWidth="1"/>
    <col min="3" max="3" width="12.5" bestFit="1" customWidth="1"/>
    <col min="4" max="4" width="12.33203125" bestFit="1" customWidth="1"/>
    <col min="5" max="10" width="11" bestFit="1" customWidth="1"/>
  </cols>
  <sheetData>
    <row r="2" spans="2:22" x14ac:dyDescent="0.2">
      <c r="O2" t="s">
        <v>57</v>
      </c>
      <c r="T2" t="s">
        <v>56</v>
      </c>
      <c r="V2" t="s">
        <v>58</v>
      </c>
    </row>
    <row r="3" spans="2:22" x14ac:dyDescent="0.2">
      <c r="B3" t="s">
        <v>4</v>
      </c>
      <c r="O3" t="s">
        <v>19</v>
      </c>
      <c r="P3">
        <v>0</v>
      </c>
      <c r="Q3">
        <v>2.1352000000000002</v>
      </c>
      <c r="R3">
        <v>0.54049999999999998</v>
      </c>
      <c r="S3">
        <f>R3*10^-3</f>
        <v>5.4049999999999996E-4</v>
      </c>
      <c r="T3">
        <f>Q3-1100*S3</f>
        <v>1.5406500000000003</v>
      </c>
    </row>
    <row r="4" spans="2:22" x14ac:dyDescent="0.2">
      <c r="B4">
        <f>238+3*35.5</f>
        <v>344.5</v>
      </c>
      <c r="C4" t="s">
        <v>5</v>
      </c>
      <c r="P4">
        <v>14.4</v>
      </c>
      <c r="Q4">
        <v>2.9598</v>
      </c>
      <c r="R4">
        <v>0.6673</v>
      </c>
      <c r="S4">
        <f t="shared" ref="S4:S12" si="0">R4*10^-3</f>
        <v>6.6730000000000001E-4</v>
      </c>
      <c r="T4">
        <f t="shared" ref="T4:T11" si="1">Q4-1100*S4</f>
        <v>2.2257699999999998</v>
      </c>
    </row>
    <row r="5" spans="2:22" x14ac:dyDescent="0.2">
      <c r="P5">
        <v>24.9</v>
      </c>
      <c r="Q5">
        <v>3.4937999999999998</v>
      </c>
      <c r="R5">
        <v>0.78210000000000002</v>
      </c>
      <c r="S5">
        <f t="shared" si="0"/>
        <v>7.8209999999999998E-4</v>
      </c>
      <c r="T5">
        <f t="shared" si="1"/>
        <v>2.6334899999999997</v>
      </c>
    </row>
    <row r="6" spans="2:22" x14ac:dyDescent="0.2">
      <c r="B6" t="s">
        <v>6</v>
      </c>
      <c r="C6" t="s">
        <v>8</v>
      </c>
      <c r="D6" t="s">
        <v>10</v>
      </c>
      <c r="P6">
        <v>33.299999999999997</v>
      </c>
      <c r="Q6">
        <v>3.8603999999999998</v>
      </c>
      <c r="R6">
        <v>0.83709999999999996</v>
      </c>
      <c r="S6">
        <f t="shared" si="0"/>
        <v>8.3710000000000002E-4</v>
      </c>
      <c r="T6">
        <f t="shared" si="1"/>
        <v>2.9395899999999999</v>
      </c>
    </row>
    <row r="7" spans="2:22" x14ac:dyDescent="0.2">
      <c r="B7">
        <v>40</v>
      </c>
      <c r="C7">
        <f>B7/(6.022E+23)</f>
        <v>6.6423115244104945E-23</v>
      </c>
      <c r="D7">
        <f>C7*B4</f>
        <v>2.2882763201594152E-20</v>
      </c>
      <c r="P7">
        <v>40.6</v>
      </c>
      <c r="Q7">
        <v>4.1966000000000001</v>
      </c>
      <c r="R7">
        <v>0.90720000000000001</v>
      </c>
      <c r="S7">
        <f t="shared" si="0"/>
        <v>9.0720000000000004E-4</v>
      </c>
      <c r="T7">
        <f t="shared" si="1"/>
        <v>3.19868</v>
      </c>
    </row>
    <row r="8" spans="2:22" x14ac:dyDescent="0.2">
      <c r="P8">
        <v>49.5</v>
      </c>
      <c r="Q8">
        <v>4.4737999999999998</v>
      </c>
      <c r="R8">
        <v>0.9304</v>
      </c>
      <c r="S8">
        <f t="shared" si="0"/>
        <v>9.3040000000000006E-4</v>
      </c>
      <c r="T8">
        <f t="shared" si="1"/>
        <v>3.4503599999999999</v>
      </c>
    </row>
    <row r="9" spans="2:22" x14ac:dyDescent="0.2">
      <c r="B9" t="s">
        <v>7</v>
      </c>
      <c r="P9">
        <v>59.9</v>
      </c>
      <c r="Q9">
        <v>4.8963999999999999</v>
      </c>
      <c r="R9">
        <v>1.0469999999999999</v>
      </c>
      <c r="S9">
        <f t="shared" si="0"/>
        <v>1.047E-3</v>
      </c>
      <c r="T9">
        <f t="shared" si="1"/>
        <v>3.7446999999999999</v>
      </c>
    </row>
    <row r="10" spans="2:22" x14ac:dyDescent="0.2">
      <c r="B10">
        <v>160</v>
      </c>
      <c r="P10">
        <v>70</v>
      </c>
      <c r="Q10">
        <v>5.2035</v>
      </c>
      <c r="R10">
        <v>1.0504</v>
      </c>
      <c r="S10">
        <f t="shared" si="0"/>
        <v>1.0503999999999999E-3</v>
      </c>
      <c r="T10">
        <f t="shared" si="1"/>
        <v>4.0480599999999995</v>
      </c>
    </row>
    <row r="11" spans="2:22" x14ac:dyDescent="0.2">
      <c r="P11">
        <v>85</v>
      </c>
      <c r="Q11">
        <v>5.5846999999999998</v>
      </c>
      <c r="R11">
        <v>1.0869</v>
      </c>
      <c r="S11">
        <f t="shared" si="0"/>
        <v>1.0869E-3</v>
      </c>
      <c r="T11">
        <f t="shared" si="1"/>
        <v>4.3891099999999996</v>
      </c>
    </row>
    <row r="12" spans="2:22" x14ac:dyDescent="0.2">
      <c r="O12" t="s">
        <v>20</v>
      </c>
      <c r="P12">
        <v>100</v>
      </c>
      <c r="Q12">
        <v>6.3746999999999998</v>
      </c>
      <c r="R12">
        <v>1.5222</v>
      </c>
      <c r="S12">
        <f t="shared" si="0"/>
        <v>1.5222E-3</v>
      </c>
      <c r="T12">
        <f>Q12-1100*S12</f>
        <v>4.7002799999999993</v>
      </c>
    </row>
    <row r="14" spans="2:22" x14ac:dyDescent="0.2">
      <c r="P14" t="s">
        <v>20</v>
      </c>
    </row>
    <row r="15" spans="2:22" x14ac:dyDescent="0.2">
      <c r="L15" t="s">
        <v>18</v>
      </c>
      <c r="M15" t="s">
        <v>16</v>
      </c>
      <c r="P15">
        <v>1100</v>
      </c>
      <c r="Q15">
        <v>6.3746999999999998</v>
      </c>
      <c r="R15">
        <v>1.5222</v>
      </c>
      <c r="S15">
        <f t="shared" ref="S15:S22" si="2">R15*10^-3</f>
        <v>1.5222E-3</v>
      </c>
      <c r="T15">
        <f>Q15-P15*S15</f>
        <v>4.7002799999999993</v>
      </c>
    </row>
    <row r="16" spans="2:22" x14ac:dyDescent="0.2">
      <c r="B16">
        <v>1450</v>
      </c>
      <c r="M16" t="s">
        <v>24</v>
      </c>
      <c r="N16" t="s">
        <v>50</v>
      </c>
      <c r="P16">
        <v>1150</v>
      </c>
      <c r="Q16">
        <v>6.3746999999999998</v>
      </c>
      <c r="R16">
        <v>1.5222</v>
      </c>
      <c r="S16">
        <f t="shared" si="2"/>
        <v>1.5222E-3</v>
      </c>
      <c r="T16">
        <f t="shared" ref="T16:T22" si="3">Q16-P16*S16</f>
        <v>4.6241699999999994</v>
      </c>
    </row>
    <row r="17" spans="2:22" x14ac:dyDescent="0.2"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L17">
        <v>1450</v>
      </c>
      <c r="M17">
        <v>4.2200598446912654</v>
      </c>
      <c r="N17">
        <v>4.2242501756681099</v>
      </c>
      <c r="P17">
        <v>1200</v>
      </c>
      <c r="Q17">
        <v>6.3746999999999998</v>
      </c>
      <c r="R17">
        <v>1.5222</v>
      </c>
      <c r="S17">
        <f t="shared" si="2"/>
        <v>1.5222E-3</v>
      </c>
      <c r="T17">
        <f t="shared" ref="T17" si="4">Q17-P17*S17</f>
        <v>4.5480599999999995</v>
      </c>
      <c r="V17">
        <f t="shared" ref="V17:V20" si="5">13.652-0.007943*P17</f>
        <v>4.1203999999999983</v>
      </c>
    </row>
    <row r="18" spans="2:22" x14ac:dyDescent="0.2">
      <c r="B18">
        <v>0.95</v>
      </c>
      <c r="C18">
        <v>-573.21975217017496</v>
      </c>
      <c r="D18">
        <v>28.949471584998001</v>
      </c>
      <c r="E18">
        <v>39.981274660581498</v>
      </c>
      <c r="F18">
        <f>$F$19*(B18/$B$19)^3</f>
        <v>4362.7098187499996</v>
      </c>
      <c r="L18">
        <v>1400</v>
      </c>
      <c r="M18">
        <v>4.1986838652185368</v>
      </c>
      <c r="N18">
        <v>4.1932862748019328</v>
      </c>
      <c r="P18">
        <v>1250</v>
      </c>
      <c r="Q18">
        <v>6.3746999999999998</v>
      </c>
      <c r="R18">
        <v>1.5222</v>
      </c>
      <c r="S18">
        <f t="shared" si="2"/>
        <v>1.5222E-3</v>
      </c>
      <c r="T18">
        <f t="shared" si="3"/>
        <v>4.4719499999999996</v>
      </c>
      <c r="V18">
        <f t="shared" si="5"/>
        <v>3.7232499999999984</v>
      </c>
    </row>
    <row r="19" spans="2:22" x14ac:dyDescent="0.2">
      <c r="B19">
        <v>1</v>
      </c>
      <c r="C19">
        <v>-573.88594535473703</v>
      </c>
      <c r="D19">
        <v>28.752671818010398</v>
      </c>
      <c r="E19">
        <v>7.8357373495612102</v>
      </c>
      <c r="F19">
        <v>5088.45</v>
      </c>
      <c r="L19">
        <v>1350</v>
      </c>
      <c r="M19">
        <v>4.2495601295254355</v>
      </c>
      <c r="N19">
        <v>4.2422623658869387</v>
      </c>
      <c r="P19">
        <v>1300</v>
      </c>
      <c r="Q19">
        <v>6.3746999999999998</v>
      </c>
      <c r="R19">
        <v>1.5222</v>
      </c>
      <c r="S19">
        <f t="shared" si="2"/>
        <v>1.5222E-3</v>
      </c>
      <c r="T19">
        <f t="shared" si="3"/>
        <v>4.3958399999999997</v>
      </c>
      <c r="V19">
        <f t="shared" si="5"/>
        <v>3.3260999999999985</v>
      </c>
    </row>
    <row r="20" spans="2:22" x14ac:dyDescent="0.2">
      <c r="B20">
        <v>1.01</v>
      </c>
      <c r="C20">
        <v>-574.48995828424097</v>
      </c>
      <c r="D20">
        <v>27.345964932417701</v>
      </c>
      <c r="E20">
        <v>3.1758287080500902</v>
      </c>
      <c r="F20">
        <f t="shared" ref="F20:F22" si="6">$F$19*(B20/$B$19)^3</f>
        <v>5242.6351234499998</v>
      </c>
      <c r="L20">
        <v>1300</v>
      </c>
      <c r="M20">
        <v>4.3</v>
      </c>
      <c r="N20">
        <v>4.28</v>
      </c>
      <c r="P20">
        <v>1350</v>
      </c>
      <c r="Q20">
        <v>6.3746999999999998</v>
      </c>
      <c r="R20">
        <v>1.5222</v>
      </c>
      <c r="S20">
        <f t="shared" si="2"/>
        <v>1.5222E-3</v>
      </c>
      <c r="T20">
        <f t="shared" si="3"/>
        <v>4.3197299999999998</v>
      </c>
      <c r="V20">
        <f t="shared" si="5"/>
        <v>2.9289499999999986</v>
      </c>
    </row>
    <row r="21" spans="2:22" x14ac:dyDescent="0.2">
      <c r="B21">
        <v>1.02</v>
      </c>
      <c r="C21">
        <v>-573.511540916596</v>
      </c>
      <c r="D21">
        <v>27.593124448802801</v>
      </c>
      <c r="E21">
        <v>0.219018430969559</v>
      </c>
      <c r="F21">
        <f t="shared" si="6"/>
        <v>5399.9038475999996</v>
      </c>
      <c r="G21">
        <f>(F22-F21)/(E22-E21)*(0-E21)+F21</f>
        <v>5422.3788391010894</v>
      </c>
      <c r="H21">
        <f>$D$7/(G21*(10^-24))</f>
        <v>4.2200598446912654</v>
      </c>
      <c r="I21">
        <f>(C22-C21)/(E22-E21)*(0-E21)+C21</f>
        <v>-573.33540654702836</v>
      </c>
      <c r="L21">
        <v>1250</v>
      </c>
      <c r="M21">
        <v>4.3237033188519352</v>
      </c>
      <c r="N21">
        <v>4.3207634444097716</v>
      </c>
      <c r="P21">
        <v>1400</v>
      </c>
      <c r="Q21">
        <v>6.3746999999999998</v>
      </c>
      <c r="R21">
        <v>1.5222</v>
      </c>
      <c r="S21">
        <f t="shared" si="2"/>
        <v>1.5222E-3</v>
      </c>
      <c r="T21">
        <f t="shared" si="3"/>
        <v>4.2436199999999999</v>
      </c>
    </row>
    <row r="22" spans="2:22" x14ac:dyDescent="0.2">
      <c r="B22">
        <v>1.03</v>
      </c>
      <c r="C22">
        <v>-572.25463574044079</v>
      </c>
      <c r="D22">
        <v>27.657547702646674</v>
      </c>
      <c r="E22">
        <v>-1.3439099187597479</v>
      </c>
      <c r="F22">
        <f t="shared" si="6"/>
        <v>5560.28670315</v>
      </c>
      <c r="L22">
        <v>1200</v>
      </c>
      <c r="M22">
        <v>4.3548004777899578</v>
      </c>
      <c r="N22">
        <v>4.3420803039078084</v>
      </c>
      <c r="P22">
        <v>1450</v>
      </c>
      <c r="Q22">
        <v>6.3746999999999998</v>
      </c>
      <c r="R22">
        <v>1.5222</v>
      </c>
      <c r="S22">
        <f t="shared" si="2"/>
        <v>1.5222E-3</v>
      </c>
      <c r="T22">
        <f t="shared" si="3"/>
        <v>4.16751</v>
      </c>
    </row>
    <row r="23" spans="2:22" x14ac:dyDescent="0.2">
      <c r="B23">
        <v>1.05</v>
      </c>
      <c r="C23">
        <v>-569.82204678261405</v>
      </c>
      <c r="D23">
        <v>28.017747994398601</v>
      </c>
      <c r="E23">
        <v>-3.97334577409113</v>
      </c>
      <c r="F23">
        <f>$F$19*(B23/$B$19)^3</f>
        <v>5890.5169312500002</v>
      </c>
      <c r="I23" t="s">
        <v>51</v>
      </c>
      <c r="J23" t="s">
        <v>52</v>
      </c>
      <c r="L23">
        <v>1150</v>
      </c>
      <c r="M23">
        <v>4.3479741905445897</v>
      </c>
      <c r="N23">
        <v>4.3686069495216016</v>
      </c>
    </row>
    <row r="24" spans="2:22" x14ac:dyDescent="0.2">
      <c r="F24" t="s">
        <v>50</v>
      </c>
      <c r="G24">
        <v>5417</v>
      </c>
      <c r="H24">
        <f>$D$7/(G24*(10^-24))</f>
        <v>4.2242501756681099</v>
      </c>
      <c r="I24">
        <f>-G24*(2*(0.00003249*G24)-0.3654)</f>
        <v>72.60589277999992</v>
      </c>
      <c r="J24">
        <f>10/I24</f>
        <v>0.13772986760593361</v>
      </c>
      <c r="L24">
        <v>1100</v>
      </c>
      <c r="M24">
        <v>4.3705241796554253</v>
      </c>
      <c r="N24">
        <v>4.3870328223915163</v>
      </c>
    </row>
    <row r="25" spans="2:22" x14ac:dyDescent="0.2">
      <c r="B25">
        <v>1400</v>
      </c>
      <c r="L25">
        <v>1050</v>
      </c>
      <c r="M25">
        <v>4.420017037409611</v>
      </c>
      <c r="N25">
        <v>4.4260663832870693</v>
      </c>
    </row>
    <row r="26" spans="2:22" x14ac:dyDescent="0.2">
      <c r="C26" t="s">
        <v>11</v>
      </c>
      <c r="D26" t="s">
        <v>12</v>
      </c>
      <c r="E26" t="s">
        <v>13</v>
      </c>
      <c r="F26" t="s">
        <v>14</v>
      </c>
    </row>
    <row r="27" spans="2:22" x14ac:dyDescent="0.2">
      <c r="B27">
        <v>0.95</v>
      </c>
      <c r="C27">
        <v>-574.613505988724</v>
      </c>
      <c r="D27">
        <v>27.258891210818099</v>
      </c>
      <c r="E27">
        <v>39.775532837074898</v>
      </c>
      <c r="F27">
        <f>$F$19*(B27/$B$19)^3</f>
        <v>4362.7098187499996</v>
      </c>
    </row>
    <row r="28" spans="2:22" x14ac:dyDescent="0.2">
      <c r="B28">
        <v>1</v>
      </c>
      <c r="C28">
        <v>-575.56337763987801</v>
      </c>
      <c r="D28">
        <v>27.539218529420399</v>
      </c>
      <c r="E28">
        <v>6.8898258772041698</v>
      </c>
      <c r="F28">
        <v>5088.45</v>
      </c>
    </row>
    <row r="29" spans="2:22" x14ac:dyDescent="0.2">
      <c r="B29">
        <v>1.01</v>
      </c>
      <c r="C29">
        <v>-574.39880596072476</v>
      </c>
      <c r="D29">
        <v>27.264204401412123</v>
      </c>
      <c r="E29">
        <v>4.0978871071928831</v>
      </c>
      <c r="F29">
        <f t="shared" ref="F29:F31" si="7">$F$19*(B29/$B$19)^3</f>
        <v>5242.6351234499998</v>
      </c>
    </row>
    <row r="30" spans="2:22" x14ac:dyDescent="0.2">
      <c r="B30">
        <v>1.02</v>
      </c>
      <c r="C30">
        <v>-574.25136817355099</v>
      </c>
      <c r="D30">
        <v>27.005669346154601</v>
      </c>
      <c r="E30">
        <v>0.40686800554906999</v>
      </c>
      <c r="F30">
        <f t="shared" si="7"/>
        <v>5399.9038475999996</v>
      </c>
      <c r="G30">
        <f>(F31-F30)/(E31-E30)*(0-E30)+F30</f>
        <v>5449.984789555745</v>
      </c>
      <c r="H30">
        <f>$D$7/(G30*(10^-24))</f>
        <v>4.1986838652185368</v>
      </c>
      <c r="I30">
        <f>(C31-C30)/(E31-E30)*(0-E30)+C30</f>
        <v>-573.9156898611559</v>
      </c>
    </row>
    <row r="31" spans="2:22" x14ac:dyDescent="0.2">
      <c r="B31">
        <v>1.03</v>
      </c>
      <c r="C31">
        <v>-573.17636750092572</v>
      </c>
      <c r="D31">
        <v>26.879430111971999</v>
      </c>
      <c r="E31">
        <v>-0.89611572466023803</v>
      </c>
      <c r="F31">
        <f t="shared" si="7"/>
        <v>5560.28670315</v>
      </c>
    </row>
    <row r="32" spans="2:22" x14ac:dyDescent="0.2">
      <c r="B32">
        <v>1.05</v>
      </c>
      <c r="C32">
        <v>-570.81901090905706</v>
      </c>
      <c r="D32">
        <v>27.402621829861101</v>
      </c>
      <c r="E32">
        <v>-3.8695309389847798</v>
      </c>
      <c r="F32">
        <f>$F$19*(B32/$B$19)^3</f>
        <v>5890.5169312500002</v>
      </c>
      <c r="I32" t="s">
        <v>51</v>
      </c>
      <c r="J32" t="s">
        <v>52</v>
      </c>
    </row>
    <row r="33" spans="2:12" x14ac:dyDescent="0.2">
      <c r="F33" t="s">
        <v>50</v>
      </c>
      <c r="G33">
        <v>5457</v>
      </c>
      <c r="H33">
        <f>$D$7/(G33*(10^-24))</f>
        <v>4.1932862748019328</v>
      </c>
      <c r="I33">
        <f>-G33*(2*(0.00001632*G33)-0.191)</f>
        <v>70.305368640000054</v>
      </c>
      <c r="J33">
        <f>10/I33</f>
        <v>0.1422366484017058</v>
      </c>
    </row>
    <row r="34" spans="2:12" x14ac:dyDescent="0.2">
      <c r="B34">
        <v>1350</v>
      </c>
    </row>
    <row r="35" spans="2:12" x14ac:dyDescent="0.2">
      <c r="C35" t="s">
        <v>11</v>
      </c>
      <c r="D35" t="s">
        <v>12</v>
      </c>
      <c r="E35" t="s">
        <v>13</v>
      </c>
      <c r="F35" t="s">
        <v>14</v>
      </c>
    </row>
    <row r="36" spans="2:12" x14ac:dyDescent="0.2">
      <c r="B36">
        <v>0.95</v>
      </c>
      <c r="C36">
        <v>-576.26740909951195</v>
      </c>
      <c r="D36">
        <v>26.4140879600365</v>
      </c>
      <c r="E36">
        <v>38.098140749518699</v>
      </c>
      <c r="F36">
        <f>$F$19*(B36/$B$19)^3</f>
        <v>4362.7098187499996</v>
      </c>
    </row>
    <row r="37" spans="2:12" x14ac:dyDescent="0.2">
      <c r="B37">
        <v>0.99</v>
      </c>
      <c r="C37">
        <v>-578.56149585287994</v>
      </c>
      <c r="D37">
        <v>25.3957809826837</v>
      </c>
      <c r="E37">
        <v>10.071165011543201</v>
      </c>
      <c r="F37">
        <f>$F$19*(B37/$B$19)^3</f>
        <v>4937.3179465499998</v>
      </c>
    </row>
    <row r="38" spans="2:12" x14ac:dyDescent="0.2">
      <c r="B38">
        <v>1</v>
      </c>
      <c r="C38">
        <v>-577.31516544099702</v>
      </c>
      <c r="D38">
        <v>25.806925195127</v>
      </c>
      <c r="E38">
        <v>5.9847680473019302</v>
      </c>
      <c r="F38">
        <v>5088.45</v>
      </c>
    </row>
    <row r="39" spans="2:12" x14ac:dyDescent="0.2">
      <c r="B39">
        <v>1.01</v>
      </c>
      <c r="C39">
        <v>-577.24742364964902</v>
      </c>
      <c r="D39">
        <v>25.546846975821602</v>
      </c>
      <c r="E39">
        <v>1.9087870145969099</v>
      </c>
      <c r="F39">
        <f t="shared" ref="F39:F40" si="8">$F$19*(B39/$B$19)^3</f>
        <v>5242.6351234499998</v>
      </c>
      <c r="G39">
        <f>(F40-F39)/(E40-E39)*(0-E39)+F39</f>
        <v>5384.7368913802275</v>
      </c>
      <c r="H39">
        <f>$D$7/(G39*(10^-24))</f>
        <v>4.2495601295254355</v>
      </c>
      <c r="I39">
        <f>(C40-C39)/(E40-E39)*(0-E39)+C39</f>
        <v>-575.93111107498771</v>
      </c>
    </row>
    <row r="40" spans="2:12" x14ac:dyDescent="0.2">
      <c r="B40">
        <v>1.02</v>
      </c>
      <c r="C40">
        <v>-575.79061700878276</v>
      </c>
      <c r="D40">
        <v>25.703041293760474</v>
      </c>
      <c r="E40">
        <v>-0.20373067488841251</v>
      </c>
      <c r="F40">
        <f t="shared" si="8"/>
        <v>5399.9038475999996</v>
      </c>
    </row>
    <row r="41" spans="2:12" x14ac:dyDescent="0.2">
      <c r="B41">
        <v>1.05</v>
      </c>
      <c r="C41">
        <v>-572.03041900594997</v>
      </c>
      <c r="D41">
        <v>26.332550788260601</v>
      </c>
      <c r="E41">
        <v>-4.7693520451289304</v>
      </c>
      <c r="F41">
        <f>$F$19*(B41/$B$19)^3</f>
        <v>5890.5169312500002</v>
      </c>
      <c r="I41" t="s">
        <v>51</v>
      </c>
      <c r="J41" t="s">
        <v>52</v>
      </c>
    </row>
    <row r="42" spans="2:12" x14ac:dyDescent="0.2">
      <c r="F42" t="s">
        <v>50</v>
      </c>
      <c r="G42">
        <v>5394</v>
      </c>
      <c r="H42">
        <f>$D$7/(G42*(10^-24))</f>
        <v>4.2422623658869387</v>
      </c>
      <c r="I42">
        <f>-G42*(2*(0.00002234*G42)-0.2535)</f>
        <v>67.403855520000107</v>
      </c>
      <c r="J42">
        <f>10/I42</f>
        <v>0.14835946583252638</v>
      </c>
    </row>
    <row r="43" spans="2:12" x14ac:dyDescent="0.2">
      <c r="B43" s="6">
        <v>1300</v>
      </c>
      <c r="C43" s="6"/>
      <c r="D43" s="6"/>
      <c r="E43" s="6"/>
      <c r="F43" s="6"/>
      <c r="G43" s="6"/>
      <c r="H43" s="6"/>
      <c r="I43" s="6"/>
      <c r="J43" s="6"/>
    </row>
    <row r="44" spans="2:12" x14ac:dyDescent="0.2">
      <c r="B44" s="6"/>
      <c r="C44" s="6" t="s">
        <v>11</v>
      </c>
      <c r="D44" s="6" t="s">
        <v>12</v>
      </c>
      <c r="E44" s="6" t="s">
        <v>13</v>
      </c>
      <c r="F44" s="6" t="s">
        <v>14</v>
      </c>
      <c r="G44" s="6"/>
      <c r="H44" s="6"/>
      <c r="I44" s="6"/>
      <c r="J44" s="6"/>
    </row>
    <row r="45" spans="2:12" x14ac:dyDescent="0.2">
      <c r="B45" s="6">
        <v>0.95</v>
      </c>
      <c r="C45" s="6">
        <v>-576.78297688636405</v>
      </c>
      <c r="D45" s="6">
        <v>25.946491678844101</v>
      </c>
      <c r="E45" s="6">
        <v>38.361733968868997</v>
      </c>
      <c r="F45" s="6">
        <f>$F$19*(B45/$B$19)^3</f>
        <v>4362.7098187499996</v>
      </c>
      <c r="G45" s="6"/>
      <c r="H45" s="6"/>
      <c r="I45" s="6"/>
      <c r="J45" s="6"/>
    </row>
    <row r="46" spans="2:12" x14ac:dyDescent="0.2">
      <c r="B46" s="6">
        <v>0.99</v>
      </c>
      <c r="C46" s="7">
        <v>-580.32054484775699</v>
      </c>
      <c r="D46" s="7">
        <v>24.625434408985299</v>
      </c>
      <c r="E46" s="7">
        <v>8.9457330093719492</v>
      </c>
      <c r="F46" s="6">
        <f>$F$19*(B46/$B$19)^3</f>
        <v>4937.3179465499998</v>
      </c>
      <c r="G46" s="6"/>
      <c r="H46" s="6"/>
      <c r="I46" s="6"/>
      <c r="J46" s="6"/>
    </row>
    <row r="47" spans="2:12" x14ac:dyDescent="0.2">
      <c r="B47" s="6">
        <v>1</v>
      </c>
      <c r="C47" s="7">
        <v>-579.16358739883799</v>
      </c>
      <c r="D47" s="7">
        <v>24.991540401653801</v>
      </c>
      <c r="E47" s="7">
        <v>5.3131796854537097</v>
      </c>
      <c r="F47" s="6">
        <v>5088.45</v>
      </c>
      <c r="G47" s="6"/>
      <c r="H47" s="6"/>
      <c r="I47" s="6"/>
      <c r="J47" s="6"/>
      <c r="L47" t="s">
        <v>53</v>
      </c>
    </row>
    <row r="48" spans="2:12" x14ac:dyDescent="0.2">
      <c r="B48" s="6">
        <v>1.01</v>
      </c>
      <c r="C48" s="7">
        <v>-577.23238372158926</v>
      </c>
      <c r="D48" s="7">
        <v>25.304646100317854</v>
      </c>
      <c r="E48" s="7">
        <v>3.6246568098546375</v>
      </c>
      <c r="F48" s="6">
        <f t="shared" ref="F48:F49" si="9">$F$19*(B48/$B$19)^3</f>
        <v>5242.6351234499998</v>
      </c>
      <c r="G48" s="6">
        <f>(F49-F48)/(E49-E48)*(0-E48)+F48</f>
        <v>5369.9611253695239</v>
      </c>
      <c r="H48" s="6">
        <f>$D$7/(G48*(10^-24))</f>
        <v>4.2612530458531985</v>
      </c>
      <c r="I48" s="6">
        <f>(C49-C48)/(E49-E48)*(0-E48)+C48</f>
        <v>-577.01255516359947</v>
      </c>
      <c r="J48" s="6"/>
    </row>
    <row r="49" spans="2:10" x14ac:dyDescent="0.2">
      <c r="B49" s="6">
        <v>1.02</v>
      </c>
      <c r="C49" s="7">
        <v>-576.96085900294895</v>
      </c>
      <c r="D49" s="7">
        <v>25.1754081553931</v>
      </c>
      <c r="E49" s="7">
        <v>-0.85239535053395799</v>
      </c>
      <c r="F49" s="6">
        <f t="shared" si="9"/>
        <v>5399.9038475999996</v>
      </c>
      <c r="G49" s="6"/>
      <c r="H49" s="6"/>
      <c r="I49" s="6"/>
      <c r="J49" s="6"/>
    </row>
    <row r="50" spans="2:10" x14ac:dyDescent="0.2">
      <c r="B50" s="6">
        <v>1.03</v>
      </c>
      <c r="C50" s="7">
        <v>-575.89408851127598</v>
      </c>
      <c r="D50" s="7">
        <v>24.667032391912201</v>
      </c>
      <c r="E50" s="7">
        <v>-3.16065984467973</v>
      </c>
      <c r="F50" s="6">
        <f>$F$19*(B50/$B$19)^3</f>
        <v>5560.28670315</v>
      </c>
      <c r="G50" s="6"/>
      <c r="H50" s="6"/>
      <c r="I50" s="6"/>
      <c r="J50" s="6"/>
    </row>
    <row r="51" spans="2:10" x14ac:dyDescent="0.2">
      <c r="B51" s="6">
        <v>1.05</v>
      </c>
      <c r="C51" s="6">
        <v>-572.47052193009199</v>
      </c>
      <c r="D51" s="6">
        <v>25.566117524383898</v>
      </c>
      <c r="E51" s="6">
        <v>-5.4321250742906599</v>
      </c>
      <c r="F51" s="6">
        <f>$F$19*(B51/$B$19)^3</f>
        <v>5890.5169312500002</v>
      </c>
      <c r="G51" s="6"/>
      <c r="H51" s="6"/>
      <c r="I51" s="6" t="s">
        <v>51</v>
      </c>
      <c r="J51" s="6" t="s">
        <v>52</v>
      </c>
    </row>
    <row r="52" spans="2:10" x14ac:dyDescent="0.2">
      <c r="B52" s="6"/>
      <c r="C52" s="6"/>
      <c r="D52" s="6"/>
      <c r="E52" s="6"/>
      <c r="F52" s="6" t="s">
        <v>50</v>
      </c>
      <c r="G52" s="6">
        <v>5365</v>
      </c>
      <c r="H52" s="6">
        <f>$D$7/(G52*(10^-24))</f>
        <v>4.2651935138106527</v>
      </c>
      <c r="I52" s="6">
        <f>-G52*(2*(0.000006686*G52)-0.08968)</f>
        <v>96.243915299999955</v>
      </c>
      <c r="J52" s="6">
        <f>10/I52</f>
        <v>0.10390267238016246</v>
      </c>
    </row>
    <row r="53" spans="2:10" x14ac:dyDescent="0.2">
      <c r="B53">
        <v>1250</v>
      </c>
    </row>
    <row r="54" spans="2:10" x14ac:dyDescent="0.2">
      <c r="C54" t="s">
        <v>11</v>
      </c>
      <c r="D54" t="s">
        <v>12</v>
      </c>
      <c r="E54" t="s">
        <v>13</v>
      </c>
      <c r="F54" t="s">
        <v>14</v>
      </c>
    </row>
    <row r="55" spans="2:10" x14ac:dyDescent="0.2">
      <c r="B55">
        <v>0.95</v>
      </c>
      <c r="C55">
        <v>-577.48338684895998</v>
      </c>
      <c r="D55">
        <v>25.3654769258162</v>
      </c>
      <c r="E55">
        <v>36.407748466372702</v>
      </c>
      <c r="F55">
        <f>$F$19*(B55/$B$19)^3</f>
        <v>4362.7098187499996</v>
      </c>
    </row>
    <row r="56" spans="2:10" x14ac:dyDescent="0.2">
      <c r="B56">
        <v>0.99</v>
      </c>
      <c r="C56">
        <v>-580.60639924166708</v>
      </c>
      <c r="D56">
        <v>23.636118166666698</v>
      </c>
      <c r="E56">
        <v>8.3383599999999891</v>
      </c>
      <c r="F56">
        <f>$F$19*(B56/$B$19)^3</f>
        <v>4937.3179465499998</v>
      </c>
    </row>
    <row r="57" spans="2:10" x14ac:dyDescent="0.2">
      <c r="B57">
        <v>1</v>
      </c>
      <c r="C57">
        <v>-580.03509335034505</v>
      </c>
      <c r="D57">
        <v>24.009157870282898</v>
      </c>
      <c r="E57">
        <v>3.70498353366014</v>
      </c>
      <c r="F57">
        <v>5088.45</v>
      </c>
    </row>
    <row r="58" spans="2:10" x14ac:dyDescent="0.2">
      <c r="B58">
        <v>1.01</v>
      </c>
      <c r="C58">
        <v>-579.60771377896117</v>
      </c>
      <c r="D58">
        <v>23.487842145514623</v>
      </c>
      <c r="E58">
        <v>0.80344141580970874</v>
      </c>
      <c r="F58">
        <f t="shared" ref="F58:F59" si="10">$F$19*(B58/$B$19)^3</f>
        <v>5242.6351234499998</v>
      </c>
      <c r="G58">
        <f>(F59-F58)/(E59-E58)*(0-E58)+F58</f>
        <v>5297.3732229018078</v>
      </c>
      <c r="H58">
        <f>$D$7/(G58*(10^-24))</f>
        <v>4.3196433852662119</v>
      </c>
      <c r="I58">
        <f>(C59-C58)/(E59-E58)*(0-E58)+C58</f>
        <v>-579.04085215902012</v>
      </c>
    </row>
    <row r="59" spans="2:10" x14ac:dyDescent="0.2">
      <c r="B59">
        <v>1.02</v>
      </c>
      <c r="C59">
        <v>-577.97905650677706</v>
      </c>
      <c r="D59">
        <v>24.109993594393199</v>
      </c>
      <c r="E59">
        <v>-1.5049362527446699</v>
      </c>
      <c r="F59">
        <f t="shared" si="10"/>
        <v>5399.9038475999996</v>
      </c>
    </row>
    <row r="60" spans="2:10" x14ac:dyDescent="0.2">
      <c r="B60">
        <v>1.05</v>
      </c>
      <c r="C60">
        <v>-573.91774938579897</v>
      </c>
      <c r="D60">
        <v>24.679239077469699</v>
      </c>
      <c r="E60">
        <v>-5.5323177102093899</v>
      </c>
      <c r="F60">
        <f>$F$19*(B60/$B$19)^3</f>
        <v>5890.5169312500002</v>
      </c>
      <c r="I60" t="s">
        <v>51</v>
      </c>
      <c r="J60" t="s">
        <v>52</v>
      </c>
    </row>
    <row r="61" spans="2:10" x14ac:dyDescent="0.2">
      <c r="F61" t="s">
        <v>50</v>
      </c>
      <c r="G61">
        <v>5283</v>
      </c>
      <c r="H61">
        <f>$D$7/(G61*(10^-24))</f>
        <v>4.3313956467147738</v>
      </c>
      <c r="I61">
        <f>-G61*(2*(0.00002573*G61)-0.287)</f>
        <v>79.96782005999998</v>
      </c>
      <c r="J61">
        <f>10/I61</f>
        <v>0.12505030138994641</v>
      </c>
    </row>
    <row r="62" spans="2:10" x14ac:dyDescent="0.2">
      <c r="B62">
        <v>1200</v>
      </c>
    </row>
    <row r="63" spans="2:10" x14ac:dyDescent="0.2">
      <c r="C63" t="s">
        <v>11</v>
      </c>
      <c r="D63" t="s">
        <v>12</v>
      </c>
      <c r="E63" t="s">
        <v>13</v>
      </c>
      <c r="F63" t="s">
        <v>14</v>
      </c>
    </row>
    <row r="64" spans="2:10" x14ac:dyDescent="0.2">
      <c r="B64">
        <v>0.95</v>
      </c>
      <c r="C64">
        <v>-579.90591880713805</v>
      </c>
      <c r="D64">
        <v>23.733547789627899</v>
      </c>
      <c r="E64">
        <v>36.572687167040897</v>
      </c>
      <c r="F64">
        <f>$F$19*(B64/$B$19)^3</f>
        <v>4362.7098187499996</v>
      </c>
    </row>
    <row r="65" spans="2:10" x14ac:dyDescent="0.2">
      <c r="B65">
        <v>0.99</v>
      </c>
      <c r="C65">
        <v>-582.25476007660995</v>
      </c>
      <c r="D65">
        <v>22.823846283152399</v>
      </c>
      <c r="E65">
        <v>7.2863273846363201</v>
      </c>
      <c r="F65">
        <f>$F$19*(B65/$B$19)^3</f>
        <v>4937.3179465499998</v>
      </c>
    </row>
    <row r="66" spans="2:10" x14ac:dyDescent="0.2">
      <c r="B66">
        <v>1</v>
      </c>
      <c r="C66">
        <v>-581.52406327163601</v>
      </c>
      <c r="D66">
        <v>23.372945020273427</v>
      </c>
      <c r="E66">
        <v>3.6423363545347476</v>
      </c>
      <c r="F66">
        <v>5088.45</v>
      </c>
    </row>
    <row r="67" spans="2:10" x14ac:dyDescent="0.2">
      <c r="B67">
        <v>1.01</v>
      </c>
      <c r="C67">
        <v>-580.10261526181102</v>
      </c>
      <c r="D67">
        <v>23.438846193451599</v>
      </c>
      <c r="E67">
        <v>0.13594186450444501</v>
      </c>
      <c r="F67">
        <f t="shared" ref="F67:F68" si="11">$F$19*(B67/$B$19)^3</f>
        <v>5242.6351234499998</v>
      </c>
      <c r="G67">
        <f>(F68-F67)/(E68-E67)*(0-E67)+F67</f>
        <v>5254.6065699907913</v>
      </c>
      <c r="H67">
        <f>$D$7/(G67*(10^-24))</f>
        <v>4.3548004777899578</v>
      </c>
      <c r="I67">
        <f>(C68-C67)/(E68-E67)*(0-E67)+C67</f>
        <v>-580.05599600160872</v>
      </c>
    </row>
    <row r="68" spans="2:10" x14ac:dyDescent="0.2">
      <c r="B68">
        <v>1.02</v>
      </c>
      <c r="C68">
        <v>-579.49017869887405</v>
      </c>
      <c r="D68">
        <v>22.661605024165102</v>
      </c>
      <c r="E68">
        <v>-1.64992448976926</v>
      </c>
      <c r="F68">
        <f t="shared" si="11"/>
        <v>5399.9038475999996</v>
      </c>
    </row>
    <row r="69" spans="2:10" x14ac:dyDescent="0.2">
      <c r="B69">
        <v>1.05</v>
      </c>
      <c r="C69">
        <v>-573.90563729067503</v>
      </c>
      <c r="D69">
        <v>23.479519437148799</v>
      </c>
      <c r="E69">
        <v>-6.3949926997891504</v>
      </c>
      <c r="F69">
        <f>$F$19*(B69/$B$19)^3</f>
        <v>5890.5169312500002</v>
      </c>
      <c r="I69" t="s">
        <v>51</v>
      </c>
      <c r="J69" t="s">
        <v>52</v>
      </c>
    </row>
    <row r="70" spans="2:10" x14ac:dyDescent="0.2">
      <c r="F70" t="s">
        <v>50</v>
      </c>
      <c r="G70">
        <v>5270</v>
      </c>
      <c r="H70">
        <f>$D$7/(G70*(10^-24))</f>
        <v>4.3420803039078084</v>
      </c>
      <c r="I70">
        <f>-G70*(2*(0.0000209*G70)-0.2357)</f>
        <v>81.231779999999915</v>
      </c>
      <c r="J70">
        <f>10/I70</f>
        <v>0.12310452879402631</v>
      </c>
    </row>
    <row r="71" spans="2:10" x14ac:dyDescent="0.2">
      <c r="B71">
        <v>1150</v>
      </c>
    </row>
    <row r="72" spans="2:10" x14ac:dyDescent="0.2">
      <c r="C72" t="s">
        <v>11</v>
      </c>
      <c r="D72" t="s">
        <v>12</v>
      </c>
      <c r="E72" t="s">
        <v>13</v>
      </c>
      <c r="F72" t="s">
        <v>14</v>
      </c>
    </row>
    <row r="73" spans="2:10" x14ac:dyDescent="0.2">
      <c r="B73">
        <v>0.95</v>
      </c>
      <c r="C73">
        <v>-581.01306353508198</v>
      </c>
      <c r="D73">
        <v>22.886961478473001</v>
      </c>
      <c r="E73">
        <v>35.081085300312402</v>
      </c>
      <c r="F73">
        <f>$F$19*(B73/$B$19)^3</f>
        <v>4362.7098187499996</v>
      </c>
    </row>
    <row r="74" spans="2:10" x14ac:dyDescent="0.2">
      <c r="B74">
        <v>0.99</v>
      </c>
      <c r="C74">
        <v>-582.872393576636</v>
      </c>
      <c r="D74">
        <v>22.057744801297002</v>
      </c>
      <c r="E74">
        <v>7.9150647399228902</v>
      </c>
      <c r="F74">
        <f>$F$19*(B74/$B$19)^3</f>
        <v>4937.3179465499998</v>
      </c>
    </row>
    <row r="75" spans="2:10" x14ac:dyDescent="0.2">
      <c r="B75">
        <v>1</v>
      </c>
      <c r="C75">
        <v>-582.11881435190605</v>
      </c>
      <c r="D75">
        <v>22.296529294817599</v>
      </c>
      <c r="E75">
        <v>3.1708303482907199</v>
      </c>
      <c r="F75">
        <v>5088.45</v>
      </c>
    </row>
    <row r="76" spans="2:10" x14ac:dyDescent="0.2">
      <c r="B76">
        <v>1.01</v>
      </c>
      <c r="C76">
        <v>-581.69927556646007</v>
      </c>
      <c r="D76">
        <v>21.865656747611649</v>
      </c>
      <c r="E76">
        <v>0.25940676994578044</v>
      </c>
      <c r="F76">
        <f t="shared" ref="F76:F77" si="12">$F$19*(B76/$B$19)^3</f>
        <v>5242.6351234499998</v>
      </c>
      <c r="G76">
        <f>(F77-F76)/(E77-E76)*(0-E76)+F76</f>
        <v>5262.8562633505544</v>
      </c>
      <c r="H76">
        <f>$D$7/(G76*(10^-24))</f>
        <v>4.3479741905445897</v>
      </c>
      <c r="I76">
        <f>(C77-C76)/(E77-E76)*(0-E76)+C76</f>
        <v>-581.58100023235056</v>
      </c>
    </row>
    <row r="77" spans="2:10" x14ac:dyDescent="0.2">
      <c r="B77">
        <v>1.02</v>
      </c>
      <c r="C77">
        <v>-580.77939612418868</v>
      </c>
      <c r="D77">
        <v>21.902378042792776</v>
      </c>
      <c r="E77">
        <v>-1.7581140990991</v>
      </c>
      <c r="F77">
        <f t="shared" si="12"/>
        <v>5399.9038475999996</v>
      </c>
    </row>
    <row r="78" spans="2:10" x14ac:dyDescent="0.2">
      <c r="B78">
        <v>1.05</v>
      </c>
      <c r="C78">
        <v>-576.65844954394595</v>
      </c>
      <c r="D78">
        <v>22.689483606207201</v>
      </c>
      <c r="E78">
        <v>-6.9668437737083098</v>
      </c>
      <c r="F78">
        <f>$F$19*(B78/$B$19)^3</f>
        <v>5890.5169312500002</v>
      </c>
      <c r="I78" t="s">
        <v>51</v>
      </c>
      <c r="J78" t="s">
        <v>52</v>
      </c>
    </row>
    <row r="79" spans="2:10" x14ac:dyDescent="0.2">
      <c r="F79" t="s">
        <v>50</v>
      </c>
      <c r="G79">
        <v>5238</v>
      </c>
      <c r="H79">
        <f>$D$7/(G79*(10^-24))</f>
        <v>4.3686069495216016</v>
      </c>
      <c r="I79">
        <f>-G79*(2*(0.00002995*G79)-0.3303)</f>
        <v>86.656424399999992</v>
      </c>
      <c r="J79">
        <f>10/I79</f>
        <v>0.11539825315017269</v>
      </c>
    </row>
    <row r="80" spans="2:10" x14ac:dyDescent="0.2">
      <c r="B80">
        <v>1100</v>
      </c>
    </row>
    <row r="81" spans="2:10" x14ac:dyDescent="0.2">
      <c r="C81" t="s">
        <v>11</v>
      </c>
      <c r="D81" t="s">
        <v>12</v>
      </c>
      <c r="E81" t="s">
        <v>13</v>
      </c>
      <c r="F81" t="s">
        <v>14</v>
      </c>
    </row>
    <row r="82" spans="2:10" x14ac:dyDescent="0.2">
      <c r="B82">
        <v>0.95</v>
      </c>
      <c r="C82">
        <v>-581.80183033352603</v>
      </c>
      <c r="D82">
        <v>21.578990459711299</v>
      </c>
      <c r="E82">
        <v>33.7404915356231</v>
      </c>
      <c r="F82">
        <f>$F$19*(B82/$B$19)^3</f>
        <v>4362.7098187499996</v>
      </c>
    </row>
    <row r="83" spans="2:10" x14ac:dyDescent="0.2">
      <c r="B83">
        <v>0.99</v>
      </c>
      <c r="C83">
        <v>-584.01996740316349</v>
      </c>
      <c r="D83">
        <v>21.42791177636645</v>
      </c>
      <c r="E83">
        <v>6.7733896150885302</v>
      </c>
      <c r="F83">
        <f>$F$19*(B83/$B$19)^3</f>
        <v>4937.3179465499998</v>
      </c>
    </row>
    <row r="84" spans="2:10" x14ac:dyDescent="0.2">
      <c r="B84">
        <v>1</v>
      </c>
      <c r="C84">
        <v>-583.710026068714</v>
      </c>
      <c r="D84">
        <v>21.2795637574457</v>
      </c>
      <c r="E84">
        <v>2.3872637833305399</v>
      </c>
      <c r="F84">
        <v>5088.45</v>
      </c>
      <c r="G84">
        <f>(F85-F84)/(E85-E84)*(0-E84)+F84</f>
        <v>5235.7022318083227</v>
      </c>
      <c r="H84">
        <f>$D$7/(G84*(10^-24))</f>
        <v>4.3705241796554253</v>
      </c>
      <c r="I84">
        <f>(C85-C84)/(E85-E84)*(0-E84)+C84</f>
        <v>-582.62251724641931</v>
      </c>
    </row>
    <row r="85" spans="2:10" x14ac:dyDescent="0.2">
      <c r="B85">
        <v>1.01</v>
      </c>
      <c r="C85">
        <v>-582.57131543622097</v>
      </c>
      <c r="D85">
        <v>21.162234284829101</v>
      </c>
      <c r="E85">
        <v>-0.112396538420381</v>
      </c>
      <c r="F85">
        <f t="shared" ref="F85:F86" si="13">$F$19*(B85/$B$19)^3</f>
        <v>5242.6351234499998</v>
      </c>
    </row>
    <row r="86" spans="2:10" x14ac:dyDescent="0.2">
      <c r="B86">
        <v>1.02</v>
      </c>
      <c r="C86">
        <v>-581.71706283462299</v>
      </c>
      <c r="D86">
        <v>21.246835843549899</v>
      </c>
      <c r="E86">
        <v>-2.92154694644374</v>
      </c>
      <c r="F86">
        <f t="shared" si="13"/>
        <v>5399.9038475999996</v>
      </c>
    </row>
    <row r="87" spans="2:10" x14ac:dyDescent="0.2">
      <c r="B87">
        <v>1.05</v>
      </c>
      <c r="C87">
        <v>-577.21194243710897</v>
      </c>
      <c r="D87">
        <v>22.1114521168351</v>
      </c>
      <c r="E87">
        <v>-6.5629699333031404</v>
      </c>
      <c r="F87">
        <f>$F$19*(B87/$B$19)^3</f>
        <v>5890.5169312500002</v>
      </c>
      <c r="I87" t="s">
        <v>51</v>
      </c>
      <c r="J87" t="s">
        <v>52</v>
      </c>
    </row>
    <row r="88" spans="2:10" x14ac:dyDescent="0.2">
      <c r="F88" t="s">
        <v>50</v>
      </c>
      <c r="G88">
        <v>5216</v>
      </c>
      <c r="H88">
        <f>$D$7/(G88*(10^-24))</f>
        <v>4.3870328223915163</v>
      </c>
      <c r="I88">
        <f>-G88*(2*(0.00001776*G88)-0.2041)</f>
        <v>98.205178880000062</v>
      </c>
      <c r="J88">
        <f>10/I88</f>
        <v>0.10182762369609151</v>
      </c>
    </row>
    <row r="89" spans="2:10" x14ac:dyDescent="0.2">
      <c r="B89">
        <v>1050</v>
      </c>
    </row>
    <row r="90" spans="2:10" x14ac:dyDescent="0.2">
      <c r="C90" t="s">
        <v>11</v>
      </c>
      <c r="D90" t="s">
        <v>12</v>
      </c>
      <c r="E90" t="s">
        <v>13</v>
      </c>
      <c r="F90" t="s">
        <v>14</v>
      </c>
    </row>
    <row r="91" spans="2:10" x14ac:dyDescent="0.2">
      <c r="B91">
        <v>0.95</v>
      </c>
      <c r="C91">
        <v>-583.633533874916</v>
      </c>
      <c r="D91">
        <v>20.994454847533799</v>
      </c>
      <c r="E91">
        <v>33.020896618279998</v>
      </c>
      <c r="F91">
        <f>$F$19*(B91/$B$19)^3</f>
        <v>4362.7098187499996</v>
      </c>
    </row>
    <row r="92" spans="2:10" x14ac:dyDescent="0.2">
      <c r="B92">
        <v>0.99</v>
      </c>
      <c r="C92">
        <v>-585.40723921866697</v>
      </c>
      <c r="D92">
        <v>20.292055999999999</v>
      </c>
      <c r="E92">
        <v>5.0854280000000003</v>
      </c>
      <c r="F92">
        <f>$F$19*(B92/$B$19)^3</f>
        <v>4937.3179465499998</v>
      </c>
    </row>
    <row r="93" spans="2:10" x14ac:dyDescent="0.2">
      <c r="B93">
        <v>1</v>
      </c>
      <c r="C93">
        <v>-583.96175235912995</v>
      </c>
      <c r="D93">
        <v>20.122525567106901</v>
      </c>
      <c r="E93">
        <v>2.4609021294420899</v>
      </c>
      <c r="F93">
        <v>5088.45</v>
      </c>
      <c r="G93">
        <f>(F94-F93)/(E94-E93)*(0-E93)+F93</f>
        <v>5177.0757913197522</v>
      </c>
      <c r="H93">
        <f>$D$7/(G93*(10^-24))</f>
        <v>4.420017037409611</v>
      </c>
      <c r="I93">
        <f>(C94-C93)/(E94-E93)*(0-E93)+C93</f>
        <v>-583.86261176361575</v>
      </c>
    </row>
    <row r="94" spans="2:10" x14ac:dyDescent="0.2">
      <c r="B94">
        <v>1.01</v>
      </c>
      <c r="C94">
        <v>-583.78927429455496</v>
      </c>
      <c r="D94">
        <v>20.3677963963416</v>
      </c>
      <c r="E94">
        <v>-1.8204080058596701</v>
      </c>
      <c r="F94">
        <f t="shared" ref="F94:F95" si="14">$F$19*(B94/$B$19)^3</f>
        <v>5242.6351234499998</v>
      </c>
    </row>
    <row r="95" spans="2:10" x14ac:dyDescent="0.2">
      <c r="B95">
        <v>1.02</v>
      </c>
      <c r="C95">
        <v>-583.68345565643597</v>
      </c>
      <c r="D95">
        <v>20.0546074105801</v>
      </c>
      <c r="E95">
        <v>-3.59691300738473</v>
      </c>
      <c r="F95">
        <f t="shared" si="14"/>
        <v>5399.9038475999996</v>
      </c>
    </row>
    <row r="96" spans="2:10" x14ac:dyDescent="0.2">
      <c r="B96">
        <v>1.05</v>
      </c>
      <c r="C96">
        <v>-578.24962721259305</v>
      </c>
      <c r="D96">
        <v>21.266475850079601</v>
      </c>
      <c r="E96">
        <v>-7.3476205885562198</v>
      </c>
      <c r="F96">
        <f>$F$19*(B96/$B$19)^3</f>
        <v>5890.5169312500002</v>
      </c>
      <c r="I96" t="s">
        <v>51</v>
      </c>
      <c r="J96" t="s">
        <v>52</v>
      </c>
    </row>
    <row r="97" spans="6:10" x14ac:dyDescent="0.2">
      <c r="F97" t="s">
        <v>50</v>
      </c>
      <c r="G97">
        <v>5170</v>
      </c>
      <c r="H97">
        <f>$D$7/(G97*(10^-24))</f>
        <v>4.4260663832870693</v>
      </c>
      <c r="I97">
        <f>-G97*(2*(0.00001045*G97)-0.1277)</f>
        <v>101.57499000000006</v>
      </c>
      <c r="J97">
        <f>10/I97</f>
        <v>9.8449431301937562E-2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F1C9-43A0-BE42-A5FB-E1F7E1545A51}">
  <dimension ref="B1:K101"/>
  <sheetViews>
    <sheetView workbookViewId="0">
      <selection activeCell="O22" sqref="A1:XFD1048576"/>
    </sheetView>
  </sheetViews>
  <sheetFormatPr baseColWidth="10" defaultRowHeight="16" x14ac:dyDescent="0.2"/>
  <cols>
    <col min="9" max="10" width="12.1640625" bestFit="1" customWidth="1"/>
  </cols>
  <sheetData>
    <row r="1" spans="2:11" x14ac:dyDescent="0.2">
      <c r="C1" t="s">
        <v>19</v>
      </c>
      <c r="D1">
        <f>23+35.5</f>
        <v>58.5</v>
      </c>
      <c r="E1" t="s">
        <v>5</v>
      </c>
    </row>
    <row r="2" spans="2:11" x14ac:dyDescent="0.2">
      <c r="C2" t="s">
        <v>20</v>
      </c>
      <c r="D2">
        <f>238+3*35.5</f>
        <v>344.5</v>
      </c>
      <c r="E2" t="s">
        <v>5</v>
      </c>
    </row>
    <row r="4" spans="2:11" x14ac:dyDescent="0.2">
      <c r="B4" t="s">
        <v>22</v>
      </c>
      <c r="D4" t="s">
        <v>0</v>
      </c>
      <c r="E4" t="s">
        <v>3</v>
      </c>
      <c r="F4" t="s">
        <v>1</v>
      </c>
      <c r="G4" t="s">
        <v>2</v>
      </c>
      <c r="H4" t="s">
        <v>21</v>
      </c>
      <c r="I4" t="s">
        <v>8</v>
      </c>
      <c r="J4" t="s">
        <v>9</v>
      </c>
      <c r="K4" t="s">
        <v>55</v>
      </c>
    </row>
    <row r="5" spans="2:11" x14ac:dyDescent="0.2">
      <c r="B5" s="9">
        <f>E5/SUM(D5:E5)</f>
        <v>0.14285714285714285</v>
      </c>
      <c r="D5">
        <v>72</v>
      </c>
      <c r="E5">
        <v>12</v>
      </c>
      <c r="F5">
        <f>D5+3*E5</f>
        <v>108</v>
      </c>
      <c r="G5">
        <f>SUM(D5:F5)</f>
        <v>192</v>
      </c>
      <c r="H5">
        <f>$D$2*(B5)+$D$1*(1-B5)</f>
        <v>99.357142857142861</v>
      </c>
      <c r="I5">
        <f>SUM(D5:E5)/(6.022E+23)</f>
        <v>1.3948854201262039E-22</v>
      </c>
      <c r="J5">
        <f>H5*I5</f>
        <v>1.3859182995682497E-20</v>
      </c>
      <c r="K5">
        <f>SUM(D5:E5)</f>
        <v>84</v>
      </c>
    </row>
    <row r="6" spans="2:11" x14ac:dyDescent="0.2">
      <c r="B6" s="9">
        <f>E6/SUM(D6:E6)</f>
        <v>0.1951219512195122</v>
      </c>
      <c r="C6" s="1"/>
      <c r="D6">
        <v>66</v>
      </c>
      <c r="E6">
        <v>16</v>
      </c>
      <c r="F6">
        <f>D6+3*E6</f>
        <v>114</v>
      </c>
      <c r="G6">
        <f>SUM(D6:F6)</f>
        <v>196</v>
      </c>
      <c r="H6">
        <f t="shared" ref="H6:H11" si="0">$D$2*(B6)+$D$1*(1-B6)</f>
        <v>114.30487804878049</v>
      </c>
      <c r="I6">
        <f t="shared" ref="I6:I11" si="1">SUM(D6:E6)/(6.022E+23)</f>
        <v>1.3616738625041513E-22</v>
      </c>
      <c r="J6">
        <f t="shared" ref="J6:J11" si="2">H6*I6</f>
        <v>1.556459647957489E-20</v>
      </c>
      <c r="K6">
        <f t="shared" ref="K6:K11" si="3">SUM(D6:E6)</f>
        <v>82</v>
      </c>
    </row>
    <row r="7" spans="2:11" x14ac:dyDescent="0.2">
      <c r="B7" s="9">
        <f>E7/SUM(D7:E7)</f>
        <v>0.33333333333333331</v>
      </c>
      <c r="C7" s="1"/>
      <c r="D7">
        <v>50</v>
      </c>
      <c r="E7">
        <v>25</v>
      </c>
      <c r="F7">
        <f>D7+3*E7</f>
        <v>125</v>
      </c>
      <c r="G7">
        <f>SUM(D7:F7)</f>
        <v>200</v>
      </c>
      <c r="H7">
        <f t="shared" si="0"/>
        <v>153.83333333333334</v>
      </c>
      <c r="I7">
        <f t="shared" si="1"/>
        <v>1.2454334108269678E-22</v>
      </c>
      <c r="J7">
        <f t="shared" si="2"/>
        <v>1.9158917303221524E-20</v>
      </c>
      <c r="K7">
        <f t="shared" si="3"/>
        <v>75</v>
      </c>
    </row>
    <row r="8" spans="2:11" x14ac:dyDescent="0.2">
      <c r="B8" s="9">
        <f t="shared" ref="B8:B10" si="4">E8/SUM(D8:E8)</f>
        <v>0.35616438356164382</v>
      </c>
      <c r="C8" s="1"/>
      <c r="D8">
        <v>47</v>
      </c>
      <c r="E8">
        <v>26</v>
      </c>
      <c r="F8">
        <f t="shared" ref="F8:F11" si="5">D8+3*E8</f>
        <v>125</v>
      </c>
      <c r="G8">
        <f t="shared" ref="G8:G11" si="6">SUM(D8:F8)</f>
        <v>198</v>
      </c>
      <c r="H8">
        <f t="shared" si="0"/>
        <v>160.36301369863014</v>
      </c>
      <c r="I8">
        <f t="shared" si="1"/>
        <v>1.2122218532049152E-22</v>
      </c>
      <c r="J8">
        <f t="shared" si="2"/>
        <v>1.9439554965127863E-20</v>
      </c>
      <c r="K8">
        <f t="shared" si="3"/>
        <v>73</v>
      </c>
    </row>
    <row r="9" spans="2:11" x14ac:dyDescent="0.2">
      <c r="B9" s="9">
        <f t="shared" si="4"/>
        <v>0.6</v>
      </c>
      <c r="C9" s="1"/>
      <c r="D9">
        <v>24</v>
      </c>
      <c r="E9">
        <v>36</v>
      </c>
      <c r="F9">
        <f t="shared" si="5"/>
        <v>132</v>
      </c>
      <c r="G9">
        <f t="shared" si="6"/>
        <v>192</v>
      </c>
      <c r="H9">
        <f t="shared" si="0"/>
        <v>230.1</v>
      </c>
      <c r="I9">
        <f t="shared" si="1"/>
        <v>9.9634672866157424E-23</v>
      </c>
      <c r="J9">
        <f t="shared" si="2"/>
        <v>2.2925938226502823E-20</v>
      </c>
      <c r="K9">
        <f t="shared" si="3"/>
        <v>60</v>
      </c>
    </row>
    <row r="10" spans="2:11" x14ac:dyDescent="0.2">
      <c r="B10" s="9">
        <f t="shared" si="4"/>
        <v>0.66666666666666663</v>
      </c>
      <c r="C10" s="1"/>
      <c r="D10">
        <v>20</v>
      </c>
      <c r="E10">
        <v>40</v>
      </c>
      <c r="F10">
        <f t="shared" si="5"/>
        <v>140</v>
      </c>
      <c r="G10">
        <f t="shared" si="6"/>
        <v>200</v>
      </c>
      <c r="H10">
        <f t="shared" si="0"/>
        <v>249.16666666666666</v>
      </c>
      <c r="I10">
        <f t="shared" si="1"/>
        <v>9.9634672866157424E-23</v>
      </c>
      <c r="J10">
        <f t="shared" si="2"/>
        <v>2.4825639322484223E-20</v>
      </c>
      <c r="K10">
        <f t="shared" si="3"/>
        <v>60</v>
      </c>
    </row>
    <row r="11" spans="2:11" x14ac:dyDescent="0.2">
      <c r="B11" s="9">
        <f>E11/SUM(D11:E11)</f>
        <v>0.8</v>
      </c>
      <c r="C11" s="1"/>
      <c r="D11">
        <v>11</v>
      </c>
      <c r="E11">
        <v>44.000000000000007</v>
      </c>
      <c r="F11">
        <f t="shared" si="5"/>
        <v>143.00000000000003</v>
      </c>
      <c r="G11">
        <f t="shared" si="6"/>
        <v>198.00000000000003</v>
      </c>
      <c r="H11">
        <f t="shared" si="0"/>
        <v>287.3</v>
      </c>
      <c r="I11">
        <f t="shared" si="1"/>
        <v>9.1331783460644316E-23</v>
      </c>
      <c r="J11">
        <f t="shared" si="2"/>
        <v>2.6239621388243112E-20</v>
      </c>
      <c r="K11">
        <f t="shared" si="3"/>
        <v>55.000000000000007</v>
      </c>
    </row>
    <row r="13" spans="2:11" x14ac:dyDescent="0.2">
      <c r="B13" t="s">
        <v>23</v>
      </c>
    </row>
    <row r="15" spans="2:11" x14ac:dyDescent="0.2">
      <c r="B15">
        <v>1450</v>
      </c>
    </row>
    <row r="16" spans="2:11" x14ac:dyDescent="0.2">
      <c r="C16" t="s">
        <v>11</v>
      </c>
      <c r="D16" t="s">
        <v>12</v>
      </c>
      <c r="E16" t="s">
        <v>13</v>
      </c>
      <c r="F16" t="s">
        <v>14</v>
      </c>
      <c r="G16" t="s">
        <v>26</v>
      </c>
      <c r="H16" t="s">
        <v>54</v>
      </c>
      <c r="I16" t="s">
        <v>16</v>
      </c>
      <c r="J16" t="s">
        <v>17</v>
      </c>
    </row>
    <row r="17" spans="2:10" x14ac:dyDescent="0.2">
      <c r="B17">
        <v>0.98</v>
      </c>
      <c r="C17">
        <v>-498.65758645612345</v>
      </c>
      <c r="D17">
        <v>37.212107538105826</v>
      </c>
      <c r="E17">
        <v>3.8426143091133027</v>
      </c>
      <c r="F17">
        <f>F$19*(B17/B$19)^3</f>
        <v>6455.6359279999997</v>
      </c>
      <c r="G17" s="3">
        <f>F17^(1/3)</f>
        <v>18.619999999999994</v>
      </c>
    </row>
    <row r="18" spans="2:10" x14ac:dyDescent="0.2">
      <c r="B18">
        <v>0.99</v>
      </c>
      <c r="C18">
        <v>-497.53987465960364</v>
      </c>
      <c r="D18">
        <v>37.366709895118966</v>
      </c>
      <c r="E18">
        <v>2.7084349467415705</v>
      </c>
      <c r="F18">
        <f>F$19*(B18/B$19)^3</f>
        <v>6655.2808409999998</v>
      </c>
      <c r="G18" s="3">
        <f t="shared" ref="G18:G21" si="7">F18^(1/3)</f>
        <v>18.810000000000002</v>
      </c>
    </row>
    <row r="19" spans="2:10" x14ac:dyDescent="0.2">
      <c r="B19">
        <v>1</v>
      </c>
      <c r="C19">
        <v>-496.44445147446703</v>
      </c>
      <c r="D19">
        <v>37.609557122729797</v>
      </c>
      <c r="E19">
        <v>1.1568435124088376</v>
      </c>
      <c r="F19">
        <v>6859</v>
      </c>
      <c r="G19" s="3">
        <f>F19^(1/3)</f>
        <v>18.999999999999996</v>
      </c>
      <c r="H19">
        <f>(F20-F19)/(E20-E19)*(0-E19)+F19</f>
        <v>7000.9619600387086</v>
      </c>
      <c r="I19">
        <f>$J$7/(H19*(10^-24))</f>
        <v>2.7366121131038956</v>
      </c>
      <c r="J19">
        <f>(C20-C19)/(E20-E19)*(0-E19)+C19</f>
        <v>-495.93362271125579</v>
      </c>
    </row>
    <row r="20" spans="2:10" x14ac:dyDescent="0.2">
      <c r="B20">
        <v>1.01</v>
      </c>
      <c r="C20">
        <v>-495.69659007062637</v>
      </c>
      <c r="D20">
        <v>36.954823661668165</v>
      </c>
      <c r="E20">
        <v>-0.53679372088902433</v>
      </c>
      <c r="F20">
        <f>F$19*(B20/B$19)^3</f>
        <v>7066.834558999999</v>
      </c>
      <c r="G20" s="3">
        <f t="shared" si="7"/>
        <v>19.189999999999991</v>
      </c>
    </row>
    <row r="21" spans="2:10" x14ac:dyDescent="0.2">
      <c r="B21">
        <v>1.02</v>
      </c>
      <c r="C21">
        <v>-493.23625564364966</v>
      </c>
      <c r="D21">
        <v>36.87938825066113</v>
      </c>
      <c r="E21">
        <v>-1.4772427846431562</v>
      </c>
      <c r="F21">
        <f>F$19*(B21/B$19)^3</f>
        <v>7278.8256719999999</v>
      </c>
      <c r="G21" s="3">
        <f t="shared" si="7"/>
        <v>19.379999999999995</v>
      </c>
    </row>
    <row r="23" spans="2:10" x14ac:dyDescent="0.2">
      <c r="B23">
        <v>1400</v>
      </c>
    </row>
    <row r="24" spans="2:10" x14ac:dyDescent="0.2">
      <c r="C24" t="s">
        <v>11</v>
      </c>
      <c r="D24" t="s">
        <v>12</v>
      </c>
      <c r="E24" t="s">
        <v>13</v>
      </c>
      <c r="F24" t="s">
        <v>14</v>
      </c>
      <c r="G24" t="s">
        <v>26</v>
      </c>
    </row>
    <row r="25" spans="2:10" x14ac:dyDescent="0.2">
      <c r="B25">
        <v>0.95</v>
      </c>
      <c r="C25">
        <v>-502.92056761334197</v>
      </c>
      <c r="D25">
        <v>35.806066408617198</v>
      </c>
      <c r="E25">
        <v>13.9713479061275</v>
      </c>
      <c r="F25">
        <f>F28*(B25/B28)^3</f>
        <v>5880.7351249999992</v>
      </c>
      <c r="G25" s="3">
        <f>F25^(1/3)</f>
        <v>18.050000000000004</v>
      </c>
    </row>
    <row r="26" spans="2:10" x14ac:dyDescent="0.2">
      <c r="B26">
        <v>0.98</v>
      </c>
      <c r="C26">
        <v>-500.05315197019178</v>
      </c>
      <c r="D26">
        <v>35.907874702699125</v>
      </c>
      <c r="E26">
        <v>4.5953725380260924</v>
      </c>
      <c r="F26">
        <f>F30*(B26/B30)^3</f>
        <v>6455.6359279999988</v>
      </c>
      <c r="G26" s="3">
        <f t="shared" ref="G26:G29" si="8">F26^(1/3)</f>
        <v>18.619999999999994</v>
      </c>
    </row>
    <row r="27" spans="2:10" x14ac:dyDescent="0.2">
      <c r="B27">
        <v>0.99</v>
      </c>
      <c r="C27">
        <v>-497.83900776760134</v>
      </c>
      <c r="D27">
        <v>35.331387514018701</v>
      </c>
      <c r="E27">
        <v>1.2323291173416366</v>
      </c>
      <c r="F27">
        <f>F31*(B27/B31)^3</f>
        <v>6655.2808410000007</v>
      </c>
      <c r="G27" s="3">
        <f>F27^(1/3)</f>
        <v>18.810000000000002</v>
      </c>
    </row>
    <row r="28" spans="2:10" x14ac:dyDescent="0.2">
      <c r="B28">
        <v>1</v>
      </c>
      <c r="C28">
        <v>-497.33928604556604</v>
      </c>
      <c r="D28">
        <v>35.863561623053826</v>
      </c>
      <c r="E28">
        <v>0.76766064122224054</v>
      </c>
      <c r="F28">
        <v>6859</v>
      </c>
      <c r="G28" s="3">
        <f t="shared" si="8"/>
        <v>18.999999999999996</v>
      </c>
      <c r="H28">
        <f>(F30-F28)/(E30-E28)*(0-E28)+F28</f>
        <v>7278.8256720000008</v>
      </c>
      <c r="I28">
        <f>$J$7/(H28*(10^-24))</f>
        <v>2.6321439977497403</v>
      </c>
      <c r="J28">
        <f>(C30-C28)/(E30-E28)*(0-E28)+C28</f>
        <v>0</v>
      </c>
    </row>
    <row r="29" spans="2:10" x14ac:dyDescent="0.2">
      <c r="B29">
        <v>1.01</v>
      </c>
      <c r="F29">
        <f>F26*(B29/B26)^3</f>
        <v>7066.8345589999972</v>
      </c>
      <c r="G29" s="3">
        <f t="shared" si="8"/>
        <v>19.189999999999991</v>
      </c>
    </row>
    <row r="30" spans="2:10" x14ac:dyDescent="0.2">
      <c r="B30">
        <v>1.02</v>
      </c>
      <c r="F30">
        <f>F27*(B30/B27)^3</f>
        <v>7278.8256720000008</v>
      </c>
    </row>
    <row r="31" spans="2:10" x14ac:dyDescent="0.2">
      <c r="B31">
        <v>1.05</v>
      </c>
      <c r="C31">
        <v>-490.04378120406898</v>
      </c>
      <c r="D31">
        <v>35.462599870051903</v>
      </c>
      <c r="E31">
        <v>-4.2695298489429501</v>
      </c>
      <c r="F31">
        <f>F28*(B31/B28)^3</f>
        <v>7940.149875000001</v>
      </c>
    </row>
    <row r="33" spans="2:10" x14ac:dyDescent="0.2">
      <c r="B33">
        <v>1350</v>
      </c>
    </row>
    <row r="34" spans="2:10" x14ac:dyDescent="0.2">
      <c r="C34" t="s">
        <v>11</v>
      </c>
      <c r="D34" t="s">
        <v>12</v>
      </c>
      <c r="E34" t="s">
        <v>13</v>
      </c>
      <c r="F34" t="s">
        <v>14</v>
      </c>
      <c r="G34" t="s">
        <v>26</v>
      </c>
    </row>
    <row r="35" spans="2:10" x14ac:dyDescent="0.2">
      <c r="B35">
        <v>0.95</v>
      </c>
      <c r="C35">
        <v>-504.70251414645497</v>
      </c>
      <c r="D35">
        <v>34.4892939249847</v>
      </c>
      <c r="E35">
        <v>13.098500618266799</v>
      </c>
      <c r="F35">
        <f>F38*(B35/B38)^3</f>
        <v>5880.7351249999992</v>
      </c>
      <c r="G35" s="3">
        <f>F35^(1/3)</f>
        <v>18.050000000000004</v>
      </c>
    </row>
    <row r="36" spans="2:10" x14ac:dyDescent="0.2">
      <c r="B36">
        <v>0.98</v>
      </c>
      <c r="F36">
        <f t="shared" ref="F36" si="9">F40*(B36/B40)^3</f>
        <v>6455.6359279999988</v>
      </c>
      <c r="G36" s="3">
        <f t="shared" ref="G36:G39" si="10">F36^(1/3)</f>
        <v>18.619999999999994</v>
      </c>
    </row>
    <row r="37" spans="2:10" x14ac:dyDescent="0.2">
      <c r="B37">
        <v>0.99</v>
      </c>
      <c r="F37">
        <f>F41*(B37/B41)^3</f>
        <v>6655.2808410000007</v>
      </c>
      <c r="G37" s="3">
        <f>F37^(1/3)</f>
        <v>18.810000000000002</v>
      </c>
    </row>
    <row r="38" spans="2:10" x14ac:dyDescent="0.2">
      <c r="B38">
        <v>1</v>
      </c>
      <c r="F38">
        <v>6859</v>
      </c>
      <c r="G38" s="3">
        <f t="shared" si="10"/>
        <v>18.999999999999996</v>
      </c>
      <c r="H38">
        <f>(F41-F38)/(E41-E38)*(0-E38)+F38</f>
        <v>6859</v>
      </c>
      <c r="I38">
        <f>$J$7/(H38*(10^-24))</f>
        <v>2.7932522675640072</v>
      </c>
      <c r="J38">
        <f>(C41-C38)/(E41-E38)*(0-E38)+C38</f>
        <v>0</v>
      </c>
    </row>
    <row r="39" spans="2:10" x14ac:dyDescent="0.2">
      <c r="B39">
        <v>1.01</v>
      </c>
      <c r="F39">
        <f>F36*(B39/B36)^3</f>
        <v>7066.8345589999972</v>
      </c>
      <c r="G39" s="3">
        <f t="shared" si="10"/>
        <v>19.189999999999991</v>
      </c>
    </row>
    <row r="40" spans="2:10" x14ac:dyDescent="0.2">
      <c r="B40">
        <v>1.02</v>
      </c>
      <c r="F40">
        <f>F37*(B40/B37)^3</f>
        <v>7278.8256720000008</v>
      </c>
    </row>
    <row r="41" spans="2:10" x14ac:dyDescent="0.2">
      <c r="B41">
        <v>1.05</v>
      </c>
      <c r="C41">
        <v>-491.69971143436902</v>
      </c>
      <c r="D41">
        <v>34.126931089334199</v>
      </c>
      <c r="E41">
        <v>-4.30093422398709</v>
      </c>
      <c r="F41">
        <f>F38*(B41/B38)^3</f>
        <v>7940.149875000001</v>
      </c>
    </row>
    <row r="43" spans="2:10" x14ac:dyDescent="0.2">
      <c r="B43">
        <v>1300</v>
      </c>
    </row>
    <row r="44" spans="2:10" x14ac:dyDescent="0.2">
      <c r="C44" t="s">
        <v>11</v>
      </c>
      <c r="D44" t="s">
        <v>12</v>
      </c>
      <c r="E44" t="s">
        <v>13</v>
      </c>
      <c r="F44" t="s">
        <v>14</v>
      </c>
      <c r="G44" t="s">
        <v>26</v>
      </c>
    </row>
    <row r="45" spans="2:10" x14ac:dyDescent="0.2">
      <c r="B45">
        <v>0.95</v>
      </c>
      <c r="C45">
        <v>-506.57998314233021</v>
      </c>
      <c r="D45">
        <v>32.96570358979622</v>
      </c>
      <c r="E45">
        <v>11.935406243180349</v>
      </c>
      <c r="F45">
        <f>F48*(B45/B48)^3</f>
        <v>5880.7351249999992</v>
      </c>
      <c r="G45" s="3">
        <f>F45^(1/3)</f>
        <v>18.050000000000004</v>
      </c>
      <c r="H45">
        <f>(F48-F45)/(E48-E45)*(0-E45)+F45</f>
        <v>6859</v>
      </c>
      <c r="I45">
        <f>$J$7/(H45*(10^-24))</f>
        <v>2.7932522675640072</v>
      </c>
      <c r="J45">
        <f>(C48-C45)/(E48-E45)*(0-E45)+C45</f>
        <v>0</v>
      </c>
    </row>
    <row r="46" spans="2:10" x14ac:dyDescent="0.2">
      <c r="B46">
        <v>0.98</v>
      </c>
      <c r="F46">
        <f t="shared" ref="F46" si="11">F50*(B46/B50)^3</f>
        <v>6455.6359279999988</v>
      </c>
      <c r="G46" s="3">
        <f t="shared" ref="G46:G49" si="12">F46^(1/3)</f>
        <v>18.619999999999994</v>
      </c>
    </row>
    <row r="47" spans="2:10" x14ac:dyDescent="0.2">
      <c r="B47">
        <v>0.99</v>
      </c>
      <c r="F47">
        <f>F51*(B47/B51)^3</f>
        <v>6655.2808410000007</v>
      </c>
      <c r="G47" s="3">
        <f>F47^(1/3)</f>
        <v>18.810000000000002</v>
      </c>
    </row>
    <row r="48" spans="2:10" x14ac:dyDescent="0.2">
      <c r="B48">
        <v>1</v>
      </c>
      <c r="F48">
        <v>6859</v>
      </c>
      <c r="G48" s="3">
        <f t="shared" si="12"/>
        <v>18.999999999999996</v>
      </c>
    </row>
    <row r="49" spans="2:10" x14ac:dyDescent="0.2">
      <c r="B49">
        <v>1.01</v>
      </c>
      <c r="F49">
        <f>F46*(B49/B46)^3</f>
        <v>7066.8345589999972</v>
      </c>
      <c r="G49" s="3">
        <f t="shared" si="12"/>
        <v>19.189999999999991</v>
      </c>
    </row>
    <row r="50" spans="2:10" x14ac:dyDescent="0.2">
      <c r="B50">
        <v>1.02</v>
      </c>
      <c r="F50">
        <f>F47*(B50/B47)^3</f>
        <v>7278.8256720000008</v>
      </c>
    </row>
    <row r="51" spans="2:10" x14ac:dyDescent="0.2">
      <c r="B51">
        <v>1.05</v>
      </c>
      <c r="C51">
        <v>-493.14684713532</v>
      </c>
      <c r="D51">
        <v>33.128501410908001</v>
      </c>
      <c r="E51">
        <v>-4.5162708054076299</v>
      </c>
      <c r="F51">
        <f>F48*(B51/B48)^3</f>
        <v>7940.149875000001</v>
      </c>
    </row>
    <row r="53" spans="2:10" x14ac:dyDescent="0.2">
      <c r="B53">
        <v>1250</v>
      </c>
    </row>
    <row r="54" spans="2:10" x14ac:dyDescent="0.2">
      <c r="C54" t="s">
        <v>11</v>
      </c>
      <c r="D54" t="s">
        <v>12</v>
      </c>
      <c r="E54" t="s">
        <v>13</v>
      </c>
      <c r="F54" t="s">
        <v>14</v>
      </c>
      <c r="G54" t="s">
        <v>26</v>
      </c>
    </row>
    <row r="55" spans="2:10" x14ac:dyDescent="0.2">
      <c r="B55">
        <v>0.95</v>
      </c>
      <c r="C55">
        <v>-508.3438482466662</v>
      </c>
      <c r="D55">
        <v>31.762553000000025</v>
      </c>
      <c r="E55">
        <v>11.001905000000001</v>
      </c>
      <c r="F55">
        <f>F$59*(B55/B$59)^3</f>
        <v>5880.7351249999992</v>
      </c>
      <c r="G55" s="3">
        <f>F55^(1/3)</f>
        <v>18.050000000000004</v>
      </c>
      <c r="H55">
        <f>(F59-F55)/(E59-E55)*(0-E55)+F55</f>
        <v>6859</v>
      </c>
      <c r="I55">
        <f>$J$7/(H55*(10^-24))</f>
        <v>2.7932522675640072</v>
      </c>
      <c r="J55">
        <f>(C59-C55)/(E59-E55)*(0-E55)+C55</f>
        <v>0</v>
      </c>
    </row>
    <row r="56" spans="2:10" x14ac:dyDescent="0.2">
      <c r="B56">
        <v>0.97</v>
      </c>
      <c r="F56">
        <f t="shared" ref="F56:F60" si="13">F$59*(B56/B$59)^3</f>
        <v>6260.0241069999993</v>
      </c>
      <c r="G56" s="3">
        <f t="shared" ref="G56:G59" si="14">F56^(1/3)</f>
        <v>18.429999999999996</v>
      </c>
    </row>
    <row r="57" spans="2:10" x14ac:dyDescent="0.2">
      <c r="B57">
        <v>0.98</v>
      </c>
      <c r="F57">
        <f t="shared" si="13"/>
        <v>6455.6359279999997</v>
      </c>
      <c r="G57" s="3">
        <f>F57^(1/3)</f>
        <v>18.619999999999994</v>
      </c>
    </row>
    <row r="58" spans="2:10" x14ac:dyDescent="0.2">
      <c r="B58">
        <v>0.99</v>
      </c>
      <c r="F58">
        <f t="shared" si="13"/>
        <v>6655.2808409999998</v>
      </c>
      <c r="G58" s="3">
        <f t="shared" si="14"/>
        <v>18.810000000000002</v>
      </c>
    </row>
    <row r="59" spans="2:10" x14ac:dyDescent="0.2">
      <c r="B59">
        <v>1</v>
      </c>
      <c r="F59">
        <v>6859</v>
      </c>
      <c r="G59" s="3">
        <f t="shared" si="14"/>
        <v>18.999999999999996</v>
      </c>
    </row>
    <row r="60" spans="2:10" x14ac:dyDescent="0.2">
      <c r="B60">
        <v>1.01</v>
      </c>
      <c r="F60">
        <f t="shared" si="13"/>
        <v>7066.834558999999</v>
      </c>
    </row>
    <row r="61" spans="2:10" x14ac:dyDescent="0.2">
      <c r="B61">
        <v>1.05</v>
      </c>
      <c r="C61">
        <v>-493.98169589626752</v>
      </c>
      <c r="D61">
        <v>32.540312508199577</v>
      </c>
      <c r="E61">
        <v>-4.7990455628211848</v>
      </c>
      <c r="F61">
        <f>F59*(B61/B59)^3</f>
        <v>7940.149875000001</v>
      </c>
    </row>
    <row r="63" spans="2:10" x14ac:dyDescent="0.2">
      <c r="B63">
        <v>1200</v>
      </c>
    </row>
    <row r="64" spans="2:10" x14ac:dyDescent="0.2">
      <c r="C64" t="s">
        <v>11</v>
      </c>
      <c r="D64" t="s">
        <v>12</v>
      </c>
      <c r="E64" t="s">
        <v>13</v>
      </c>
      <c r="F64" t="s">
        <v>14</v>
      </c>
      <c r="G64" t="s">
        <v>26</v>
      </c>
    </row>
    <row r="65" spans="2:10" x14ac:dyDescent="0.2">
      <c r="B65">
        <v>0.95</v>
      </c>
      <c r="C65">
        <v>-509.60621605311502</v>
      </c>
      <c r="D65">
        <v>30.099358508123551</v>
      </c>
      <c r="E65">
        <v>9.7340447918738082</v>
      </c>
      <c r="F65">
        <f>F$100*(B65/B$100)^3</f>
        <v>5880.7351249999992</v>
      </c>
      <c r="G65" s="3">
        <f>F65^(1/3)</f>
        <v>18.050000000000004</v>
      </c>
      <c r="H65">
        <f>(F70-F65)/(E70-E65)*(0-E65)+F65</f>
        <v>6859</v>
      </c>
      <c r="I65">
        <f>$J$7/(H65*(10^-24))</f>
        <v>2.7932522675640072</v>
      </c>
      <c r="J65">
        <f>(C70-C65)/(E70-E65)*(0-E65)+C65</f>
        <v>0</v>
      </c>
    </row>
    <row r="66" spans="2:10" x14ac:dyDescent="0.2">
      <c r="B66">
        <v>0.96</v>
      </c>
      <c r="F66">
        <f t="shared" ref="F66:F68" si="15">F$100*(B66/B$100)^3</f>
        <v>6068.4042239999999</v>
      </c>
      <c r="G66" s="3">
        <f t="shared" ref="G66:G69" si="16">F66^(1/3)</f>
        <v>18.239999999999995</v>
      </c>
    </row>
    <row r="67" spans="2:10" x14ac:dyDescent="0.2">
      <c r="B67">
        <v>0.97</v>
      </c>
      <c r="F67">
        <f t="shared" si="15"/>
        <v>6260.0241069999993</v>
      </c>
      <c r="G67" s="3">
        <f>F67^(1/3)</f>
        <v>18.429999999999996</v>
      </c>
    </row>
    <row r="68" spans="2:10" x14ac:dyDescent="0.2">
      <c r="B68">
        <v>0.98</v>
      </c>
      <c r="F68">
        <f t="shared" si="15"/>
        <v>6455.6359279999997</v>
      </c>
      <c r="G68" s="3">
        <f t="shared" si="16"/>
        <v>18.619999999999994</v>
      </c>
    </row>
    <row r="69" spans="2:10" x14ac:dyDescent="0.2">
      <c r="B69">
        <v>0.99</v>
      </c>
      <c r="F69">
        <f>F$100*(B69/B$100)^3</f>
        <v>6655.2808409999998</v>
      </c>
      <c r="G69" s="3">
        <f t="shared" si="16"/>
        <v>18.810000000000002</v>
      </c>
    </row>
    <row r="70" spans="2:10" x14ac:dyDescent="0.2">
      <c r="B70">
        <v>1</v>
      </c>
      <c r="F70">
        <v>6859</v>
      </c>
    </row>
    <row r="71" spans="2:10" x14ac:dyDescent="0.2">
      <c r="B71">
        <v>1.05</v>
      </c>
      <c r="C71">
        <v>-495.75244314909702</v>
      </c>
      <c r="D71">
        <v>30.327794308297999</v>
      </c>
      <c r="E71">
        <v>-5.3949905248722301</v>
      </c>
      <c r="F71">
        <f>F70*(B71/B70)^3</f>
        <v>7940.149875000001</v>
      </c>
    </row>
    <row r="73" spans="2:10" x14ac:dyDescent="0.2">
      <c r="B73">
        <v>1150</v>
      </c>
    </row>
    <row r="74" spans="2:10" x14ac:dyDescent="0.2">
      <c r="C74" t="s">
        <v>11</v>
      </c>
      <c r="D74" t="s">
        <v>12</v>
      </c>
      <c r="E74" t="s">
        <v>13</v>
      </c>
      <c r="F74" t="s">
        <v>14</v>
      </c>
      <c r="G74" t="s">
        <v>26</v>
      </c>
    </row>
    <row r="75" spans="2:10" x14ac:dyDescent="0.2">
      <c r="B75">
        <v>0.95</v>
      </c>
      <c r="C75">
        <v>-510.68442101836479</v>
      </c>
      <c r="D75">
        <v>29.467205183051526</v>
      </c>
      <c r="E75">
        <v>9.34688677943657</v>
      </c>
      <c r="F75">
        <f>F$100*(B75/B$100)^3</f>
        <v>5880.7351249999992</v>
      </c>
      <c r="G75" s="3">
        <f>F75^(1/3)</f>
        <v>18.050000000000004</v>
      </c>
      <c r="H75">
        <f>(F80-F75)/(E80-E75)*(0-E75)+F75</f>
        <v>6859</v>
      </c>
      <c r="I75">
        <f>$J$7/(H75*(10^-24))</f>
        <v>2.7932522675640072</v>
      </c>
      <c r="J75">
        <f>(C80-C75)/(E80-E75)*(0-E75)+C75</f>
        <v>0</v>
      </c>
    </row>
    <row r="76" spans="2:10" x14ac:dyDescent="0.2">
      <c r="B76">
        <v>0.96</v>
      </c>
      <c r="F76">
        <f t="shared" ref="F76:F78" si="17">F$100*(B76/B$100)^3</f>
        <v>6068.4042239999999</v>
      </c>
      <c r="G76" s="3">
        <f t="shared" ref="G76:G79" si="18">F76^(1/3)</f>
        <v>18.239999999999995</v>
      </c>
    </row>
    <row r="77" spans="2:10" x14ac:dyDescent="0.2">
      <c r="B77">
        <v>0.97</v>
      </c>
      <c r="F77">
        <f t="shared" si="17"/>
        <v>6260.0241069999993</v>
      </c>
      <c r="G77" s="3">
        <f>F77^(1/3)</f>
        <v>18.429999999999996</v>
      </c>
    </row>
    <row r="78" spans="2:10" x14ac:dyDescent="0.2">
      <c r="B78">
        <v>0.98</v>
      </c>
      <c r="F78">
        <f t="shared" si="17"/>
        <v>6455.6359279999997</v>
      </c>
      <c r="G78" s="3">
        <f t="shared" si="18"/>
        <v>18.619999999999994</v>
      </c>
    </row>
    <row r="79" spans="2:10" x14ac:dyDescent="0.2">
      <c r="B79">
        <v>0.99</v>
      </c>
      <c r="F79">
        <f>F$100*(B79/B$100)^3</f>
        <v>6655.2808409999998</v>
      </c>
      <c r="G79" s="3">
        <f t="shared" si="18"/>
        <v>18.810000000000002</v>
      </c>
    </row>
    <row r="80" spans="2:10" x14ac:dyDescent="0.2">
      <c r="B80">
        <v>1</v>
      </c>
      <c r="F80">
        <v>6859</v>
      </c>
    </row>
    <row r="81" spans="2:10" x14ac:dyDescent="0.2">
      <c r="B81">
        <v>1.05</v>
      </c>
      <c r="C81">
        <v>-497.16845122218956</v>
      </c>
      <c r="D81">
        <v>29.187275875001973</v>
      </c>
      <c r="E81">
        <v>-6.0494046698124997</v>
      </c>
      <c r="F81">
        <f>F80*(B81/B80)^3</f>
        <v>7940.149875000001</v>
      </c>
    </row>
    <row r="83" spans="2:10" x14ac:dyDescent="0.2">
      <c r="B83">
        <v>1100</v>
      </c>
    </row>
    <row r="84" spans="2:10" x14ac:dyDescent="0.2">
      <c r="C84" t="s">
        <v>11</v>
      </c>
      <c r="D84" t="s">
        <v>12</v>
      </c>
      <c r="E84" t="s">
        <v>13</v>
      </c>
      <c r="F84" t="s">
        <v>14</v>
      </c>
      <c r="G84" t="s">
        <v>26</v>
      </c>
    </row>
    <row r="85" spans="2:10" x14ac:dyDescent="0.2">
      <c r="B85">
        <v>0.95</v>
      </c>
      <c r="C85">
        <v>-511.69322058606775</v>
      </c>
      <c r="D85">
        <v>27.861304452173279</v>
      </c>
      <c r="E85">
        <v>8.9069545456015184</v>
      </c>
      <c r="F85">
        <f>F$100*(B85/B$100)^3</f>
        <v>5880.7351249999992</v>
      </c>
      <c r="G85" s="3">
        <f>F85^(1/3)</f>
        <v>18.050000000000004</v>
      </c>
      <c r="H85">
        <f>(F90-F85)/(E90-E85)*(0-E85)+F85</f>
        <v>6859</v>
      </c>
      <c r="I85">
        <f>$J$7/(H85*(10^-24))</f>
        <v>2.7932522675640072</v>
      </c>
      <c r="J85">
        <f>(C90-C85)/(E90-E85)*(0-E85)+C85</f>
        <v>0</v>
      </c>
    </row>
    <row r="86" spans="2:10" x14ac:dyDescent="0.2">
      <c r="B86">
        <v>0.96</v>
      </c>
      <c r="F86">
        <f t="shared" ref="F86:F88" si="19">F$100*(B86/B$100)^3</f>
        <v>6068.4042239999999</v>
      </c>
      <c r="G86" s="3">
        <f t="shared" ref="G86:G89" si="20">F86^(1/3)</f>
        <v>18.239999999999995</v>
      </c>
    </row>
    <row r="87" spans="2:10" x14ac:dyDescent="0.2">
      <c r="B87">
        <v>0.97</v>
      </c>
      <c r="F87">
        <f t="shared" si="19"/>
        <v>6260.0241069999993</v>
      </c>
      <c r="G87" s="3">
        <f>F87^(1/3)</f>
        <v>18.429999999999996</v>
      </c>
    </row>
    <row r="88" spans="2:10" x14ac:dyDescent="0.2">
      <c r="B88">
        <v>0.98</v>
      </c>
      <c r="F88">
        <f t="shared" si="19"/>
        <v>6455.6359279999997</v>
      </c>
      <c r="G88" s="3">
        <f t="shared" si="20"/>
        <v>18.619999999999994</v>
      </c>
    </row>
    <row r="89" spans="2:10" x14ac:dyDescent="0.2">
      <c r="B89">
        <v>0.99</v>
      </c>
      <c r="F89">
        <f>F$100*(B89/B$100)^3</f>
        <v>6655.2808409999998</v>
      </c>
      <c r="G89" s="3">
        <f t="shared" si="20"/>
        <v>18.810000000000002</v>
      </c>
    </row>
    <row r="90" spans="2:10" x14ac:dyDescent="0.2">
      <c r="B90">
        <v>1</v>
      </c>
      <c r="F90">
        <v>6859</v>
      </c>
    </row>
    <row r="91" spans="2:10" x14ac:dyDescent="0.2">
      <c r="B91">
        <v>1.05</v>
      </c>
      <c r="C91">
        <v>-499.04071586900199</v>
      </c>
      <c r="D91">
        <v>28.0057683634064</v>
      </c>
      <c r="E91">
        <v>-5.8961706933154403</v>
      </c>
      <c r="F91">
        <f>F90*(B91/B90)^3</f>
        <v>7940.149875000001</v>
      </c>
    </row>
    <row r="93" spans="2:10" x14ac:dyDescent="0.2">
      <c r="B93">
        <v>1050</v>
      </c>
    </row>
    <row r="94" spans="2:10" x14ac:dyDescent="0.2">
      <c r="C94" t="s">
        <v>11</v>
      </c>
      <c r="D94" t="s">
        <v>12</v>
      </c>
      <c r="E94" t="s">
        <v>13</v>
      </c>
      <c r="F94" t="s">
        <v>14</v>
      </c>
      <c r="G94" t="s">
        <v>26</v>
      </c>
    </row>
    <row r="95" spans="2:10" x14ac:dyDescent="0.2">
      <c r="B95">
        <v>0.95</v>
      </c>
      <c r="C95">
        <v>-514.10879584373095</v>
      </c>
      <c r="D95">
        <v>26.756587888893499</v>
      </c>
      <c r="E95">
        <v>7.9578663834498897</v>
      </c>
      <c r="F95">
        <f>F$100*(B95/B$100)^3</f>
        <v>5880.7351249999992</v>
      </c>
      <c r="G95" s="3">
        <f>F95^(1/3)</f>
        <v>18.050000000000004</v>
      </c>
      <c r="H95">
        <f>(F100-F95)/(E100-E95)*(0-E95)+F95</f>
        <v>6859</v>
      </c>
      <c r="I95">
        <f>$J$7/(H95*(10^-24))</f>
        <v>2.7932522675640072</v>
      </c>
      <c r="J95">
        <f>(C100-C95)/(E100-E95)*(0-E95)+C95</f>
        <v>0</v>
      </c>
    </row>
    <row r="96" spans="2:10" x14ac:dyDescent="0.2">
      <c r="B96">
        <v>0.96</v>
      </c>
      <c r="F96">
        <f t="shared" ref="F96:F98" si="21">F$100*(B96/B$100)^3</f>
        <v>6068.4042239999999</v>
      </c>
      <c r="G96" s="3">
        <f t="shared" ref="G96:G99" si="22">F96^(1/3)</f>
        <v>18.239999999999995</v>
      </c>
    </row>
    <row r="97" spans="2:7" x14ac:dyDescent="0.2">
      <c r="B97">
        <v>0.97</v>
      </c>
      <c r="F97">
        <f t="shared" si="21"/>
        <v>6260.0241069999993</v>
      </c>
      <c r="G97" s="3">
        <f>F97^(1/3)</f>
        <v>18.429999999999996</v>
      </c>
    </row>
    <row r="98" spans="2:7" x14ac:dyDescent="0.2">
      <c r="B98">
        <v>0.98</v>
      </c>
      <c r="F98">
        <f t="shared" si="21"/>
        <v>6455.6359279999997</v>
      </c>
      <c r="G98" s="3">
        <f t="shared" si="22"/>
        <v>18.619999999999994</v>
      </c>
    </row>
    <row r="99" spans="2:7" x14ac:dyDescent="0.2">
      <c r="B99">
        <v>0.99</v>
      </c>
      <c r="F99">
        <f>F$100*(B99/B$100)^3</f>
        <v>6655.2808409999998</v>
      </c>
      <c r="G99" s="3">
        <f t="shared" si="22"/>
        <v>18.810000000000002</v>
      </c>
    </row>
    <row r="100" spans="2:7" x14ac:dyDescent="0.2">
      <c r="B100">
        <v>1</v>
      </c>
      <c r="F100">
        <v>6859</v>
      </c>
    </row>
    <row r="101" spans="2:7" x14ac:dyDescent="0.2">
      <c r="B101">
        <v>1.05</v>
      </c>
      <c r="C101">
        <v>-499.66052238859402</v>
      </c>
      <c r="D101">
        <v>26.975664978406702</v>
      </c>
      <c r="E101">
        <v>-6.4958602368006497</v>
      </c>
      <c r="F101">
        <f>F100*(B101/B100)^3</f>
        <v>7940.149875000001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NaCl</vt:lpstr>
      <vt:lpstr>NaCl-15UCl3</vt:lpstr>
      <vt:lpstr>NaCl-33UCl3</vt:lpstr>
      <vt:lpstr>NaCl-50UCl3</vt:lpstr>
      <vt:lpstr>NaCl-67UCl3</vt:lpstr>
      <vt:lpstr>NaCl-80UCl3</vt:lpstr>
      <vt:lpstr>UCl3</vt:lpstr>
      <vt:lpstr>UCl3_old</vt:lpstr>
      <vt:lpstr>NaCl-33UCl3_old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2020-08-07T16:46:50Z</dcterms:created>
  <dcterms:modified xsi:type="dcterms:W3CDTF">2021-01-12T15:05:57Z</dcterms:modified>
</cp:coreProperties>
</file>