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elbw/projects/spreadsheets/SALT/"/>
    </mc:Choice>
  </mc:AlternateContent>
  <xr:revisionPtr revIDLastSave="0" documentId="13_ncr:1_{0967C9E9-404C-334B-A290-BB4EA6DA8C16}" xr6:coauthVersionLast="36" xr6:coauthVersionMax="36" xr10:uidLastSave="{00000000-0000-0000-0000-000000000000}"/>
  <bookViews>
    <workbookView xWindow="8780" yWindow="2860" windowWidth="27240" windowHeight="16440" activeTab="1" xr2:uid="{F48398BB-8BAF-EE4A-BA6F-66CAF9129789}"/>
  </bookViews>
  <sheets>
    <sheet name="LiCl" sheetId="1" r:id="rId1"/>
    <sheet name="KCl" sheetId="2" r:id="rId2"/>
    <sheet name="LiCl20KCl" sheetId="3" r:id="rId3"/>
    <sheet name="LiCl41KCl" sheetId="4" r:id="rId4"/>
    <sheet name="LiCl80KCl" sheetId="6" r:id="rId5"/>
    <sheet name="summary" sheetId="5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3" i="1" l="1"/>
  <c r="M23" i="1"/>
  <c r="M24" i="1"/>
  <c r="D32" i="5" l="1"/>
  <c r="E32" i="5"/>
  <c r="N26" i="4"/>
  <c r="O26" i="4"/>
  <c r="M26" i="4"/>
  <c r="C32" i="5"/>
  <c r="O22" i="6"/>
  <c r="N22" i="6"/>
  <c r="M22" i="6"/>
  <c r="O22" i="3"/>
  <c r="N22" i="3"/>
  <c r="M22" i="3"/>
  <c r="H23" i="5"/>
  <c r="I23" i="5"/>
  <c r="G23" i="5"/>
  <c r="G18" i="5"/>
  <c r="H18" i="5"/>
  <c r="I18" i="5"/>
  <c r="G19" i="5"/>
  <c r="H19" i="5"/>
  <c r="I19" i="5"/>
  <c r="G20" i="5"/>
  <c r="H20" i="5"/>
  <c r="I20" i="5"/>
  <c r="G21" i="5"/>
  <c r="H21" i="5"/>
  <c r="I21" i="5"/>
  <c r="H17" i="5"/>
  <c r="I17" i="5"/>
  <c r="G17" i="5"/>
  <c r="O24" i="1"/>
  <c r="O23" i="1"/>
  <c r="N24" i="1"/>
  <c r="M25" i="4"/>
  <c r="O17" i="4"/>
  <c r="E22" i="4"/>
  <c r="E21" i="4"/>
  <c r="D21" i="4"/>
  <c r="D22" i="4"/>
  <c r="D12" i="4"/>
  <c r="B21" i="4" l="1"/>
  <c r="B22" i="4"/>
  <c r="B12" i="4"/>
  <c r="B13" i="4"/>
  <c r="O15" i="6"/>
  <c r="N15" i="6"/>
  <c r="M15" i="6"/>
  <c r="M21" i="6" s="1"/>
  <c r="N21" i="6"/>
  <c r="B18" i="6"/>
  <c r="B22" i="6"/>
  <c r="C25" i="6"/>
  <c r="C26" i="6" s="1"/>
  <c r="D18" i="6"/>
  <c r="B17" i="6"/>
  <c r="D17" i="6" s="1"/>
  <c r="B16" i="6"/>
  <c r="D16" i="6" s="1"/>
  <c r="B15" i="6"/>
  <c r="D15" i="6" s="1"/>
  <c r="D14" i="6"/>
  <c r="E14" i="6" s="1"/>
  <c r="B11" i="6"/>
  <c r="B10" i="6"/>
  <c r="B9" i="6"/>
  <c r="B8" i="6"/>
  <c r="B26" i="4"/>
  <c r="C29" i="4"/>
  <c r="B20" i="4"/>
  <c r="D20" i="4" s="1"/>
  <c r="B19" i="4"/>
  <c r="D19" i="4" s="1"/>
  <c r="B18" i="4"/>
  <c r="D18" i="4" s="1"/>
  <c r="B17" i="4"/>
  <c r="D17" i="4" s="1"/>
  <c r="D16" i="4"/>
  <c r="B11" i="4"/>
  <c r="B10" i="4"/>
  <c r="B9" i="4"/>
  <c r="B8" i="4"/>
  <c r="N4" i="5"/>
  <c r="M4" i="5"/>
  <c r="L4" i="5"/>
  <c r="K4" i="5"/>
  <c r="J4" i="5"/>
  <c r="I4" i="5"/>
  <c r="O15" i="3"/>
  <c r="N15" i="3"/>
  <c r="N21" i="3" s="1"/>
  <c r="M15" i="3"/>
  <c r="O21" i="3"/>
  <c r="M21" i="3"/>
  <c r="O17" i="1"/>
  <c r="N17" i="1"/>
  <c r="M17" i="1"/>
  <c r="E18" i="6" l="1"/>
  <c r="E17" i="6"/>
  <c r="E16" i="6"/>
  <c r="E15" i="6"/>
  <c r="C30" i="4"/>
  <c r="E17" i="4" s="1"/>
  <c r="E16" i="4"/>
  <c r="E18" i="4"/>
  <c r="E19" i="4"/>
  <c r="O25" i="4" l="1"/>
  <c r="O21" i="6"/>
  <c r="E20" i="4"/>
  <c r="N17" i="4" s="1"/>
  <c r="N25" i="4" s="1"/>
  <c r="C25" i="3" l="1"/>
  <c r="C26" i="3" s="1"/>
  <c r="B18" i="3"/>
  <c r="D18" i="3" s="1"/>
  <c r="B17" i="3"/>
  <c r="D17" i="3" s="1"/>
  <c r="B16" i="3"/>
  <c r="D16" i="3" s="1"/>
  <c r="B15" i="3"/>
  <c r="D15" i="3" s="1"/>
  <c r="D14" i="3"/>
  <c r="B11" i="3"/>
  <c r="B10" i="3"/>
  <c r="B9" i="3"/>
  <c r="B8" i="3"/>
  <c r="E17" i="1"/>
  <c r="E18" i="1"/>
  <c r="E19" i="1"/>
  <c r="D17" i="1"/>
  <c r="D18" i="1"/>
  <c r="D19" i="1"/>
  <c r="B21" i="1"/>
  <c r="B20" i="1"/>
  <c r="B19" i="1"/>
  <c r="B18" i="1"/>
  <c r="B17" i="1"/>
  <c r="B10" i="1"/>
  <c r="B8" i="1"/>
  <c r="B18" i="2"/>
  <c r="D18" i="2" s="1"/>
  <c r="B17" i="2"/>
  <c r="D17" i="2" s="1"/>
  <c r="B16" i="2"/>
  <c r="B15" i="2"/>
  <c r="D15" i="2" s="1"/>
  <c r="E15" i="2" s="1"/>
  <c r="C25" i="2"/>
  <c r="C26" i="2" s="1"/>
  <c r="E14" i="2" s="1"/>
  <c r="D16" i="2"/>
  <c r="D14" i="2"/>
  <c r="B11" i="2"/>
  <c r="B10" i="2"/>
  <c r="B9" i="2"/>
  <c r="B8" i="2"/>
  <c r="D20" i="1"/>
  <c r="D16" i="1"/>
  <c r="C29" i="1"/>
  <c r="C30" i="1" s="1"/>
  <c r="B22" i="1"/>
  <c r="D22" i="1" s="1"/>
  <c r="D21" i="1"/>
  <c r="B11" i="1"/>
  <c r="B12" i="1"/>
  <c r="B13" i="1"/>
  <c r="B9" i="1"/>
  <c r="E17" i="2" l="1"/>
  <c r="E14" i="3"/>
  <c r="E18" i="3"/>
  <c r="E17" i="3"/>
  <c r="E15" i="3"/>
  <c r="E16" i="3"/>
  <c r="E18" i="2"/>
  <c r="E16" i="2"/>
  <c r="E20" i="1"/>
  <c r="E21" i="1"/>
  <c r="E22" i="1"/>
  <c r="E16" i="1"/>
  <c r="O15" i="2" l="1"/>
  <c r="N15" i="2"/>
  <c r="M15" i="2"/>
  <c r="M22" i="2" l="1"/>
  <c r="M21" i="2"/>
  <c r="N21" i="2"/>
  <c r="N22" i="2"/>
  <c r="O22" i="2"/>
  <c r="O21" i="2"/>
</calcChain>
</file>

<file path=xl/sharedStrings.xml><?xml version="1.0" encoding="utf-8"?>
<sst xmlns="http://schemas.openxmlformats.org/spreadsheetml/2006/main" count="148" uniqueCount="45">
  <si>
    <t>LiCl dispersion options</t>
  </si>
  <si>
    <t>VDW11</t>
  </si>
  <si>
    <t>VDW12</t>
  </si>
  <si>
    <t>revPBE-VDW11</t>
  </si>
  <si>
    <t>revPBE-VDW12</t>
  </si>
  <si>
    <t>optB88</t>
  </si>
  <si>
    <t>DF2</t>
  </si>
  <si>
    <t>SCAN vdW</t>
  </si>
  <si>
    <t>REALLY SLOW</t>
  </si>
  <si>
    <t>g/cc</t>
  </si>
  <si>
    <t>g/mol</t>
  </si>
  <si>
    <t>in my system, 200 atoms, 100 molecules</t>
  </si>
  <si>
    <t>moles</t>
  </si>
  <si>
    <t>total mass</t>
  </si>
  <si>
    <t>Volume</t>
  </si>
  <si>
    <t>Density</t>
  </si>
  <si>
    <t>V in cc</t>
  </si>
  <si>
    <t>80%LiCl</t>
  </si>
  <si>
    <t>20% KCl</t>
  </si>
  <si>
    <t>molar mass of KCl</t>
  </si>
  <si>
    <t>molar mass of LiCl</t>
  </si>
  <si>
    <t>LiCl experimental density @ 1000K</t>
  </si>
  <si>
    <t>KCl experimental density @ 1000K</t>
  </si>
  <si>
    <t>LiCl-20KCl experimental density @ 1000K</t>
  </si>
  <si>
    <t>error</t>
  </si>
  <si>
    <t>LiCl</t>
  </si>
  <si>
    <t>frac KCl</t>
  </si>
  <si>
    <t>LiCl-18Cl</t>
  </si>
  <si>
    <t>LiCl-30KCl</t>
  </si>
  <si>
    <t>LiCl-41KCl</t>
  </si>
  <si>
    <t>LiCl-60KCl</t>
  </si>
  <si>
    <t>LiCl-80KCl</t>
  </si>
  <si>
    <t>KCl</t>
  </si>
  <si>
    <t>Janz</t>
  </si>
  <si>
    <t>LiCl-20KCl</t>
  </si>
  <si>
    <t>59%LiCl</t>
  </si>
  <si>
    <t>41% KCl</t>
  </si>
  <si>
    <t>20%LiCl</t>
  </si>
  <si>
    <t>80% KCl</t>
  </si>
  <si>
    <t>LiCl-80KCl experimental density @ 1000K</t>
  </si>
  <si>
    <t>LiCl-41KCl experimental density @ 1000K</t>
  </si>
  <si>
    <t>Total</t>
  </si>
  <si>
    <t>sq error</t>
  </si>
  <si>
    <t>fraction error</t>
  </si>
  <si>
    <t>ABS fraction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</si>
</sst>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E+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PBE-VDW11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LiCl!$E$16:$E$20</c:f>
              <c:numCache>
                <c:formatCode>0.00</c:formatCode>
                <c:ptCount val="5"/>
                <c:pt idx="0">
                  <c:v>1.8084865492570361</c:v>
                </c:pt>
                <c:pt idx="1">
                  <c:v>1.6490104139481483</c:v>
                </c:pt>
                <c:pt idx="2">
                  <c:v>1.5077469785786322</c:v>
                </c:pt>
                <c:pt idx="3">
                  <c:v>1.3821687987417972</c:v>
                </c:pt>
                <c:pt idx="4">
                  <c:v>1.2701579056510324</c:v>
                </c:pt>
              </c:numCache>
            </c:numRef>
          </c:xVal>
          <c:yVal>
            <c:numRef>
              <c:f>LiCl!$F$16:$F$20</c:f>
              <c:numCache>
                <c:formatCode>General</c:formatCode>
                <c:ptCount val="5"/>
                <c:pt idx="0">
                  <c:v>21.058890000000002</c:v>
                </c:pt>
                <c:pt idx="1">
                  <c:v>7.50579999999999</c:v>
                </c:pt>
                <c:pt idx="2">
                  <c:v>-0.30670999999999998</c:v>
                </c:pt>
                <c:pt idx="3">
                  <c:v>-4.7423700000000002</c:v>
                </c:pt>
                <c:pt idx="4">
                  <c:v>-5.5394100000000099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9B-F74A-B0F5-E4816D2E88C2}"/>
            </c:ext>
          </c:extLst>
        </c:ser>
        <c:ser>
          <c:idx val="1"/>
          <c:order val="1"/>
          <c:tx>
            <c:v>PBE-VDW12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LiCl!$E$16:$E$20</c:f>
              <c:numCache>
                <c:formatCode>0.00</c:formatCode>
                <c:ptCount val="5"/>
                <c:pt idx="0">
                  <c:v>1.8084865492570361</c:v>
                </c:pt>
                <c:pt idx="1">
                  <c:v>1.6490104139481483</c:v>
                </c:pt>
                <c:pt idx="2">
                  <c:v>1.5077469785786322</c:v>
                </c:pt>
                <c:pt idx="3">
                  <c:v>1.3821687987417972</c:v>
                </c:pt>
                <c:pt idx="4">
                  <c:v>1.2701579056510324</c:v>
                </c:pt>
              </c:numCache>
            </c:numRef>
          </c:xVal>
          <c:yVal>
            <c:numRef>
              <c:f>LiCl!$G$16:$G$20</c:f>
              <c:numCache>
                <c:formatCode>General</c:formatCode>
                <c:ptCount val="5"/>
                <c:pt idx="0">
                  <c:v>14.68634</c:v>
                </c:pt>
                <c:pt idx="1">
                  <c:v>4.1293100000000003</c:v>
                </c:pt>
                <c:pt idx="2">
                  <c:v>-3.03376</c:v>
                </c:pt>
                <c:pt idx="3">
                  <c:v>-7.0232299999999999</c:v>
                </c:pt>
                <c:pt idx="4">
                  <c:v>-6.7126800000000104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259B-F74A-B0F5-E4816D2E88C2}"/>
            </c:ext>
          </c:extLst>
        </c:ser>
        <c:ser>
          <c:idx val="2"/>
          <c:order val="2"/>
          <c:tx>
            <c:v>revPBE-vdW11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LiCl!$E$16:$E$20</c:f>
              <c:numCache>
                <c:formatCode>0.00</c:formatCode>
                <c:ptCount val="5"/>
                <c:pt idx="0">
                  <c:v>1.8084865492570361</c:v>
                </c:pt>
                <c:pt idx="1">
                  <c:v>1.6490104139481483</c:v>
                </c:pt>
                <c:pt idx="2">
                  <c:v>1.5077469785786322</c:v>
                </c:pt>
                <c:pt idx="3">
                  <c:v>1.3821687987417972</c:v>
                </c:pt>
                <c:pt idx="4">
                  <c:v>1.2701579056510324</c:v>
                </c:pt>
              </c:numCache>
            </c:numRef>
          </c:xVal>
          <c:yVal>
            <c:numRef>
              <c:f>LiCl!$H$16:$H$20</c:f>
              <c:numCache>
                <c:formatCode>General</c:formatCode>
                <c:ptCount val="5"/>
                <c:pt idx="0">
                  <c:v>22.429690000000001</c:v>
                </c:pt>
                <c:pt idx="1">
                  <c:v>6.8753300000000097</c:v>
                </c:pt>
                <c:pt idx="2">
                  <c:v>-1.4517899999999999</c:v>
                </c:pt>
                <c:pt idx="3">
                  <c:v>-6.1831800000000099</c:v>
                </c:pt>
                <c:pt idx="4">
                  <c:v>-8.0371600000000001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259B-F74A-B0F5-E4816D2E88C2}"/>
            </c:ext>
          </c:extLst>
        </c:ser>
        <c:ser>
          <c:idx val="3"/>
          <c:order val="3"/>
          <c:tx>
            <c:v>revPBE-vdW12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LiCl!$E$16:$E$20</c:f>
              <c:numCache>
                <c:formatCode>0.00</c:formatCode>
                <c:ptCount val="5"/>
                <c:pt idx="0">
                  <c:v>1.8084865492570361</c:v>
                </c:pt>
                <c:pt idx="1">
                  <c:v>1.6490104139481483</c:v>
                </c:pt>
                <c:pt idx="2">
                  <c:v>1.5077469785786322</c:v>
                </c:pt>
                <c:pt idx="3">
                  <c:v>1.3821687987417972</c:v>
                </c:pt>
                <c:pt idx="4">
                  <c:v>1.2701579056510324</c:v>
                </c:pt>
              </c:numCache>
            </c:numRef>
          </c:xVal>
          <c:yVal>
            <c:numRef>
              <c:f>LiCl!$I$16:$I$20</c:f>
              <c:numCache>
                <c:formatCode>General</c:formatCode>
                <c:ptCount val="5"/>
                <c:pt idx="0">
                  <c:v>8.2621199999999995</c:v>
                </c:pt>
                <c:pt idx="1">
                  <c:v>2.69000000000006E-3</c:v>
                </c:pt>
                <c:pt idx="2">
                  <c:v>-5.9531200000000002</c:v>
                </c:pt>
                <c:pt idx="3">
                  <c:v>-8.1910699999999892</c:v>
                </c:pt>
                <c:pt idx="4">
                  <c:v>-9.1352099999999901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259B-F74A-B0F5-E4816D2E88C2}"/>
            </c:ext>
          </c:extLst>
        </c:ser>
        <c:ser>
          <c:idx val="4"/>
          <c:order val="4"/>
          <c:tx>
            <c:v>optB88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LiCl!$E$16:$E$20</c:f>
              <c:numCache>
                <c:formatCode>0.00</c:formatCode>
                <c:ptCount val="5"/>
                <c:pt idx="0">
                  <c:v>1.8084865492570361</c:v>
                </c:pt>
                <c:pt idx="1">
                  <c:v>1.6490104139481483</c:v>
                </c:pt>
                <c:pt idx="2">
                  <c:v>1.5077469785786322</c:v>
                </c:pt>
                <c:pt idx="3">
                  <c:v>1.3821687987417972</c:v>
                </c:pt>
                <c:pt idx="4">
                  <c:v>1.2701579056510324</c:v>
                </c:pt>
              </c:numCache>
            </c:numRef>
          </c:xVal>
          <c:yVal>
            <c:numRef>
              <c:f>LiCl!$J$16:$J$20</c:f>
              <c:numCache>
                <c:formatCode>General</c:formatCode>
                <c:ptCount val="5"/>
                <c:pt idx="0">
                  <c:v>22.120439999999999</c:v>
                </c:pt>
                <c:pt idx="1">
                  <c:v>7.5379500000000004</c:v>
                </c:pt>
                <c:pt idx="2">
                  <c:v>-0.26224999999999998</c:v>
                </c:pt>
                <c:pt idx="3">
                  <c:v>-5.4168399999999997</c:v>
                </c:pt>
                <c:pt idx="4">
                  <c:v>-6.87357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259B-F74A-B0F5-E4816D2E88C2}"/>
            </c:ext>
          </c:extLst>
        </c:ser>
        <c:ser>
          <c:idx val="5"/>
          <c:order val="5"/>
          <c:tx>
            <c:v>vdW-DF2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LiCl!$E$16:$E$20</c:f>
              <c:numCache>
                <c:formatCode>0.00</c:formatCode>
                <c:ptCount val="5"/>
                <c:pt idx="0">
                  <c:v>1.8084865492570361</c:v>
                </c:pt>
                <c:pt idx="1">
                  <c:v>1.6490104139481483</c:v>
                </c:pt>
                <c:pt idx="2">
                  <c:v>1.5077469785786322</c:v>
                </c:pt>
                <c:pt idx="3">
                  <c:v>1.3821687987417972</c:v>
                </c:pt>
                <c:pt idx="4">
                  <c:v>1.2701579056510324</c:v>
                </c:pt>
              </c:numCache>
            </c:numRef>
          </c:xVal>
          <c:yVal>
            <c:numRef>
              <c:f>LiCl!$K$16:$K$20</c:f>
              <c:numCache>
                <c:formatCode>General</c:formatCode>
                <c:ptCount val="5"/>
                <c:pt idx="0">
                  <c:v>32.177750000000003</c:v>
                </c:pt>
                <c:pt idx="1">
                  <c:v>16.05697</c:v>
                </c:pt>
                <c:pt idx="2">
                  <c:v>4.5894300000000099</c:v>
                </c:pt>
                <c:pt idx="3">
                  <c:v>-0.82327000000000095</c:v>
                </c:pt>
                <c:pt idx="4">
                  <c:v>-4.6469100000000001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259B-F74A-B0F5-E4816D2E88C2}"/>
            </c:ext>
          </c:extLst>
        </c:ser>
        <c:ser>
          <c:idx val="6"/>
          <c:order val="6"/>
          <c:tx>
            <c:v>SCAN-vdW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LiCl!$E$16:$E$20</c:f>
              <c:numCache>
                <c:formatCode>0.00</c:formatCode>
                <c:ptCount val="5"/>
                <c:pt idx="0">
                  <c:v>1.8084865492570361</c:v>
                </c:pt>
                <c:pt idx="1">
                  <c:v>1.6490104139481483</c:v>
                </c:pt>
                <c:pt idx="2">
                  <c:v>1.5077469785786322</c:v>
                </c:pt>
                <c:pt idx="3">
                  <c:v>1.3821687987417972</c:v>
                </c:pt>
                <c:pt idx="4">
                  <c:v>1.2701579056510324</c:v>
                </c:pt>
              </c:numCache>
            </c:numRef>
          </c:xVal>
          <c:yVal>
            <c:numRef>
              <c:f>LiCl!$L$16:$L$20</c:f>
              <c:numCache>
                <c:formatCode>General</c:formatCode>
                <c:ptCount val="5"/>
                <c:pt idx="0">
                  <c:v>16.30481</c:v>
                </c:pt>
                <c:pt idx="1">
                  <c:v>3.4436500000000101</c:v>
                </c:pt>
                <c:pt idx="2">
                  <c:v>-3.7404099999999998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259B-F74A-B0F5-E4816D2E88C2}"/>
            </c:ext>
          </c:extLst>
        </c:ser>
        <c:ser>
          <c:idx val="7"/>
          <c:order val="7"/>
          <c:tx>
            <c:v>EXPT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star"/>
            <c:size val="20"/>
            <c:spPr>
              <a:noFill/>
              <a:ln w="25400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LiCl!$H$2</c:f>
              <c:numCache>
                <c:formatCode>General</c:formatCode>
                <c:ptCount val="1"/>
                <c:pt idx="0">
                  <c:v>1.4514</c:v>
                </c:pt>
              </c:numCache>
            </c:numRef>
          </c:xVal>
          <c:yVal>
            <c:numRef>
              <c:f>LiCl!$J$2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259B-F74A-B0F5-E4816D2E88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4099167"/>
        <c:axId val="1473504991"/>
      </c:scatterChart>
      <c:valAx>
        <c:axId val="1474099167"/>
        <c:scaling>
          <c:orientation val="minMax"/>
          <c:min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Density (g/cc)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73504991"/>
        <c:crosses val="autoZero"/>
        <c:crossBetween val="midCat"/>
      </c:valAx>
      <c:valAx>
        <c:axId val="147350499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Pressure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74099167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15449978127734032"/>
          <c:y val="5.7868274278215212E-2"/>
          <c:w val="0.35105577427821522"/>
          <c:h val="0.5451432633420823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5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PBE-VDW11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KCl!$E$14:$E$18</c:f>
              <c:numCache>
                <c:formatCode>0.00</c:formatCode>
                <c:ptCount val="5"/>
                <c:pt idx="0">
                  <c:v>1.8035865592619846</c:v>
                </c:pt>
                <c:pt idx="1">
                  <c:v>1.6683760966945431</c:v>
                </c:pt>
                <c:pt idx="2">
                  <c:v>1.5463500262472443</c:v>
                </c:pt>
                <c:pt idx="3">
                  <c:v>1.4359397234489286</c:v>
                </c:pt>
                <c:pt idx="4">
                  <c:v>1.3357952931625037</c:v>
                </c:pt>
              </c:numCache>
            </c:numRef>
          </c:xVal>
          <c:yVal>
            <c:numRef>
              <c:f>KCl!$F$14:$F$18</c:f>
              <c:numCache>
                <c:formatCode>General</c:formatCode>
                <c:ptCount val="5"/>
                <c:pt idx="0">
                  <c:v>9.7264999999999908</c:v>
                </c:pt>
                <c:pt idx="1">
                  <c:v>4.3189299999999999</c:v>
                </c:pt>
                <c:pt idx="2">
                  <c:v>-0.23308000000000001</c:v>
                </c:pt>
                <c:pt idx="3">
                  <c:v>-2.88155000000001</c:v>
                </c:pt>
                <c:pt idx="4">
                  <c:v>-3.9641199999999999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64-CA45-AB66-88D39F693668}"/>
            </c:ext>
          </c:extLst>
        </c:ser>
        <c:ser>
          <c:idx val="1"/>
          <c:order val="1"/>
          <c:tx>
            <c:v>PBE-VDW12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KCl!$E$14:$E$18</c:f>
              <c:numCache>
                <c:formatCode>0.00</c:formatCode>
                <c:ptCount val="5"/>
                <c:pt idx="0">
                  <c:v>1.8035865592619846</c:v>
                </c:pt>
                <c:pt idx="1">
                  <c:v>1.6683760966945431</c:v>
                </c:pt>
                <c:pt idx="2">
                  <c:v>1.5463500262472443</c:v>
                </c:pt>
                <c:pt idx="3">
                  <c:v>1.4359397234489286</c:v>
                </c:pt>
                <c:pt idx="4">
                  <c:v>1.3357952931625037</c:v>
                </c:pt>
              </c:numCache>
            </c:numRef>
          </c:xVal>
          <c:yVal>
            <c:numRef>
              <c:f>KCl!$G$14:$G$18</c:f>
              <c:numCache>
                <c:formatCode>General</c:formatCode>
                <c:ptCount val="5"/>
                <c:pt idx="0">
                  <c:v>7.8496400000000097</c:v>
                </c:pt>
                <c:pt idx="1">
                  <c:v>2.80742</c:v>
                </c:pt>
                <c:pt idx="2">
                  <c:v>-1.7296499999999999</c:v>
                </c:pt>
                <c:pt idx="3">
                  <c:v>-3.1849400000000001</c:v>
                </c:pt>
                <c:pt idx="4">
                  <c:v>-3.62249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D64-CA45-AB66-88D39F693668}"/>
            </c:ext>
          </c:extLst>
        </c:ser>
        <c:ser>
          <c:idx val="2"/>
          <c:order val="2"/>
          <c:tx>
            <c:v>revPBE-vdW11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KCl!$E$14:$E$18</c:f>
              <c:numCache>
                <c:formatCode>0.00</c:formatCode>
                <c:ptCount val="5"/>
                <c:pt idx="0">
                  <c:v>1.8035865592619846</c:v>
                </c:pt>
                <c:pt idx="1">
                  <c:v>1.6683760966945431</c:v>
                </c:pt>
                <c:pt idx="2">
                  <c:v>1.5463500262472443</c:v>
                </c:pt>
                <c:pt idx="3">
                  <c:v>1.4359397234489286</c:v>
                </c:pt>
                <c:pt idx="4">
                  <c:v>1.3357952931625037</c:v>
                </c:pt>
              </c:numCache>
            </c:numRef>
          </c:xVal>
          <c:yVal>
            <c:numRef>
              <c:f>KCl!$H$14:$H$18</c:f>
              <c:numCache>
                <c:formatCode>General</c:formatCode>
                <c:ptCount val="5"/>
                <c:pt idx="0">
                  <c:v>13.185129999999999</c:v>
                </c:pt>
                <c:pt idx="1">
                  <c:v>5.52738</c:v>
                </c:pt>
                <c:pt idx="2">
                  <c:v>0.27906000000000097</c:v>
                </c:pt>
                <c:pt idx="3">
                  <c:v>-1.9245000000000001</c:v>
                </c:pt>
                <c:pt idx="4">
                  <c:v>-3.42116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D64-CA45-AB66-88D39F693668}"/>
            </c:ext>
          </c:extLst>
        </c:ser>
        <c:ser>
          <c:idx val="3"/>
          <c:order val="3"/>
          <c:tx>
            <c:v>revPBE-vdW12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KCl!$E$14:$E$18</c:f>
              <c:numCache>
                <c:formatCode>0.00</c:formatCode>
                <c:ptCount val="5"/>
                <c:pt idx="0">
                  <c:v>1.8035865592619846</c:v>
                </c:pt>
                <c:pt idx="1">
                  <c:v>1.6683760966945431</c:v>
                </c:pt>
                <c:pt idx="2">
                  <c:v>1.5463500262472443</c:v>
                </c:pt>
                <c:pt idx="3">
                  <c:v>1.4359397234489286</c:v>
                </c:pt>
                <c:pt idx="4">
                  <c:v>1.3357952931625037</c:v>
                </c:pt>
              </c:numCache>
            </c:numRef>
          </c:xVal>
          <c:yVal>
            <c:numRef>
              <c:f>KCl!$I$14:$I$18</c:f>
              <c:numCache>
                <c:formatCode>General</c:formatCode>
                <c:ptCount val="5"/>
                <c:pt idx="0">
                  <c:v>9.1822100000000102</c:v>
                </c:pt>
                <c:pt idx="1">
                  <c:v>3.11144</c:v>
                </c:pt>
                <c:pt idx="2">
                  <c:v>-0.57947000000000004</c:v>
                </c:pt>
                <c:pt idx="3">
                  <c:v>-3.05185</c:v>
                </c:pt>
                <c:pt idx="4">
                  <c:v>-4.1547900000000002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D64-CA45-AB66-88D39F693668}"/>
            </c:ext>
          </c:extLst>
        </c:ser>
        <c:ser>
          <c:idx val="4"/>
          <c:order val="4"/>
          <c:tx>
            <c:v>optB88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KCl!$E$14:$E$18</c:f>
              <c:numCache>
                <c:formatCode>0.00</c:formatCode>
                <c:ptCount val="5"/>
                <c:pt idx="0">
                  <c:v>1.8035865592619846</c:v>
                </c:pt>
                <c:pt idx="1">
                  <c:v>1.6683760966945431</c:v>
                </c:pt>
                <c:pt idx="2">
                  <c:v>1.5463500262472443</c:v>
                </c:pt>
                <c:pt idx="3">
                  <c:v>1.4359397234489286</c:v>
                </c:pt>
                <c:pt idx="4">
                  <c:v>1.3357952931625037</c:v>
                </c:pt>
              </c:numCache>
            </c:numRef>
          </c:xVal>
          <c:yVal>
            <c:numRef>
              <c:f>KCl!$J$14:$J$18</c:f>
              <c:numCache>
                <c:formatCode>General</c:formatCode>
                <c:ptCount val="5"/>
                <c:pt idx="0">
                  <c:v>5.80755</c:v>
                </c:pt>
                <c:pt idx="1">
                  <c:v>1.0228200000000001</c:v>
                </c:pt>
                <c:pt idx="2">
                  <c:v>-2.0065600000000101</c:v>
                </c:pt>
                <c:pt idx="3">
                  <c:v>-2.8543599999999998</c:v>
                </c:pt>
                <c:pt idx="4">
                  <c:v>-4.5430099999999998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D64-CA45-AB66-88D39F693668}"/>
            </c:ext>
          </c:extLst>
        </c:ser>
        <c:ser>
          <c:idx val="5"/>
          <c:order val="5"/>
          <c:tx>
            <c:v>vdW-DF2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KCl!$E$14:$E$18</c:f>
              <c:numCache>
                <c:formatCode>0.00</c:formatCode>
                <c:ptCount val="5"/>
                <c:pt idx="0">
                  <c:v>1.8035865592619846</c:v>
                </c:pt>
                <c:pt idx="1">
                  <c:v>1.6683760966945431</c:v>
                </c:pt>
                <c:pt idx="2">
                  <c:v>1.5463500262472443</c:v>
                </c:pt>
                <c:pt idx="3">
                  <c:v>1.4359397234489286</c:v>
                </c:pt>
                <c:pt idx="4">
                  <c:v>1.3357952931625037</c:v>
                </c:pt>
              </c:numCache>
            </c:numRef>
          </c:xVal>
          <c:yVal>
            <c:numRef>
              <c:f>KCl!$K$14:$K$18</c:f>
              <c:numCache>
                <c:formatCode>General</c:formatCode>
                <c:ptCount val="5"/>
                <c:pt idx="0">
                  <c:v>12.2089</c:v>
                </c:pt>
                <c:pt idx="1">
                  <c:v>5.1065100000000001</c:v>
                </c:pt>
                <c:pt idx="2">
                  <c:v>1.0289200000000001</c:v>
                </c:pt>
                <c:pt idx="3">
                  <c:v>-1.5584</c:v>
                </c:pt>
                <c:pt idx="4">
                  <c:v>-3.1027399999999998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D64-CA45-AB66-88D39F693668}"/>
            </c:ext>
          </c:extLst>
        </c:ser>
        <c:ser>
          <c:idx val="6"/>
          <c:order val="6"/>
          <c:tx>
            <c:v>SCAN-vdW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KCl!$E$14:$E$18</c:f>
              <c:numCache>
                <c:formatCode>0.00</c:formatCode>
                <c:ptCount val="5"/>
                <c:pt idx="0">
                  <c:v>1.8035865592619846</c:v>
                </c:pt>
                <c:pt idx="1">
                  <c:v>1.6683760966945431</c:v>
                </c:pt>
                <c:pt idx="2">
                  <c:v>1.5463500262472443</c:v>
                </c:pt>
                <c:pt idx="3">
                  <c:v>1.4359397234489286</c:v>
                </c:pt>
                <c:pt idx="4">
                  <c:v>1.3357952931625037</c:v>
                </c:pt>
              </c:numCache>
            </c:numRef>
          </c:xVal>
          <c:yVal>
            <c:numRef>
              <c:f>KCl!$L$14:$L$18</c:f>
              <c:numCache>
                <c:formatCode>General</c:formatCode>
                <c:ptCount val="5"/>
                <c:pt idx="0">
                  <c:v>-4.5</c:v>
                </c:pt>
                <c:pt idx="1">
                  <c:v>-4.5116129032258003</c:v>
                </c:pt>
                <c:pt idx="2">
                  <c:v>-4.5566037735849001</c:v>
                </c:pt>
                <c:pt idx="3">
                  <c:v>-4.8465335051546399</c:v>
                </c:pt>
                <c:pt idx="4">
                  <c:v>-4.5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D64-CA45-AB66-88D39F693668}"/>
            </c:ext>
          </c:extLst>
        </c:ser>
        <c:ser>
          <c:idx val="7"/>
          <c:order val="7"/>
          <c:tx>
            <c:v>EXPT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star"/>
            <c:size val="20"/>
            <c:spPr>
              <a:noFill/>
              <a:ln w="25400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KCl!$H$2</c:f>
              <c:numCache>
                <c:formatCode>General</c:formatCode>
                <c:ptCount val="1"/>
                <c:pt idx="0">
                  <c:v>1.5528</c:v>
                </c:pt>
              </c:numCache>
            </c:numRef>
          </c:xVal>
          <c:yVal>
            <c:numRef>
              <c:f>KCl!$J$2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D64-CA45-AB66-88D39F6936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4099167"/>
        <c:axId val="1473504991"/>
      </c:scatterChart>
      <c:valAx>
        <c:axId val="1474099167"/>
        <c:scaling>
          <c:orientation val="minMax"/>
          <c:min val="1.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Density (g/cc)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73504991"/>
        <c:crosses val="autoZero"/>
        <c:crossBetween val="midCat"/>
      </c:valAx>
      <c:valAx>
        <c:axId val="147350499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Pressure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74099167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15449978127734032"/>
          <c:y val="5.7868274278215212E-2"/>
          <c:w val="0.35105577427821522"/>
          <c:h val="0.5451432633420823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5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PBE-VDW11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LiCl20KCl!$E$14:$E$18</c:f>
              <c:numCache>
                <c:formatCode>0.00</c:formatCode>
                <c:ptCount val="5"/>
                <c:pt idx="0">
                  <c:v>1.7733196709823154</c:v>
                </c:pt>
                <c:pt idx="1">
                  <c:v>1.640378242825091</c:v>
                </c:pt>
                <c:pt idx="2">
                  <c:v>1.5203999529084631</c:v>
                </c:pt>
                <c:pt idx="3">
                  <c:v>1.4118425006332118</c:v>
                </c:pt>
                <c:pt idx="4">
                  <c:v>1.3133786441278152</c:v>
                </c:pt>
              </c:numCache>
            </c:numRef>
          </c:xVal>
          <c:yVal>
            <c:numRef>
              <c:f>LiCl20KCl!$F$14:$F$18</c:f>
              <c:numCache>
                <c:formatCode>General</c:formatCode>
                <c:ptCount val="5"/>
                <c:pt idx="0">
                  <c:v>14.38705</c:v>
                </c:pt>
                <c:pt idx="1">
                  <c:v>5.5005899999999999</c:v>
                </c:pt>
                <c:pt idx="2">
                  <c:v>2.12299999999997E-2</c:v>
                </c:pt>
                <c:pt idx="3">
                  <c:v>-3.4059199999999898</c:v>
                </c:pt>
                <c:pt idx="4">
                  <c:v>-4.6685999999999996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1A-624C-97AB-87DE8D1619FA}"/>
            </c:ext>
          </c:extLst>
        </c:ser>
        <c:ser>
          <c:idx val="1"/>
          <c:order val="1"/>
          <c:tx>
            <c:v>PBE-VDW12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LiCl20KCl!$E$14:$E$18</c:f>
              <c:numCache>
                <c:formatCode>0.00</c:formatCode>
                <c:ptCount val="5"/>
                <c:pt idx="0">
                  <c:v>1.7733196709823154</c:v>
                </c:pt>
                <c:pt idx="1">
                  <c:v>1.640378242825091</c:v>
                </c:pt>
                <c:pt idx="2">
                  <c:v>1.5203999529084631</c:v>
                </c:pt>
                <c:pt idx="3">
                  <c:v>1.4118425006332118</c:v>
                </c:pt>
                <c:pt idx="4">
                  <c:v>1.3133786441278152</c:v>
                </c:pt>
              </c:numCache>
            </c:numRef>
          </c:xVal>
          <c:yVal>
            <c:numRef>
              <c:f>LiCl20KCl!$G$14:$G$18</c:f>
              <c:numCache>
                <c:formatCode>General</c:formatCode>
                <c:ptCount val="5"/>
                <c:pt idx="0">
                  <c:v>11.09365</c:v>
                </c:pt>
                <c:pt idx="1">
                  <c:v>2.9171399999999998</c:v>
                </c:pt>
                <c:pt idx="2">
                  <c:v>-1.6697599999999999</c:v>
                </c:pt>
                <c:pt idx="3">
                  <c:v>-4.6484399999999999</c:v>
                </c:pt>
                <c:pt idx="4">
                  <c:v>-4.8282299999999996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1A-624C-97AB-87DE8D1619FA}"/>
            </c:ext>
          </c:extLst>
        </c:ser>
        <c:ser>
          <c:idx val="2"/>
          <c:order val="2"/>
          <c:tx>
            <c:v>revPBE-vdW11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LiCl20KCl!$E$14:$E$18</c:f>
              <c:numCache>
                <c:formatCode>0.00</c:formatCode>
                <c:ptCount val="5"/>
                <c:pt idx="0">
                  <c:v>1.7733196709823154</c:v>
                </c:pt>
                <c:pt idx="1">
                  <c:v>1.640378242825091</c:v>
                </c:pt>
                <c:pt idx="2">
                  <c:v>1.5203999529084631</c:v>
                </c:pt>
                <c:pt idx="3">
                  <c:v>1.4118425006332118</c:v>
                </c:pt>
                <c:pt idx="4">
                  <c:v>1.3133786441278152</c:v>
                </c:pt>
              </c:numCache>
            </c:numRef>
          </c:xVal>
          <c:yVal>
            <c:numRef>
              <c:f>LiCl20KCl!$H$14:$H$18</c:f>
              <c:numCache>
                <c:formatCode>General</c:formatCode>
                <c:ptCount val="5"/>
                <c:pt idx="0">
                  <c:v>15.599460000000001</c:v>
                </c:pt>
                <c:pt idx="1">
                  <c:v>5.2373500000000002</c:v>
                </c:pt>
                <c:pt idx="2">
                  <c:v>-0.20551</c:v>
                </c:pt>
                <c:pt idx="3">
                  <c:v>-4.2726100000000002</c:v>
                </c:pt>
                <c:pt idx="4">
                  <c:v>-6.1090600000000004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11A-624C-97AB-87DE8D1619FA}"/>
            </c:ext>
          </c:extLst>
        </c:ser>
        <c:ser>
          <c:idx val="3"/>
          <c:order val="3"/>
          <c:tx>
            <c:v>revPBE-vdW12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LiCl20KCl!$E$14:$E$18</c:f>
              <c:numCache>
                <c:formatCode>0.00</c:formatCode>
                <c:ptCount val="5"/>
                <c:pt idx="0">
                  <c:v>1.7733196709823154</c:v>
                </c:pt>
                <c:pt idx="1">
                  <c:v>1.640378242825091</c:v>
                </c:pt>
                <c:pt idx="2">
                  <c:v>1.5203999529084631</c:v>
                </c:pt>
                <c:pt idx="3">
                  <c:v>1.4118425006332118</c:v>
                </c:pt>
                <c:pt idx="4">
                  <c:v>1.3133786441278152</c:v>
                </c:pt>
              </c:numCache>
            </c:numRef>
          </c:xVal>
          <c:yVal>
            <c:numRef>
              <c:f>LiCl20KCl!$I$14:$I$18</c:f>
              <c:numCache>
                <c:formatCode>General</c:formatCode>
                <c:ptCount val="5"/>
                <c:pt idx="0">
                  <c:v>7.1249200000000101</c:v>
                </c:pt>
                <c:pt idx="1">
                  <c:v>-0.71527000000000096</c:v>
                </c:pt>
                <c:pt idx="2">
                  <c:v>-4.3588300000000002</c:v>
                </c:pt>
                <c:pt idx="3">
                  <c:v>-6.9592700000000001</c:v>
                </c:pt>
                <c:pt idx="4">
                  <c:v>-7.8506999999999998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11A-624C-97AB-87DE8D1619FA}"/>
            </c:ext>
          </c:extLst>
        </c:ser>
        <c:ser>
          <c:idx val="4"/>
          <c:order val="4"/>
          <c:tx>
            <c:v>optB88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LiCl20KCl!$E$14:$E$18</c:f>
              <c:numCache>
                <c:formatCode>0.00</c:formatCode>
                <c:ptCount val="5"/>
                <c:pt idx="0">
                  <c:v>1.7733196709823154</c:v>
                </c:pt>
                <c:pt idx="1">
                  <c:v>1.640378242825091</c:v>
                </c:pt>
                <c:pt idx="2">
                  <c:v>1.5203999529084631</c:v>
                </c:pt>
                <c:pt idx="3">
                  <c:v>1.4118425006332118</c:v>
                </c:pt>
                <c:pt idx="4">
                  <c:v>1.3133786441278152</c:v>
                </c:pt>
              </c:numCache>
            </c:numRef>
          </c:xVal>
          <c:yVal>
            <c:numRef>
              <c:f>LiCl20KCl!$J$14:$J$18</c:f>
              <c:numCache>
                <c:formatCode>General</c:formatCode>
                <c:ptCount val="5"/>
                <c:pt idx="0">
                  <c:v>13.167490000000001</c:v>
                </c:pt>
                <c:pt idx="1">
                  <c:v>3.7972800000000002</c:v>
                </c:pt>
                <c:pt idx="2">
                  <c:v>-1.40364</c:v>
                </c:pt>
                <c:pt idx="3">
                  <c:v>-4.6231999999999998</c:v>
                </c:pt>
                <c:pt idx="4">
                  <c:v>-5.21966000000001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11A-624C-97AB-87DE8D1619FA}"/>
            </c:ext>
          </c:extLst>
        </c:ser>
        <c:ser>
          <c:idx val="5"/>
          <c:order val="5"/>
          <c:tx>
            <c:v>vdW-DF2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LiCl20KCl!$E$14:$E$18</c:f>
              <c:numCache>
                <c:formatCode>0.00</c:formatCode>
                <c:ptCount val="5"/>
                <c:pt idx="0">
                  <c:v>1.7733196709823154</c:v>
                </c:pt>
                <c:pt idx="1">
                  <c:v>1.640378242825091</c:v>
                </c:pt>
                <c:pt idx="2">
                  <c:v>1.5203999529084631</c:v>
                </c:pt>
                <c:pt idx="3">
                  <c:v>1.4118425006332118</c:v>
                </c:pt>
                <c:pt idx="4">
                  <c:v>1.3133786441278152</c:v>
                </c:pt>
              </c:numCache>
            </c:numRef>
          </c:xVal>
          <c:yVal>
            <c:numRef>
              <c:f>LiCl20KCl!$K$14:$K$18</c:f>
              <c:numCache>
                <c:formatCode>General</c:formatCode>
                <c:ptCount val="5"/>
                <c:pt idx="0">
                  <c:v>20.89133</c:v>
                </c:pt>
                <c:pt idx="1">
                  <c:v>10.430389999999999</c:v>
                </c:pt>
                <c:pt idx="2">
                  <c:v>3.5325500000000001</c:v>
                </c:pt>
                <c:pt idx="3">
                  <c:v>-1.6943699999999999</c:v>
                </c:pt>
                <c:pt idx="4">
                  <c:v>-4.3099699999999999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11A-624C-97AB-87DE8D1619FA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LiCl20KCl!$E$14:$E$18</c:f>
              <c:numCache>
                <c:formatCode>0.00</c:formatCode>
                <c:ptCount val="5"/>
                <c:pt idx="0">
                  <c:v>1.7733196709823154</c:v>
                </c:pt>
                <c:pt idx="1">
                  <c:v>1.640378242825091</c:v>
                </c:pt>
                <c:pt idx="2">
                  <c:v>1.5203999529084631</c:v>
                </c:pt>
                <c:pt idx="3">
                  <c:v>1.4118425006332118</c:v>
                </c:pt>
                <c:pt idx="4">
                  <c:v>1.3133786441278152</c:v>
                </c:pt>
              </c:numCache>
            </c:numRef>
          </c:xVal>
          <c:yVal>
            <c:numRef>
              <c:f>LiCl20KCl!$L$14:$L$18</c:f>
              <c:numCache>
                <c:formatCode>General</c:formatCode>
                <c:ptCount val="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11A-624C-97AB-87DE8D1619FA}"/>
            </c:ext>
          </c:extLst>
        </c:ser>
        <c:ser>
          <c:idx val="7"/>
          <c:order val="7"/>
          <c:tx>
            <c:v>EXPT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star"/>
            <c:size val="20"/>
            <c:spPr>
              <a:noFill/>
              <a:ln w="25400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LiCl20KCl!$H$2</c:f>
              <c:numCache>
                <c:formatCode>General</c:formatCode>
                <c:ptCount val="1"/>
                <c:pt idx="0">
                  <c:v>1.4798200000000001</c:v>
                </c:pt>
              </c:numCache>
            </c:numRef>
          </c:xVal>
          <c:yVal>
            <c:numRef>
              <c:f>LiCl20KCl!$J$2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11A-624C-97AB-87DE8D1619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4099167"/>
        <c:axId val="1473504991"/>
      </c:scatterChart>
      <c:valAx>
        <c:axId val="1474099167"/>
        <c:scaling>
          <c:orientation val="minMax"/>
          <c:min val="1.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Density (g/cc)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73504991"/>
        <c:crosses val="autoZero"/>
        <c:crossBetween val="midCat"/>
      </c:valAx>
      <c:valAx>
        <c:axId val="147350499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Pressure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74099167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15449978127734032"/>
          <c:y val="5.7868274278215212E-2"/>
          <c:w val="0.35105577427821522"/>
          <c:h val="0.5451432633420823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5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2.8022309711286039E-2"/>
                  <c:y val="-9.692093175853018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LiCl41KCl!$E$16:$E$22</c:f>
              <c:numCache>
                <c:formatCode>0.00</c:formatCode>
                <c:ptCount val="7"/>
                <c:pt idx="0">
                  <c:v>2.0170151349700691</c:v>
                </c:pt>
                <c:pt idx="1">
                  <c:v>1.8658044553360236</c:v>
                </c:pt>
                <c:pt idx="2">
                  <c:v>1.7293383513449634</c:v>
                </c:pt>
                <c:pt idx="3">
                  <c:v>1.6058625743398616</c:v>
                </c:pt>
                <c:pt idx="4">
                  <c:v>1.4938674884742142</c:v>
                </c:pt>
                <c:pt idx="5">
                  <c:v>1.392049184173439</c:v>
                </c:pt>
                <c:pt idx="6">
                  <c:v>1.2992774991322031</c:v>
                </c:pt>
              </c:numCache>
            </c:numRef>
          </c:xVal>
          <c:yVal>
            <c:numRef>
              <c:f>LiCl41KCl!$F$16:$F$22</c:f>
              <c:numCache>
                <c:formatCode>General</c:formatCode>
                <c:ptCount val="7"/>
                <c:pt idx="0">
                  <c:v>32.485329999999998</c:v>
                </c:pt>
                <c:pt idx="1">
                  <c:v>18.873609999999999</c:v>
                </c:pt>
                <c:pt idx="2">
                  <c:v>8.9985900000000107</c:v>
                </c:pt>
                <c:pt idx="5">
                  <c:v>-3.2419199999999999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3F-4A42-BD45-CDBC4618639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LiCl41KCl!$E$16:$E$20</c:f>
              <c:numCache>
                <c:formatCode>0.00</c:formatCode>
                <c:ptCount val="5"/>
                <c:pt idx="0">
                  <c:v>2.0170151349700691</c:v>
                </c:pt>
                <c:pt idx="1">
                  <c:v>1.8658044553360236</c:v>
                </c:pt>
                <c:pt idx="2">
                  <c:v>1.7293383513449634</c:v>
                </c:pt>
                <c:pt idx="3">
                  <c:v>1.6058625743398616</c:v>
                </c:pt>
                <c:pt idx="4">
                  <c:v>1.4938674884742142</c:v>
                </c:pt>
              </c:numCache>
            </c:numRef>
          </c:xVal>
          <c:yVal>
            <c:numRef>
              <c:f>LiCl41KCl!$G$16:$G$20</c:f>
              <c:numCache>
                <c:formatCode>General</c:formatCode>
                <c:ptCount val="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3F-4A42-BD45-CDBC46186393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LiCl41KCl!$E$16:$E$22</c:f>
              <c:numCache>
                <c:formatCode>0.00</c:formatCode>
                <c:ptCount val="7"/>
                <c:pt idx="0">
                  <c:v>2.0170151349700691</c:v>
                </c:pt>
                <c:pt idx="1">
                  <c:v>1.8658044553360236</c:v>
                </c:pt>
                <c:pt idx="2">
                  <c:v>1.7293383513449634</c:v>
                </c:pt>
                <c:pt idx="3">
                  <c:v>1.6058625743398616</c:v>
                </c:pt>
                <c:pt idx="4">
                  <c:v>1.4938674884742142</c:v>
                </c:pt>
                <c:pt idx="5">
                  <c:v>1.392049184173439</c:v>
                </c:pt>
                <c:pt idx="6">
                  <c:v>1.2992774991322031</c:v>
                </c:pt>
              </c:numCache>
            </c:numRef>
          </c:xVal>
          <c:yVal>
            <c:numRef>
              <c:f>LiCl41KCl!$H$16:$H$22</c:f>
              <c:numCache>
                <c:formatCode>General</c:formatCode>
                <c:ptCount val="7"/>
                <c:pt idx="0">
                  <c:v>38.803919999999998</c:v>
                </c:pt>
                <c:pt idx="1">
                  <c:v>21.718499999999999</c:v>
                </c:pt>
                <c:pt idx="2">
                  <c:v>10.087580000000001</c:v>
                </c:pt>
                <c:pt idx="3">
                  <c:v>3.80454000000001</c:v>
                </c:pt>
                <c:pt idx="4">
                  <c:v>-1.2218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43F-4A42-BD45-CDBC46186393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LiCl41KCl!$E$16:$E$20</c:f>
              <c:numCache>
                <c:formatCode>0.00</c:formatCode>
                <c:ptCount val="5"/>
                <c:pt idx="0">
                  <c:v>2.0170151349700691</c:v>
                </c:pt>
                <c:pt idx="1">
                  <c:v>1.8658044553360236</c:v>
                </c:pt>
                <c:pt idx="2">
                  <c:v>1.7293383513449634</c:v>
                </c:pt>
                <c:pt idx="3">
                  <c:v>1.6058625743398616</c:v>
                </c:pt>
                <c:pt idx="4">
                  <c:v>1.4938674884742142</c:v>
                </c:pt>
              </c:numCache>
            </c:numRef>
          </c:xVal>
          <c:yVal>
            <c:numRef>
              <c:f>LiCl41KCl!$I$16:$I$20</c:f>
              <c:numCache>
                <c:formatCode>General</c:formatCode>
                <c:ptCount val="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43F-4A42-BD45-CDBC46186393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LiCl41KCl!$E$16:$E$20</c:f>
              <c:numCache>
                <c:formatCode>0.00</c:formatCode>
                <c:ptCount val="5"/>
                <c:pt idx="0">
                  <c:v>2.0170151349700691</c:v>
                </c:pt>
                <c:pt idx="1">
                  <c:v>1.8658044553360236</c:v>
                </c:pt>
                <c:pt idx="2">
                  <c:v>1.7293383513449634</c:v>
                </c:pt>
                <c:pt idx="3">
                  <c:v>1.6058625743398616</c:v>
                </c:pt>
                <c:pt idx="4">
                  <c:v>1.4938674884742142</c:v>
                </c:pt>
              </c:numCache>
            </c:numRef>
          </c:xVal>
          <c:yVal>
            <c:numRef>
              <c:f>LiCl41KCl!$J$16:$J$20</c:f>
              <c:numCache>
                <c:formatCode>General</c:formatCode>
                <c:ptCount val="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43F-4A42-BD45-CDBC46186393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LiCl41KCl!$E$16:$E$22</c:f>
              <c:numCache>
                <c:formatCode>0.00</c:formatCode>
                <c:ptCount val="7"/>
                <c:pt idx="0">
                  <c:v>2.0170151349700691</c:v>
                </c:pt>
                <c:pt idx="1">
                  <c:v>1.8658044553360236</c:v>
                </c:pt>
                <c:pt idx="2">
                  <c:v>1.7293383513449634</c:v>
                </c:pt>
                <c:pt idx="3">
                  <c:v>1.6058625743398616</c:v>
                </c:pt>
                <c:pt idx="4">
                  <c:v>1.4938674884742142</c:v>
                </c:pt>
                <c:pt idx="5">
                  <c:v>1.392049184173439</c:v>
                </c:pt>
                <c:pt idx="6">
                  <c:v>1.2992774991322031</c:v>
                </c:pt>
              </c:numCache>
            </c:numRef>
          </c:xVal>
          <c:yVal>
            <c:numRef>
              <c:f>LiCl41KCl!$K$16:$K$22</c:f>
              <c:numCache>
                <c:formatCode>General</c:formatCode>
                <c:ptCount val="7"/>
                <c:pt idx="1">
                  <c:v>25.153420000000001</c:v>
                </c:pt>
                <c:pt idx="2">
                  <c:v>12.80458</c:v>
                </c:pt>
                <c:pt idx="3">
                  <c:v>5.3374800000000002</c:v>
                </c:pt>
                <c:pt idx="4">
                  <c:v>0.91087000000000096</c:v>
                </c:pt>
                <c:pt idx="5">
                  <c:v>-2.3585400000000001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43F-4A42-BD45-CDBC46186393}"/>
            </c:ext>
          </c:extLst>
        </c:ser>
        <c:ser>
          <c:idx val="6"/>
          <c:order val="6"/>
          <c:tx>
            <c:v>SCAN-vdW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LiCl!$E$16:$E$20</c:f>
              <c:numCache>
                <c:formatCode>0.00</c:formatCode>
                <c:ptCount val="5"/>
                <c:pt idx="0">
                  <c:v>1.8084865492570361</c:v>
                </c:pt>
                <c:pt idx="1">
                  <c:v>1.6490104139481483</c:v>
                </c:pt>
                <c:pt idx="2">
                  <c:v>1.5077469785786322</c:v>
                </c:pt>
                <c:pt idx="3">
                  <c:v>1.3821687987417972</c:v>
                </c:pt>
                <c:pt idx="4">
                  <c:v>1.2701579056510324</c:v>
                </c:pt>
              </c:numCache>
            </c:numRef>
          </c:xVal>
          <c:yVal>
            <c:numRef>
              <c:f>LiCl!$L$16:$L$20</c:f>
              <c:numCache>
                <c:formatCode>General</c:formatCode>
                <c:ptCount val="5"/>
                <c:pt idx="0">
                  <c:v>16.30481</c:v>
                </c:pt>
                <c:pt idx="1">
                  <c:v>3.4436500000000101</c:v>
                </c:pt>
                <c:pt idx="2">
                  <c:v>-3.7404099999999998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43F-4A42-BD45-CDBC46186393}"/>
            </c:ext>
          </c:extLst>
        </c:ser>
        <c:ser>
          <c:idx val="7"/>
          <c:order val="7"/>
          <c:tx>
            <c:v>EXPT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star"/>
            <c:size val="20"/>
            <c:spPr>
              <a:noFill/>
              <a:ln w="25400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LiCl41KCl!$H$2</c:f>
              <c:numCache>
                <c:formatCode>General</c:formatCode>
                <c:ptCount val="1"/>
                <c:pt idx="0">
                  <c:v>1.5017400000000003</c:v>
                </c:pt>
              </c:numCache>
            </c:numRef>
          </c:xVal>
          <c:yVal>
            <c:numRef>
              <c:f>LiCl41KCl!$J$2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43F-4A42-BD45-CDBC461863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4099167"/>
        <c:axId val="1473504991"/>
      </c:scatterChart>
      <c:valAx>
        <c:axId val="1474099167"/>
        <c:scaling>
          <c:orientation val="minMax"/>
          <c:min val="1.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Density (g/cc)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73504991"/>
        <c:crosses val="autoZero"/>
        <c:crossBetween val="midCat"/>
      </c:valAx>
      <c:valAx>
        <c:axId val="147350499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Pressure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74099167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15449978127734032"/>
          <c:y val="5.7868274278215212E-2"/>
          <c:w val="0.35105577427821522"/>
          <c:h val="0.5451432633420823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5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PBE-VDW11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LiCl80KCl!$E$14:$E$18</c:f>
              <c:numCache>
                <c:formatCode>0.00</c:formatCode>
                <c:ptCount val="5"/>
                <c:pt idx="0">
                  <c:v>1.730504492902462</c:v>
                </c:pt>
                <c:pt idx="1">
                  <c:v>1.6007728136776391</c:v>
                </c:pt>
                <c:pt idx="2">
                  <c:v>1.4836912896022487</c:v>
                </c:pt>
                <c:pt idx="3">
                  <c:v>1.3777548575114096</c:v>
                </c:pt>
                <c:pt idx="4">
                  <c:v>1.2816683205720747</c:v>
                </c:pt>
              </c:numCache>
            </c:numRef>
          </c:xVal>
          <c:yVal>
            <c:numRef>
              <c:f>LiCl80KCl!$F$14:$F$18</c:f>
              <c:numCache>
                <c:formatCode>General</c:formatCode>
                <c:ptCount val="5"/>
                <c:pt idx="0">
                  <c:v>7.4042700000000004</c:v>
                </c:pt>
                <c:pt idx="1">
                  <c:v>2.35493</c:v>
                </c:pt>
                <c:pt idx="2">
                  <c:v>-1.8441799999999999</c:v>
                </c:pt>
                <c:pt idx="3">
                  <c:v>-3.6535299999999999</c:v>
                </c:pt>
                <c:pt idx="4">
                  <c:v>-3.1442399999999999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29-1F4A-B9BB-1E5590B30398}"/>
            </c:ext>
          </c:extLst>
        </c:ser>
        <c:ser>
          <c:idx val="1"/>
          <c:order val="1"/>
          <c:tx>
            <c:v>PBE-VDW12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LiCl80KCl!$E$14:$E$18</c:f>
              <c:numCache>
                <c:formatCode>0.00</c:formatCode>
                <c:ptCount val="5"/>
                <c:pt idx="0">
                  <c:v>1.730504492902462</c:v>
                </c:pt>
                <c:pt idx="1">
                  <c:v>1.6007728136776391</c:v>
                </c:pt>
                <c:pt idx="2">
                  <c:v>1.4836912896022487</c:v>
                </c:pt>
                <c:pt idx="3">
                  <c:v>1.3777548575114096</c:v>
                </c:pt>
                <c:pt idx="4">
                  <c:v>1.2816683205720747</c:v>
                </c:pt>
              </c:numCache>
            </c:numRef>
          </c:xVal>
          <c:yVal>
            <c:numRef>
              <c:f>LiCl80KCl!$G$14:$G$18</c:f>
              <c:numCache>
                <c:formatCode>General</c:formatCode>
                <c:ptCount val="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929-1F4A-B9BB-1E5590B30398}"/>
            </c:ext>
          </c:extLst>
        </c:ser>
        <c:ser>
          <c:idx val="2"/>
          <c:order val="2"/>
          <c:tx>
            <c:v>revPBE-vdW11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LiCl80KCl!$E$14:$E$18</c:f>
              <c:numCache>
                <c:formatCode>0.00</c:formatCode>
                <c:ptCount val="5"/>
                <c:pt idx="0">
                  <c:v>1.730504492902462</c:v>
                </c:pt>
                <c:pt idx="1">
                  <c:v>1.6007728136776391</c:v>
                </c:pt>
                <c:pt idx="2">
                  <c:v>1.4836912896022487</c:v>
                </c:pt>
                <c:pt idx="3">
                  <c:v>1.3777548575114096</c:v>
                </c:pt>
                <c:pt idx="4">
                  <c:v>1.2816683205720747</c:v>
                </c:pt>
              </c:numCache>
            </c:numRef>
          </c:xVal>
          <c:yVal>
            <c:numRef>
              <c:f>LiCl80KCl!$H$14:$H$18</c:f>
              <c:numCache>
                <c:formatCode>General</c:formatCode>
                <c:ptCount val="5"/>
                <c:pt idx="0">
                  <c:v>9.6864199999999894</c:v>
                </c:pt>
                <c:pt idx="1">
                  <c:v>3.1092</c:v>
                </c:pt>
                <c:pt idx="2">
                  <c:v>-1.8609</c:v>
                </c:pt>
                <c:pt idx="3">
                  <c:v>-3.2420800000000001</c:v>
                </c:pt>
                <c:pt idx="4">
                  <c:v>-4.7336999999999998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929-1F4A-B9BB-1E5590B30398}"/>
            </c:ext>
          </c:extLst>
        </c:ser>
        <c:ser>
          <c:idx val="3"/>
          <c:order val="3"/>
          <c:tx>
            <c:v>revPBE-vdW12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LiCl80KCl!$E$14:$E$18</c:f>
              <c:numCache>
                <c:formatCode>0.00</c:formatCode>
                <c:ptCount val="5"/>
                <c:pt idx="0">
                  <c:v>1.730504492902462</c:v>
                </c:pt>
                <c:pt idx="1">
                  <c:v>1.6007728136776391</c:v>
                </c:pt>
                <c:pt idx="2">
                  <c:v>1.4836912896022487</c:v>
                </c:pt>
                <c:pt idx="3">
                  <c:v>1.3777548575114096</c:v>
                </c:pt>
                <c:pt idx="4">
                  <c:v>1.2816683205720747</c:v>
                </c:pt>
              </c:numCache>
            </c:numRef>
          </c:xVal>
          <c:yVal>
            <c:numRef>
              <c:f>LiCl80KCl!$I$14:$I$18</c:f>
              <c:numCache>
                <c:formatCode>General</c:formatCode>
                <c:ptCount val="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929-1F4A-B9BB-1E5590B30398}"/>
            </c:ext>
          </c:extLst>
        </c:ser>
        <c:ser>
          <c:idx val="4"/>
          <c:order val="4"/>
          <c:tx>
            <c:v>optB88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LiCl80KCl!$E$14:$E$18</c:f>
              <c:numCache>
                <c:formatCode>0.00</c:formatCode>
                <c:ptCount val="5"/>
                <c:pt idx="0">
                  <c:v>1.730504492902462</c:v>
                </c:pt>
                <c:pt idx="1">
                  <c:v>1.6007728136776391</c:v>
                </c:pt>
                <c:pt idx="2">
                  <c:v>1.4836912896022487</c:v>
                </c:pt>
                <c:pt idx="3">
                  <c:v>1.3777548575114096</c:v>
                </c:pt>
                <c:pt idx="4">
                  <c:v>1.2816683205720747</c:v>
                </c:pt>
              </c:numCache>
            </c:numRef>
          </c:xVal>
          <c:yVal>
            <c:numRef>
              <c:f>LiCl80KCl!$J$14:$J$18</c:f>
              <c:numCache>
                <c:formatCode>General</c:formatCode>
                <c:ptCount val="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929-1F4A-B9BB-1E5590B30398}"/>
            </c:ext>
          </c:extLst>
        </c:ser>
        <c:ser>
          <c:idx val="5"/>
          <c:order val="5"/>
          <c:tx>
            <c:v>vdW-DF2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LiCl80KCl!$E$14:$E$18</c:f>
              <c:numCache>
                <c:formatCode>0.00</c:formatCode>
                <c:ptCount val="5"/>
                <c:pt idx="0">
                  <c:v>1.730504492902462</c:v>
                </c:pt>
                <c:pt idx="1">
                  <c:v>1.6007728136776391</c:v>
                </c:pt>
                <c:pt idx="2">
                  <c:v>1.4836912896022487</c:v>
                </c:pt>
                <c:pt idx="3">
                  <c:v>1.3777548575114096</c:v>
                </c:pt>
                <c:pt idx="4">
                  <c:v>1.2816683205720747</c:v>
                </c:pt>
              </c:numCache>
            </c:numRef>
          </c:xVal>
          <c:yVal>
            <c:numRef>
              <c:f>LiCl80KCl!$K$14:$K$18</c:f>
              <c:numCache>
                <c:formatCode>General</c:formatCode>
                <c:ptCount val="5"/>
                <c:pt idx="0">
                  <c:v>9.1651300000000209</c:v>
                </c:pt>
                <c:pt idx="1">
                  <c:v>2.6354099999999998</c:v>
                </c:pt>
                <c:pt idx="2">
                  <c:v>-0.49048999999999998</c:v>
                </c:pt>
                <c:pt idx="3">
                  <c:v>-3.0856499999999998</c:v>
                </c:pt>
                <c:pt idx="4">
                  <c:v>-3.2935500000000002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929-1F4A-B9BB-1E5590B30398}"/>
            </c:ext>
          </c:extLst>
        </c:ser>
        <c:ser>
          <c:idx val="6"/>
          <c:order val="6"/>
          <c:tx>
            <c:v>SCAN-vdW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LiCl!$E$16:$E$20</c:f>
              <c:numCache>
                <c:formatCode>0.00</c:formatCode>
                <c:ptCount val="5"/>
                <c:pt idx="0">
                  <c:v>1.8084865492570361</c:v>
                </c:pt>
                <c:pt idx="1">
                  <c:v>1.6490104139481483</c:v>
                </c:pt>
                <c:pt idx="2">
                  <c:v>1.5077469785786322</c:v>
                </c:pt>
                <c:pt idx="3">
                  <c:v>1.3821687987417972</c:v>
                </c:pt>
                <c:pt idx="4">
                  <c:v>1.2701579056510324</c:v>
                </c:pt>
              </c:numCache>
            </c:numRef>
          </c:xVal>
          <c:yVal>
            <c:numRef>
              <c:f>LiCl!$L$16:$L$20</c:f>
              <c:numCache>
                <c:formatCode>General</c:formatCode>
                <c:ptCount val="5"/>
                <c:pt idx="0">
                  <c:v>16.30481</c:v>
                </c:pt>
                <c:pt idx="1">
                  <c:v>3.4436500000000101</c:v>
                </c:pt>
                <c:pt idx="2">
                  <c:v>-3.7404099999999998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929-1F4A-B9BB-1E5590B30398}"/>
            </c:ext>
          </c:extLst>
        </c:ser>
        <c:ser>
          <c:idx val="7"/>
          <c:order val="7"/>
          <c:tx>
            <c:v>EXPT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star"/>
            <c:size val="20"/>
            <c:spPr>
              <a:noFill/>
              <a:ln w="25400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LiCl80KCl!$H$2</c:f>
              <c:numCache>
                <c:formatCode>General</c:formatCode>
                <c:ptCount val="1"/>
                <c:pt idx="0">
                  <c:v>1.5395599999999998</c:v>
                </c:pt>
              </c:numCache>
            </c:numRef>
          </c:xVal>
          <c:yVal>
            <c:numRef>
              <c:f>LiCl80KCl!$J$2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929-1F4A-B9BB-1E5590B303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4099167"/>
        <c:axId val="1473504991"/>
      </c:scatterChart>
      <c:valAx>
        <c:axId val="1474099167"/>
        <c:scaling>
          <c:orientation val="minMax"/>
          <c:min val="1.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Density (g/cc)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73504991"/>
        <c:crosses val="autoZero"/>
        <c:crossBetween val="midCat"/>
      </c:valAx>
      <c:valAx>
        <c:axId val="147350499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Pressure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74099167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15449978127734032"/>
          <c:y val="5.7868274278215212E-2"/>
          <c:w val="0.30661132983377076"/>
          <c:h val="0.4895877077865266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5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VDW11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summary!$A$6:$A$10</c:f>
              <c:numCache>
                <c:formatCode>General</c:formatCode>
                <c:ptCount val="5"/>
                <c:pt idx="0">
                  <c:v>0</c:v>
                </c:pt>
                <c:pt idx="1">
                  <c:v>0.2</c:v>
                </c:pt>
                <c:pt idx="2">
                  <c:v>0.41</c:v>
                </c:pt>
                <c:pt idx="3">
                  <c:v>0.8</c:v>
                </c:pt>
                <c:pt idx="4">
                  <c:v>1</c:v>
                </c:pt>
              </c:numCache>
            </c:numRef>
          </c:xVal>
          <c:yVal>
            <c:numRef>
              <c:f>summary!$C$6:$C$10</c:f>
              <c:numCache>
                <c:formatCode>General</c:formatCode>
                <c:ptCount val="5"/>
                <c:pt idx="0">
                  <c:v>1.5132928157375203</c:v>
                </c:pt>
                <c:pt idx="1">
                  <c:v>1.5197274773203495</c:v>
                </c:pt>
                <c:pt idx="2">
                  <c:v>1.5349999999999999</c:v>
                </c:pt>
                <c:pt idx="3">
                  <c:v>1.5351115679634617</c:v>
                </c:pt>
                <c:pt idx="4">
                  <c:v>1.5525982191334322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2FA-E544-A822-438EE134DE7F}"/>
            </c:ext>
          </c:extLst>
        </c:ser>
        <c:ser>
          <c:idx val="1"/>
          <c:order val="1"/>
          <c:tx>
            <c:v>rVDW11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summary!$A$6:$A$10</c:f>
              <c:numCache>
                <c:formatCode>General</c:formatCode>
                <c:ptCount val="5"/>
                <c:pt idx="0">
                  <c:v>0</c:v>
                </c:pt>
                <c:pt idx="1">
                  <c:v>0.2</c:v>
                </c:pt>
                <c:pt idx="2">
                  <c:v>0.41</c:v>
                </c:pt>
                <c:pt idx="3">
                  <c:v>0.8</c:v>
                </c:pt>
                <c:pt idx="4">
                  <c:v>1</c:v>
                </c:pt>
              </c:numCache>
            </c:numRef>
          </c:xVal>
          <c:yVal>
            <c:numRef>
              <c:f>summary!$D$6:$D$10</c:f>
              <c:numCache>
                <c:formatCode>General</c:formatCode>
                <c:ptCount val="5"/>
                <c:pt idx="0">
                  <c:v>1.532375522761388</c:v>
                </c:pt>
                <c:pt idx="1">
                  <c:v>1.5249300599405686</c:v>
                </c:pt>
                <c:pt idx="2">
                  <c:v>1.521091193179954</c:v>
                </c:pt>
                <c:pt idx="3">
                  <c:v>1.5275288397827067</c:v>
                </c:pt>
                <c:pt idx="4">
                  <c:v>1.5323676072984078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2FA-E544-A822-438EE134DE7F}"/>
            </c:ext>
          </c:extLst>
        </c:ser>
        <c:ser>
          <c:idx val="2"/>
          <c:order val="2"/>
          <c:tx>
            <c:v>DF2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summary!$A$6:$A$10</c:f>
              <c:numCache>
                <c:formatCode>General</c:formatCode>
                <c:ptCount val="5"/>
                <c:pt idx="0">
                  <c:v>0</c:v>
                </c:pt>
                <c:pt idx="1">
                  <c:v>0.2</c:v>
                </c:pt>
                <c:pt idx="2">
                  <c:v>0.41</c:v>
                </c:pt>
                <c:pt idx="3">
                  <c:v>0.8</c:v>
                </c:pt>
                <c:pt idx="4">
                  <c:v>1</c:v>
                </c:pt>
              </c:numCache>
            </c:numRef>
          </c:xVal>
          <c:yVal>
            <c:numRef>
              <c:f>summary!$E$6:$E$10</c:f>
              <c:numCache>
                <c:formatCode>General</c:formatCode>
                <c:ptCount val="5"/>
                <c:pt idx="0">
                  <c:v>1.4012692011498877</c:v>
                </c:pt>
                <c:pt idx="1">
                  <c:v>1.4470327255480024</c:v>
                </c:pt>
                <c:pt idx="2">
                  <c:v>1.4655005235360612</c:v>
                </c:pt>
                <c:pt idx="3">
                  <c:v>1.5020627399825355</c:v>
                </c:pt>
                <c:pt idx="4">
                  <c:v>1.5024422882189976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2FA-E544-A822-438EE134DE7F}"/>
            </c:ext>
          </c:extLst>
        </c:ser>
        <c:ser>
          <c:idx val="3"/>
          <c:order val="3"/>
          <c:tx>
            <c:v>EXPT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summary!$I$5:$O$5</c:f>
              <c:numCache>
                <c:formatCode>General</c:formatCode>
                <c:ptCount val="7"/>
                <c:pt idx="0">
                  <c:v>0</c:v>
                </c:pt>
                <c:pt idx="1">
                  <c:v>0.18</c:v>
                </c:pt>
                <c:pt idx="2">
                  <c:v>0.3</c:v>
                </c:pt>
                <c:pt idx="3">
                  <c:v>0.41</c:v>
                </c:pt>
                <c:pt idx="4">
                  <c:v>0.6</c:v>
                </c:pt>
                <c:pt idx="5">
                  <c:v>0.8</c:v>
                </c:pt>
                <c:pt idx="6">
                  <c:v>1</c:v>
                </c:pt>
              </c:numCache>
            </c:numRef>
          </c:xVal>
          <c:yVal>
            <c:numRef>
              <c:f>summary!$I$4:$O$4</c:f>
              <c:numCache>
                <c:formatCode>General</c:formatCode>
                <c:ptCount val="7"/>
                <c:pt idx="0">
                  <c:v>1.4514</c:v>
                </c:pt>
                <c:pt idx="1">
                  <c:v>1.4798200000000001</c:v>
                </c:pt>
                <c:pt idx="2">
                  <c:v>1.48712</c:v>
                </c:pt>
                <c:pt idx="3">
                  <c:v>1.5017400000000003</c:v>
                </c:pt>
                <c:pt idx="4">
                  <c:v>1.5156000000000001</c:v>
                </c:pt>
                <c:pt idx="5">
                  <c:v>1.5395599999999998</c:v>
                </c:pt>
                <c:pt idx="6">
                  <c:v>1.5528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22FA-E544-A822-438EE134DE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841631"/>
        <c:axId val="1332442624"/>
      </c:scatterChart>
      <c:valAx>
        <c:axId val="406841631"/>
        <c:scaling>
          <c:orientation val="minMax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Molar Fraction KCl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32442624"/>
        <c:crosses val="autoZero"/>
        <c:crossBetween val="midCat"/>
      </c:valAx>
      <c:valAx>
        <c:axId val="13324426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Density (g/cc)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06841631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65859689413823275"/>
          <c:y val="0.48697834645669286"/>
          <c:w val="0.24973643919510066"/>
          <c:h val="0.2795155293088363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VDW11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summary!$A$17:$A$21</c:f>
              <c:numCache>
                <c:formatCode>General</c:formatCode>
                <c:ptCount val="5"/>
                <c:pt idx="0">
                  <c:v>0</c:v>
                </c:pt>
                <c:pt idx="1">
                  <c:v>0.2</c:v>
                </c:pt>
                <c:pt idx="2">
                  <c:v>0.41</c:v>
                </c:pt>
                <c:pt idx="3">
                  <c:v>0.8</c:v>
                </c:pt>
                <c:pt idx="4">
                  <c:v>1</c:v>
                </c:pt>
              </c:numCache>
            </c:numRef>
          </c:xVal>
          <c:yVal>
            <c:numRef>
              <c:f>summary!$C$17:$C$21</c:f>
              <c:numCache>
                <c:formatCode>General</c:formatCode>
                <c:ptCount val="5"/>
                <c:pt idx="0">
                  <c:v>4.2643527447650723E-2</c:v>
                </c:pt>
                <c:pt idx="1">
                  <c:v>2.6967791569481005E-2</c:v>
                </c:pt>
                <c:pt idx="2">
                  <c:v>2.214764206853358E-2</c:v>
                </c:pt>
                <c:pt idx="3">
                  <c:v>-2.8894177794552395E-3</c:v>
                </c:pt>
                <c:pt idx="4">
                  <c:v>-1.2994646224094973E-4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EE8-0D48-9940-E6C030E9E07C}"/>
            </c:ext>
          </c:extLst>
        </c:ser>
        <c:ser>
          <c:idx val="1"/>
          <c:order val="1"/>
          <c:tx>
            <c:v>rVDW11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summary!$A$17:$A$21</c:f>
              <c:numCache>
                <c:formatCode>General</c:formatCode>
                <c:ptCount val="5"/>
                <c:pt idx="0">
                  <c:v>0</c:v>
                </c:pt>
                <c:pt idx="1">
                  <c:v>0.2</c:v>
                </c:pt>
                <c:pt idx="2">
                  <c:v>0.41</c:v>
                </c:pt>
                <c:pt idx="3">
                  <c:v>0.8</c:v>
                </c:pt>
                <c:pt idx="4">
                  <c:v>1</c:v>
                </c:pt>
              </c:numCache>
            </c:numRef>
          </c:xVal>
          <c:yVal>
            <c:numRef>
              <c:f>summary!$D$17:$D$21</c:f>
              <c:numCache>
                <c:formatCode>General</c:formatCode>
                <c:ptCount val="5"/>
                <c:pt idx="0">
                  <c:v>5.5791320629315126E-2</c:v>
                </c:pt>
                <c:pt idx="1">
                  <c:v>3.0483477680101963E-2</c:v>
                </c:pt>
                <c:pt idx="2">
                  <c:v>1.2885847869773532E-2</c:v>
                </c:pt>
                <c:pt idx="3">
                  <c:v>-7.8146744636734614E-3</c:v>
                </c:pt>
                <c:pt idx="4">
                  <c:v>-1.31584187928852E-2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EE8-0D48-9940-E6C030E9E07C}"/>
            </c:ext>
          </c:extLst>
        </c:ser>
        <c:ser>
          <c:idx val="2"/>
          <c:order val="2"/>
          <c:tx>
            <c:v>DF2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summary!$A$17:$A$21</c:f>
              <c:numCache>
                <c:formatCode>General</c:formatCode>
                <c:ptCount val="5"/>
                <c:pt idx="0">
                  <c:v>0</c:v>
                </c:pt>
                <c:pt idx="1">
                  <c:v>0.2</c:v>
                </c:pt>
                <c:pt idx="2">
                  <c:v>0.41</c:v>
                </c:pt>
                <c:pt idx="3">
                  <c:v>0.8</c:v>
                </c:pt>
                <c:pt idx="4">
                  <c:v>1</c:v>
                </c:pt>
              </c:numCache>
            </c:numRef>
          </c:xVal>
          <c:yVal>
            <c:numRef>
              <c:f>summary!$E$17:$E$21</c:f>
              <c:numCache>
                <c:formatCode>General</c:formatCode>
                <c:ptCount val="5"/>
                <c:pt idx="0">
                  <c:v>-3.4539616129331881E-2</c:v>
                </c:pt>
                <c:pt idx="1">
                  <c:v>-2.2156258499005075E-2</c:v>
                </c:pt>
                <c:pt idx="2">
                  <c:v>-2.4131658252386629E-2</c:v>
                </c:pt>
                <c:pt idx="3">
                  <c:v>-2.4355828949481895E-2</c:v>
                </c:pt>
                <c:pt idx="4">
                  <c:v>-3.243026261012516E-2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EE8-0D48-9940-E6C030E9E0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841631"/>
        <c:axId val="1332442624"/>
      </c:scatterChart>
      <c:valAx>
        <c:axId val="406841631"/>
        <c:scaling>
          <c:orientation val="minMax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Molar Fraction KCl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32442624"/>
        <c:crosses val="autoZero"/>
        <c:crossBetween val="midCat"/>
      </c:valAx>
      <c:valAx>
        <c:axId val="13324426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Fraction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06841631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64418044619422588"/>
          <c:y val="0.11105041557305334"/>
          <c:w val="0.2280417760279965"/>
          <c:h val="0.2223433398950131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146050</xdr:colOff>
      <xdr:row>24</xdr:row>
      <xdr:rowOff>158750</xdr:rowOff>
    </xdr:from>
    <xdr:to>
      <xdr:col>10</xdr:col>
      <xdr:colOff>590550</xdr:colOff>
      <xdr:row>42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BF8F8A-5475-E748-A348-4B573F211E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508000</xdr:colOff>
      <xdr:row>21</xdr:row>
      <xdr:rowOff>63500</xdr:rowOff>
    </xdr:from>
    <xdr:to>
      <xdr:col>10</xdr:col>
      <xdr:colOff>127000</xdr:colOff>
      <xdr:row>39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2E0130A-3D36-374E-B6BD-9094118D05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800100</xdr:colOff>
      <xdr:row>20</xdr:row>
      <xdr:rowOff>139700</xdr:rowOff>
    </xdr:from>
    <xdr:to>
      <xdr:col>10</xdr:col>
      <xdr:colOff>419100</xdr:colOff>
      <xdr:row>38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1AAE5FE-B988-FD42-909E-EDB2579802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800100</xdr:colOff>
      <xdr:row>24</xdr:row>
      <xdr:rowOff>139700</xdr:rowOff>
    </xdr:from>
    <xdr:to>
      <xdr:col>10</xdr:col>
      <xdr:colOff>419100</xdr:colOff>
      <xdr:row>42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5CEF30-1C6E-784A-A31E-2113578EB5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800100</xdr:colOff>
      <xdr:row>20</xdr:row>
      <xdr:rowOff>139700</xdr:rowOff>
    </xdr:from>
    <xdr:to>
      <xdr:col>10</xdr:col>
      <xdr:colOff>419100</xdr:colOff>
      <xdr:row>38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FCDD59-6D9E-CA4A-A918-04B0AC58E5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374650</xdr:colOff>
      <xdr:row>5</xdr:row>
      <xdr:rowOff>120650</xdr:rowOff>
    </xdr:from>
    <xdr:to>
      <xdr:col>14</xdr:col>
      <xdr:colOff>819150</xdr:colOff>
      <xdr:row>23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558557-6BCC-FE46-A13F-45192C5222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368300</xdr:colOff>
      <xdr:row>24</xdr:row>
      <xdr:rowOff>165100</xdr:rowOff>
    </xdr:from>
    <xdr:to>
      <xdr:col>14</xdr:col>
      <xdr:colOff>812800</xdr:colOff>
      <xdr:row>42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3FC7D8B-5D92-1A45-B4F7-5FDC1E05D7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7DC5D-E8AF-1D46-AC53-7A3A735F36DF}">
  <dimension ref="B2:Q30"/>
  <sheetViews>
    <sheetView workbookViewId="0">
      <selection activeCell="L18" sqref="L18"/>
    </sheetView>
  </sheetViews>
  <sheetFormatPr baseColWidth="10" defaultRowHeight="16" x14ac:dyDescent="0.2"/>
  <cols>
    <col min="3" max="3" width="12.1640625" bestFit="1" customWidth="1"/>
  </cols>
  <sheetData>
    <row r="2" spans="2:17" x14ac:dyDescent="0.2">
      <c r="E2" t="s">
        <v>21</v>
      </c>
      <c r="H2">
        <v>1.4514</v>
      </c>
      <c r="I2" t="s">
        <v>9</v>
      </c>
      <c r="J2">
        <v>0</v>
      </c>
      <c r="P2" t="s">
        <v>8</v>
      </c>
    </row>
    <row r="3" spans="2:17" x14ac:dyDescent="0.2">
      <c r="B3" t="s">
        <v>0</v>
      </c>
    </row>
    <row r="4" spans="2:17" x14ac:dyDescent="0.2">
      <c r="D4">
        <v>1</v>
      </c>
      <c r="F4">
        <v>2</v>
      </c>
      <c r="H4">
        <v>3</v>
      </c>
      <c r="J4">
        <v>4</v>
      </c>
      <c r="L4">
        <v>5</v>
      </c>
      <c r="N4">
        <v>6</v>
      </c>
      <c r="P4">
        <v>7</v>
      </c>
    </row>
    <row r="5" spans="2:17" x14ac:dyDescent="0.2">
      <c r="D5" t="s">
        <v>1</v>
      </c>
      <c r="F5" t="s">
        <v>2</v>
      </c>
      <c r="H5" t="s">
        <v>3</v>
      </c>
      <c r="J5" t="s">
        <v>4</v>
      </c>
      <c r="L5" t="s">
        <v>5</v>
      </c>
      <c r="N5" t="s">
        <v>6</v>
      </c>
      <c r="P5" t="s">
        <v>7</v>
      </c>
    </row>
    <row r="7" spans="2:17" x14ac:dyDescent="0.2">
      <c r="B7">
        <v>3902.41</v>
      </c>
      <c r="C7">
        <v>0.8</v>
      </c>
      <c r="D7">
        <v>-727.84911931999898</v>
      </c>
      <c r="E7">
        <v>21.058890000000002</v>
      </c>
      <c r="F7">
        <v>-737.12323020999997</v>
      </c>
      <c r="G7">
        <v>14.68634</v>
      </c>
      <c r="H7">
        <v>-720.39121140999896</v>
      </c>
      <c r="I7">
        <v>22.429690000000001</v>
      </c>
      <c r="J7">
        <v>-740.80931201999897</v>
      </c>
      <c r="K7">
        <v>8.2621199999999995</v>
      </c>
      <c r="L7">
        <v>-457.84913434999999</v>
      </c>
      <c r="M7">
        <v>22.120439999999999</v>
      </c>
      <c r="N7">
        <v>-486.70785132999998</v>
      </c>
      <c r="O7">
        <v>32.177750000000003</v>
      </c>
      <c r="P7">
        <v>-1377.5961549000001</v>
      </c>
      <c r="Q7">
        <v>16.30481</v>
      </c>
    </row>
    <row r="8" spans="2:17" x14ac:dyDescent="0.2">
      <c r="B8">
        <f>B$7*(C8/C$7)^3</f>
        <v>4279.8128713989227</v>
      </c>
      <c r="C8">
        <v>0.82499999999999996</v>
      </c>
      <c r="D8">
        <v>-726.73279316000003</v>
      </c>
      <c r="E8">
        <v>7.50579999999999</v>
      </c>
      <c r="F8">
        <v>-734.02231871000004</v>
      </c>
      <c r="G8">
        <v>4.1293100000000003</v>
      </c>
      <c r="H8">
        <v>-717.85681099999999</v>
      </c>
      <c r="I8">
        <v>6.8753300000000097</v>
      </c>
      <c r="J8">
        <v>-734.71686727999997</v>
      </c>
      <c r="K8">
        <v>2.69000000000006E-3</v>
      </c>
      <c r="L8">
        <v>-455.67645636999998</v>
      </c>
      <c r="M8">
        <v>7.5379500000000004</v>
      </c>
      <c r="N8">
        <v>-487.46115810999902</v>
      </c>
      <c r="O8">
        <v>16.05697</v>
      </c>
      <c r="P8">
        <v>-1375.1030083999999</v>
      </c>
      <c r="Q8">
        <v>3.4436500000000101</v>
      </c>
    </row>
    <row r="9" spans="2:17" x14ac:dyDescent="0.2">
      <c r="B9">
        <f>B$7*(C9/C$7)^3</f>
        <v>4680.7959790039058</v>
      </c>
      <c r="C9">
        <v>0.85</v>
      </c>
      <c r="D9">
        <v>-723.207185430001</v>
      </c>
      <c r="E9">
        <v>-0.30670999999999998</v>
      </c>
      <c r="F9">
        <v>-730.07228754999903</v>
      </c>
      <c r="G9">
        <v>-3.03376</v>
      </c>
      <c r="H9">
        <v>-713.83496822999996</v>
      </c>
      <c r="I9">
        <v>-1.4517899999999999</v>
      </c>
      <c r="J9">
        <v>-729.63629265999896</v>
      </c>
      <c r="K9">
        <v>-5.9531200000000002</v>
      </c>
      <c r="L9">
        <v>-451.95574779999998</v>
      </c>
      <c r="M9">
        <v>-0.26224999999999998</v>
      </c>
      <c r="N9">
        <v>-484.88939791000001</v>
      </c>
      <c r="O9">
        <v>4.5894300000000099</v>
      </c>
      <c r="P9">
        <v>-1371.5389101999999</v>
      </c>
      <c r="Q9">
        <v>-3.7404099999999998</v>
      </c>
    </row>
    <row r="10" spans="2:17" x14ac:dyDescent="0.2">
      <c r="B10">
        <f>B$7*(C10/C$7)^3</f>
        <v>5106.0738754272461</v>
      </c>
      <c r="C10">
        <v>0.875</v>
      </c>
      <c r="D10">
        <v>-718.25816618000101</v>
      </c>
      <c r="E10">
        <v>-4.7423700000000002</v>
      </c>
      <c r="F10">
        <v>-724.745773479999</v>
      </c>
      <c r="G10">
        <v>-7.0232299999999999</v>
      </c>
      <c r="H10">
        <v>-708.35905198</v>
      </c>
      <c r="I10">
        <v>-6.1831800000000099</v>
      </c>
      <c r="J10">
        <v>-724.52547134999998</v>
      </c>
      <c r="K10">
        <v>-8.1910699999999892</v>
      </c>
      <c r="L10">
        <v>-447.94455081000001</v>
      </c>
      <c r="M10">
        <v>-5.4168399999999997</v>
      </c>
      <c r="N10">
        <v>-482.81703422999999</v>
      </c>
      <c r="O10">
        <v>-0.82327000000000095</v>
      </c>
    </row>
    <row r="11" spans="2:17" x14ac:dyDescent="0.2">
      <c r="B11">
        <f t="shared" ref="B11:B13" si="0">B$7*(C11/C$7)^3</f>
        <v>5556.3611132812493</v>
      </c>
      <c r="C11">
        <v>0.9</v>
      </c>
      <c r="D11">
        <v>-714.89958275000004</v>
      </c>
      <c r="E11">
        <v>-5.5394100000000099</v>
      </c>
      <c r="F11">
        <v>-720.84723941000004</v>
      </c>
      <c r="G11">
        <v>-6.7126800000000104</v>
      </c>
      <c r="H11">
        <v>-703.89567103000104</v>
      </c>
      <c r="I11">
        <v>-8.0371600000000001</v>
      </c>
      <c r="J11">
        <v>-720.44302005999998</v>
      </c>
      <c r="K11">
        <v>-9.1352099999999901</v>
      </c>
      <c r="L11">
        <v>-444.18545974</v>
      </c>
      <c r="M11">
        <v>-6.87357</v>
      </c>
      <c r="N11">
        <v>-478.70561963</v>
      </c>
      <c r="O11">
        <v>-4.6469100000000001</v>
      </c>
    </row>
    <row r="12" spans="2:17" x14ac:dyDescent="0.2">
      <c r="B12">
        <f t="shared" si="0"/>
        <v>6534.8218237304654</v>
      </c>
      <c r="C12">
        <v>0.95</v>
      </c>
      <c r="D12">
        <v>-708.365679830001</v>
      </c>
      <c r="E12">
        <v>-5.7941099999999999</v>
      </c>
      <c r="H12">
        <v>-701.19342821999999</v>
      </c>
      <c r="I12">
        <v>-4.9742400000000098</v>
      </c>
      <c r="J12">
        <v>-717.37457809</v>
      </c>
      <c r="K12">
        <v>-4.8664600000000098</v>
      </c>
      <c r="L12">
        <v>-439.19742743</v>
      </c>
      <c r="M12">
        <v>-5.9878900000000002</v>
      </c>
      <c r="N12">
        <v>-471.41190504000099</v>
      </c>
      <c r="O12">
        <v>-7.0507199999999903</v>
      </c>
    </row>
    <row r="13" spans="2:17" x14ac:dyDescent="0.2">
      <c r="B13">
        <f t="shared" si="0"/>
        <v>7621.89453125</v>
      </c>
      <c r="C13">
        <v>1</v>
      </c>
      <c r="D13">
        <v>-706.01452390999896</v>
      </c>
      <c r="E13">
        <v>-4.2416299999999998</v>
      </c>
      <c r="F13">
        <v>-714.66654358999995</v>
      </c>
      <c r="G13">
        <v>-3.2260599999999999</v>
      </c>
      <c r="H13">
        <v>-696.77590710000004</v>
      </c>
      <c r="I13">
        <v>-4.1752399999999996</v>
      </c>
      <c r="J13">
        <v>-716.07246215999896</v>
      </c>
      <c r="K13">
        <v>-3.2526600000000001</v>
      </c>
      <c r="L13">
        <v>-434.49953099999999</v>
      </c>
      <c r="M13">
        <v>-4.8150599999999999</v>
      </c>
      <c r="N13">
        <v>-468.98386051</v>
      </c>
      <c r="O13">
        <v>-4.3236599999999896</v>
      </c>
    </row>
    <row r="15" spans="2:17" x14ac:dyDescent="0.2">
      <c r="B15" t="s">
        <v>14</v>
      </c>
      <c r="D15" t="s">
        <v>16</v>
      </c>
      <c r="E15" t="s">
        <v>15</v>
      </c>
      <c r="F15">
        <v>1</v>
      </c>
      <c r="G15">
        <v>2</v>
      </c>
      <c r="H15">
        <v>3</v>
      </c>
      <c r="I15">
        <v>4</v>
      </c>
      <c r="J15">
        <v>5</v>
      </c>
      <c r="K15">
        <v>6</v>
      </c>
      <c r="L15">
        <v>7</v>
      </c>
      <c r="M15" t="s">
        <v>1</v>
      </c>
      <c r="N15" t="s">
        <v>3</v>
      </c>
      <c r="O15" t="s">
        <v>6</v>
      </c>
    </row>
    <row r="16" spans="2:17" x14ac:dyDescent="0.2">
      <c r="B16">
        <v>3902.41</v>
      </c>
      <c r="C16">
        <v>0.8</v>
      </c>
      <c r="D16" s="1">
        <f>B16*(10^-24)</f>
        <v>3.9024100000000003E-21</v>
      </c>
      <c r="E16" s="2">
        <f>C$30/D16</f>
        <v>1.8084865492570361</v>
      </c>
      <c r="F16">
        <v>21.058890000000002</v>
      </c>
      <c r="G16">
        <v>14.68634</v>
      </c>
      <c r="H16">
        <v>22.429690000000001</v>
      </c>
      <c r="I16">
        <v>8.2621199999999995</v>
      </c>
      <c r="J16">
        <v>22.120439999999999</v>
      </c>
      <c r="K16">
        <v>32.177750000000003</v>
      </c>
      <c r="L16">
        <v>16.30481</v>
      </c>
    </row>
    <row r="17" spans="2:15" x14ac:dyDescent="0.2">
      <c r="B17">
        <f>B$7*(C17/C$7)^3</f>
        <v>4279.8128713989227</v>
      </c>
      <c r="C17">
        <v>0.82499999999999996</v>
      </c>
      <c r="D17" s="1">
        <f t="shared" ref="D17:D19" si="1">B17*(10^-24)</f>
        <v>4.2798128713989228E-21</v>
      </c>
      <c r="E17" s="2">
        <f t="shared" ref="E17:E19" si="2">C$30/D17</f>
        <v>1.6490104139481483</v>
      </c>
      <c r="F17">
        <v>7.50579999999999</v>
      </c>
      <c r="G17">
        <v>4.1293100000000003</v>
      </c>
      <c r="H17">
        <v>6.8753300000000097</v>
      </c>
      <c r="I17">
        <v>2.69000000000006E-3</v>
      </c>
      <c r="J17">
        <v>7.5379500000000004</v>
      </c>
      <c r="K17">
        <v>16.05697</v>
      </c>
      <c r="L17">
        <v>3.4436500000000101</v>
      </c>
      <c r="M17">
        <f>(E17-E18)/(F17-F18)*(0-F18)+E18</f>
        <v>1.5132928157375203</v>
      </c>
      <c r="N17">
        <f>(E17-E18)/(H17-H18)*(0-H18)+E18</f>
        <v>1.532375522761388</v>
      </c>
      <c r="O17">
        <f>(E18-E19)/(K18-K19)*(0-K19)+E19</f>
        <v>1.4012692011498877</v>
      </c>
    </row>
    <row r="18" spans="2:15" x14ac:dyDescent="0.2">
      <c r="B18">
        <f>B$7*(C18/C$7)^3</f>
        <v>4680.7959790039058</v>
      </c>
      <c r="C18">
        <v>0.85</v>
      </c>
      <c r="D18" s="1">
        <f t="shared" si="1"/>
        <v>4.6807959790039067E-21</v>
      </c>
      <c r="E18" s="2">
        <f t="shared" si="2"/>
        <v>1.5077469785786322</v>
      </c>
      <c r="F18">
        <v>-0.30670999999999998</v>
      </c>
      <c r="G18">
        <v>-3.03376</v>
      </c>
      <c r="H18">
        <v>-1.4517899999999999</v>
      </c>
      <c r="I18">
        <v>-5.9531200000000002</v>
      </c>
      <c r="J18">
        <v>-0.26224999999999998</v>
      </c>
      <c r="K18">
        <v>4.5894300000000099</v>
      </c>
      <c r="L18">
        <v>-3.7404099999999998</v>
      </c>
    </row>
    <row r="19" spans="2:15" x14ac:dyDescent="0.2">
      <c r="B19">
        <f>B$7*(C19/C$7)^3</f>
        <v>5106.0738754272461</v>
      </c>
      <c r="C19">
        <v>0.875</v>
      </c>
      <c r="D19" s="1">
        <f t="shared" si="1"/>
        <v>5.1060738754272464E-21</v>
      </c>
      <c r="E19" s="2">
        <f t="shared" si="2"/>
        <v>1.3821687987417972</v>
      </c>
      <c r="F19">
        <v>-4.7423700000000002</v>
      </c>
      <c r="G19">
        <v>-7.0232299999999999</v>
      </c>
      <c r="H19">
        <v>-6.1831800000000099</v>
      </c>
      <c r="I19">
        <v>-8.1910699999999892</v>
      </c>
      <c r="J19">
        <v>-5.4168399999999997</v>
      </c>
      <c r="K19">
        <v>-0.82327000000000095</v>
      </c>
    </row>
    <row r="20" spans="2:15" x14ac:dyDescent="0.2">
      <c r="B20">
        <f t="shared" ref="B20:B21" si="3">B$7*(C20/C$7)^3</f>
        <v>5556.3611132812493</v>
      </c>
      <c r="C20">
        <v>0.9</v>
      </c>
      <c r="D20" s="1">
        <f>B20*(10^-24)</f>
        <v>5.5563611132812501E-21</v>
      </c>
      <c r="E20" s="2">
        <f>C$30/D20</f>
        <v>1.2701579056510324</v>
      </c>
      <c r="F20">
        <v>-5.5394100000000099</v>
      </c>
      <c r="G20">
        <v>-6.7126800000000104</v>
      </c>
      <c r="H20">
        <v>-8.0371600000000001</v>
      </c>
      <c r="I20">
        <v>-9.1352099999999901</v>
      </c>
      <c r="J20">
        <v>-6.87357</v>
      </c>
      <c r="K20">
        <v>-4.6469100000000001</v>
      </c>
    </row>
    <row r="21" spans="2:15" x14ac:dyDescent="0.2">
      <c r="B21">
        <f t="shared" si="3"/>
        <v>6534.8218237304654</v>
      </c>
      <c r="C21">
        <v>0.95</v>
      </c>
      <c r="D21" s="1">
        <f>B21*(10^-24)</f>
        <v>6.5348218237304659E-21</v>
      </c>
      <c r="E21" s="2">
        <f>C$30/D21</f>
        <v>1.0799768050381722</v>
      </c>
      <c r="F21">
        <v>-5.7941099999999999</v>
      </c>
      <c r="H21">
        <v>-4.9742400000000098</v>
      </c>
      <c r="I21">
        <v>-4.8664600000000098</v>
      </c>
      <c r="J21">
        <v>-5.9878900000000002</v>
      </c>
      <c r="K21">
        <v>-7.0507199999999903</v>
      </c>
    </row>
    <row r="22" spans="2:15" x14ac:dyDescent="0.2">
      <c r="B22">
        <f t="shared" ref="B22" si="4">B$7*(C22/C$7)^3</f>
        <v>7621.89453125</v>
      </c>
      <c r="C22">
        <v>1</v>
      </c>
      <c r="D22" s="1">
        <f>B22*(10^-24)</f>
        <v>7.6218945312500012E-21</v>
      </c>
      <c r="E22" s="2">
        <f>C$30/D22</f>
        <v>0.92594511321960238</v>
      </c>
      <c r="F22">
        <v>-4.2416299999999998</v>
      </c>
      <c r="G22">
        <v>-3.2260599999999999</v>
      </c>
      <c r="H22">
        <v>-4.1752399999999996</v>
      </c>
      <c r="I22">
        <v>-3.2526600000000001</v>
      </c>
      <c r="J22">
        <v>-4.8150599999999999</v>
      </c>
      <c r="K22">
        <v>-4.3236599999999896</v>
      </c>
    </row>
    <row r="23" spans="2:15" x14ac:dyDescent="0.2">
      <c r="L23" t="s">
        <v>24</v>
      </c>
      <c r="M23">
        <f>ABS(M17-$H$2)/$H$2</f>
        <v>4.2643527447650723E-2</v>
      </c>
      <c r="N23">
        <f>ABS(N17-$H$2)/$H$2</f>
        <v>5.5791320629315126E-2</v>
      </c>
      <c r="O23">
        <f t="shared" ref="O23" si="5">ABS(O17-$H$2)/$H$2</f>
        <v>3.4539616129331881E-2</v>
      </c>
    </row>
    <row r="24" spans="2:15" x14ac:dyDescent="0.2">
      <c r="L24" t="s">
        <v>42</v>
      </c>
      <c r="M24">
        <f>(M17-$H2)^2</f>
        <v>3.8307206399186351E-3</v>
      </c>
      <c r="N24">
        <f t="shared" ref="N24" si="6">(N17-$H2)^2</f>
        <v>6.557035286480062E-3</v>
      </c>
      <c r="O24">
        <f>(O17-$H2)^2</f>
        <v>2.5130969933504195E-3</v>
      </c>
    </row>
    <row r="25" spans="2:15" x14ac:dyDescent="0.2">
      <c r="B25" t="s">
        <v>20</v>
      </c>
    </row>
    <row r="26" spans="2:15" x14ac:dyDescent="0.2">
      <c r="B26">
        <v>42.5</v>
      </c>
      <c r="C26" t="s">
        <v>10</v>
      </c>
    </row>
    <row r="28" spans="2:15" x14ac:dyDescent="0.2">
      <c r="B28" t="s">
        <v>11</v>
      </c>
    </row>
    <row r="29" spans="2:15" x14ac:dyDescent="0.2">
      <c r="B29" t="s">
        <v>12</v>
      </c>
      <c r="C29">
        <f>100/(6.022E+23)</f>
        <v>1.6605778811026237E-22</v>
      </c>
    </row>
    <row r="30" spans="2:15" x14ac:dyDescent="0.2">
      <c r="B30" t="s">
        <v>13</v>
      </c>
      <c r="C30">
        <f>C29*B26</f>
        <v>7.0574559946861507E-21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28592-7DE7-E94B-9142-77EF6FC97C10}">
  <dimension ref="B2:Q26"/>
  <sheetViews>
    <sheetView tabSelected="1" topLeftCell="A4" workbookViewId="0">
      <selection activeCell="L26" sqref="L26"/>
    </sheetView>
  </sheetViews>
  <sheetFormatPr baseColWidth="10" defaultRowHeight="16" x14ac:dyDescent="0.2"/>
  <cols>
    <col min="13" max="13" width="12.1640625" bestFit="1" customWidth="1"/>
  </cols>
  <sheetData>
    <row r="2" spans="2:17" x14ac:dyDescent="0.2">
      <c r="E2" t="s">
        <v>22</v>
      </c>
      <c r="H2">
        <v>1.5528</v>
      </c>
      <c r="I2" t="s">
        <v>9</v>
      </c>
      <c r="J2">
        <v>0</v>
      </c>
    </row>
    <row r="4" spans="2:17" x14ac:dyDescent="0.2">
      <c r="D4">
        <v>1</v>
      </c>
      <c r="F4">
        <v>2</v>
      </c>
      <c r="H4">
        <v>3</v>
      </c>
      <c r="J4">
        <v>4</v>
      </c>
      <c r="L4">
        <v>5</v>
      </c>
      <c r="N4">
        <v>6</v>
      </c>
      <c r="P4">
        <v>7</v>
      </c>
    </row>
    <row r="5" spans="2:17" x14ac:dyDescent="0.2">
      <c r="D5" t="s">
        <v>1</v>
      </c>
      <c r="F5" t="s">
        <v>2</v>
      </c>
      <c r="H5" t="s">
        <v>3</v>
      </c>
      <c r="J5" t="s">
        <v>4</v>
      </c>
      <c r="L5" t="s">
        <v>5</v>
      </c>
      <c r="N5" t="s">
        <v>6</v>
      </c>
      <c r="P5" t="s">
        <v>7</v>
      </c>
    </row>
    <row r="7" spans="2:17" x14ac:dyDescent="0.2">
      <c r="B7">
        <v>6859.28</v>
      </c>
      <c r="C7">
        <v>0.95</v>
      </c>
      <c r="D7">
        <v>-670.32144209000001</v>
      </c>
      <c r="E7">
        <v>9.7264999999999908</v>
      </c>
      <c r="F7">
        <v>-669.11192367000001</v>
      </c>
      <c r="G7">
        <v>7.8496400000000097</v>
      </c>
      <c r="H7">
        <v>-672.47260337999899</v>
      </c>
      <c r="I7">
        <v>13.185129999999999</v>
      </c>
      <c r="J7">
        <v>-667.50607894999996</v>
      </c>
      <c r="K7">
        <v>9.1822100000000102</v>
      </c>
      <c r="L7">
        <v>-259.06159517999998</v>
      </c>
      <c r="M7">
        <v>5.80755</v>
      </c>
      <c r="N7">
        <v>-295.44289789999999</v>
      </c>
      <c r="O7">
        <v>12.2089</v>
      </c>
      <c r="P7">
        <v>-1357.1848849902501</v>
      </c>
      <c r="Q7">
        <v>-6.7381871345029198</v>
      </c>
    </row>
    <row r="8" spans="2:17" x14ac:dyDescent="0.2">
      <c r="B8">
        <f>B$7*(C8/C$7)^3</f>
        <v>7415.1776920833954</v>
      </c>
      <c r="C8">
        <v>0.97499999999999998</v>
      </c>
      <c r="D8">
        <v>-667.12697349000098</v>
      </c>
      <c r="E8">
        <v>4.3189299999999999</v>
      </c>
      <c r="F8">
        <v>-665.89718455000002</v>
      </c>
      <c r="G8">
        <v>2.80742</v>
      </c>
      <c r="H8">
        <v>-672.88677007000001</v>
      </c>
      <c r="I8">
        <v>5.52738</v>
      </c>
      <c r="J8">
        <v>-665.51142714000002</v>
      </c>
      <c r="K8">
        <v>3.11144</v>
      </c>
      <c r="L8">
        <v>-255.04494187</v>
      </c>
      <c r="M8">
        <v>1.0228200000000001</v>
      </c>
      <c r="N8">
        <v>-292.75451432</v>
      </c>
      <c r="O8">
        <v>5.1065100000000001</v>
      </c>
      <c r="P8">
        <v>-1358.39866690947</v>
      </c>
      <c r="Q8">
        <v>-4.5116129032258003</v>
      </c>
    </row>
    <row r="9" spans="2:17" x14ac:dyDescent="0.2">
      <c r="B9">
        <f t="shared" ref="B9:B11" si="0">B$7*(C9/C$7)^3</f>
        <v>8000.3265782183971</v>
      </c>
      <c r="C9">
        <v>1</v>
      </c>
      <c r="D9">
        <v>-662.99217027999998</v>
      </c>
      <c r="E9">
        <v>-0.23308000000000001</v>
      </c>
      <c r="F9">
        <v>-661.98737832999996</v>
      </c>
      <c r="G9">
        <v>-1.7296499999999999</v>
      </c>
      <c r="H9">
        <v>-668.23495621999905</v>
      </c>
      <c r="I9">
        <v>0.27906000000000097</v>
      </c>
      <c r="J9">
        <v>-660.99577840999996</v>
      </c>
      <c r="K9">
        <v>-0.57947000000000004</v>
      </c>
      <c r="L9">
        <v>-250.66425684000001</v>
      </c>
      <c r="M9">
        <v>-2.0065600000000101</v>
      </c>
      <c r="N9">
        <v>-289.32430657999998</v>
      </c>
      <c r="O9">
        <v>1.0289200000000001</v>
      </c>
      <c r="P9">
        <v>-1356.1210509434</v>
      </c>
      <c r="Q9">
        <v>-4.5566037735849001</v>
      </c>
    </row>
    <row r="10" spans="2:17" x14ac:dyDescent="0.2">
      <c r="B10">
        <f t="shared" si="0"/>
        <v>8615.4766890217234</v>
      </c>
      <c r="C10">
        <v>1.0249999999999999</v>
      </c>
      <c r="D10">
        <v>-659.17671314000097</v>
      </c>
      <c r="E10">
        <v>-2.88155000000001</v>
      </c>
      <c r="F10">
        <v>-658.04818545000001</v>
      </c>
      <c r="G10">
        <v>-3.1849400000000001</v>
      </c>
      <c r="H10">
        <v>-664.16667929000005</v>
      </c>
      <c r="I10">
        <v>-1.9245000000000001</v>
      </c>
      <c r="J10">
        <v>-656.47790212999996</v>
      </c>
      <c r="K10">
        <v>-3.05185</v>
      </c>
      <c r="L10">
        <v>-245.43397174</v>
      </c>
      <c r="M10">
        <v>-2.8543599999999998</v>
      </c>
      <c r="N10">
        <v>-285.35538973000001</v>
      </c>
      <c r="O10">
        <v>-1.5584</v>
      </c>
      <c r="P10">
        <v>-1354.12545927835</v>
      </c>
      <c r="Q10">
        <v>-4.8465335051546399</v>
      </c>
    </row>
    <row r="11" spans="2:17" x14ac:dyDescent="0.2">
      <c r="B11">
        <f t="shared" si="0"/>
        <v>9261.3780551100772</v>
      </c>
      <c r="C11">
        <v>1.05</v>
      </c>
      <c r="D11">
        <v>-653.93129022000005</v>
      </c>
      <c r="E11">
        <v>-3.9641199999999999</v>
      </c>
      <c r="F11">
        <v>-653.26517492999994</v>
      </c>
      <c r="G11">
        <v>-3.62249</v>
      </c>
      <c r="H11">
        <v>-656.40456096000105</v>
      </c>
      <c r="I11">
        <v>-3.42116</v>
      </c>
      <c r="J11">
        <v>-652.14826897</v>
      </c>
      <c r="K11">
        <v>-4.1547900000000002</v>
      </c>
      <c r="L11">
        <v>-241.58149175</v>
      </c>
      <c r="M11">
        <v>-4.5430099999999998</v>
      </c>
      <c r="N11">
        <v>-281.26951840999999</v>
      </c>
      <c r="O11">
        <v>-3.1027399999999998</v>
      </c>
    </row>
    <row r="13" spans="2:17" x14ac:dyDescent="0.2">
      <c r="B13" t="s">
        <v>14</v>
      </c>
      <c r="D13" t="s">
        <v>16</v>
      </c>
      <c r="E13" t="s">
        <v>15</v>
      </c>
      <c r="F13">
        <v>1</v>
      </c>
      <c r="G13">
        <v>2</v>
      </c>
      <c r="H13">
        <v>3</v>
      </c>
      <c r="I13">
        <v>4</v>
      </c>
      <c r="J13">
        <v>5</v>
      </c>
      <c r="K13">
        <v>6</v>
      </c>
      <c r="L13">
        <v>7</v>
      </c>
      <c r="M13" t="s">
        <v>1</v>
      </c>
      <c r="N13" t="s">
        <v>3</v>
      </c>
      <c r="O13" t="s">
        <v>6</v>
      </c>
    </row>
    <row r="14" spans="2:17" x14ac:dyDescent="0.2">
      <c r="B14">
        <v>6859.28</v>
      </c>
      <c r="C14">
        <v>0.95</v>
      </c>
      <c r="D14" s="1">
        <f>B14*(10^-24)</f>
        <v>6.8592800000000002E-21</v>
      </c>
      <c r="E14" s="2">
        <f>C$26/D14</f>
        <v>1.8035865592619846</v>
      </c>
      <c r="F14">
        <v>9.7264999999999908</v>
      </c>
      <c r="G14">
        <v>7.8496400000000097</v>
      </c>
      <c r="H14">
        <v>13.185129999999999</v>
      </c>
      <c r="I14">
        <v>9.1822100000000102</v>
      </c>
      <c r="J14">
        <v>5.80755</v>
      </c>
      <c r="K14">
        <v>12.2089</v>
      </c>
      <c r="L14">
        <v>-4.5</v>
      </c>
    </row>
    <row r="15" spans="2:17" x14ac:dyDescent="0.2">
      <c r="B15">
        <f>B$7*(C15/C$7)^3</f>
        <v>7415.1776920833954</v>
      </c>
      <c r="C15">
        <v>0.97499999999999998</v>
      </c>
      <c r="D15" s="1">
        <f>B15*(10^-24)</f>
        <v>7.4151776920833956E-21</v>
      </c>
      <c r="E15" s="2">
        <f>C$26/D15</f>
        <v>1.6683760966945431</v>
      </c>
      <c r="F15">
        <v>4.3189299999999999</v>
      </c>
      <c r="G15">
        <v>2.80742</v>
      </c>
      <c r="H15">
        <v>5.52738</v>
      </c>
      <c r="I15">
        <v>3.11144</v>
      </c>
      <c r="J15">
        <v>1.0228200000000001</v>
      </c>
      <c r="K15">
        <v>5.1065100000000001</v>
      </c>
      <c r="L15">
        <v>-4.5116129032258003</v>
      </c>
      <c r="M15">
        <f>(E15-E16)/(F15-F16)*(0-F16)+E16</f>
        <v>1.5525982191334322</v>
      </c>
      <c r="N15">
        <f>(E16-E17)/(H16-H17)*(0-H17)+E17</f>
        <v>1.5323676072984078</v>
      </c>
      <c r="O15">
        <f>(E16-E17)/(K16-K17)*(0-K17)+E17</f>
        <v>1.5024422882189976</v>
      </c>
    </row>
    <row r="16" spans="2:17" x14ac:dyDescent="0.2">
      <c r="B16">
        <f t="shared" ref="B16:B18" si="1">B$7*(C16/C$7)^3</f>
        <v>8000.3265782183971</v>
      </c>
      <c r="C16">
        <v>1</v>
      </c>
      <c r="D16" s="1">
        <f>B16*(10^-24)</f>
        <v>8.0003265782183986E-21</v>
      </c>
      <c r="E16" s="2">
        <f>C$26/D16</f>
        <v>1.5463500262472443</v>
      </c>
      <c r="F16">
        <v>-0.23308000000000001</v>
      </c>
      <c r="G16">
        <v>-1.7296499999999999</v>
      </c>
      <c r="H16">
        <v>0.27906000000000097</v>
      </c>
      <c r="I16">
        <v>-0.57947000000000004</v>
      </c>
      <c r="J16">
        <v>-2.0065600000000101</v>
      </c>
      <c r="K16">
        <v>1.0289200000000001</v>
      </c>
      <c r="L16">
        <v>-4.5566037735849001</v>
      </c>
    </row>
    <row r="17" spans="2:15" x14ac:dyDescent="0.2">
      <c r="B17">
        <f t="shared" si="1"/>
        <v>8615.4766890217234</v>
      </c>
      <c r="C17">
        <v>1.0249999999999999</v>
      </c>
      <c r="D17" s="1">
        <f>B17*(10^-24)</f>
        <v>8.6154766890217247E-21</v>
      </c>
      <c r="E17" s="2">
        <f>C$26/D17</f>
        <v>1.4359397234489286</v>
      </c>
      <c r="F17">
        <v>-2.88155000000001</v>
      </c>
      <c r="G17">
        <v>-3.1849400000000001</v>
      </c>
      <c r="H17">
        <v>-1.9245000000000001</v>
      </c>
      <c r="I17">
        <v>-3.05185</v>
      </c>
      <c r="J17">
        <v>-2.8543599999999998</v>
      </c>
      <c r="K17">
        <v>-1.5584</v>
      </c>
      <c r="L17">
        <v>-4.8465335051546399</v>
      </c>
    </row>
    <row r="18" spans="2:15" x14ac:dyDescent="0.2">
      <c r="B18">
        <f t="shared" si="1"/>
        <v>9261.3780551100772</v>
      </c>
      <c r="C18">
        <v>1.05</v>
      </c>
      <c r="D18" s="1">
        <f>B18*(10^-24)</f>
        <v>9.2613780551100787E-21</v>
      </c>
      <c r="E18" s="2">
        <f>C$26/D18</f>
        <v>1.3357952931625037</v>
      </c>
      <c r="F18">
        <v>-3.9641199999999999</v>
      </c>
      <c r="G18">
        <v>-3.62249</v>
      </c>
      <c r="H18">
        <v>-3.42116</v>
      </c>
      <c r="I18">
        <v>-4.1547900000000002</v>
      </c>
      <c r="J18">
        <v>-4.5430099999999998</v>
      </c>
      <c r="K18">
        <v>-3.1027399999999998</v>
      </c>
      <c r="L18">
        <v>-4.5</v>
      </c>
    </row>
    <row r="21" spans="2:15" x14ac:dyDescent="0.2">
      <c r="B21" t="s">
        <v>19</v>
      </c>
      <c r="L21" t="s">
        <v>24</v>
      </c>
      <c r="M21">
        <f>(M15-$H$2)/$H$2</f>
        <v>-1.2994646224094973E-4</v>
      </c>
      <c r="N21">
        <f t="shared" ref="N21" si="2">(N15-$H$2)/$H$2</f>
        <v>-1.31584187928852E-2</v>
      </c>
      <c r="O21">
        <f>(O15-$H$2)/$H$2</f>
        <v>-3.243026261012516E-2</v>
      </c>
    </row>
    <row r="22" spans="2:15" x14ac:dyDescent="0.2">
      <c r="B22">
        <v>74.5</v>
      </c>
      <c r="C22" t="s">
        <v>10</v>
      </c>
      <c r="L22" t="s">
        <v>42</v>
      </c>
      <c r="M22">
        <f>(M15-$H$2)^2</f>
        <v>4.0715518112830814E-8</v>
      </c>
      <c r="N22">
        <f t="shared" ref="N22:O22" si="3">(N15-$H$2)^2</f>
        <v>4.1748267151207571E-4</v>
      </c>
      <c r="O22">
        <f t="shared" si="3"/>
        <v>2.5358991358185026E-3</v>
      </c>
    </row>
    <row r="24" spans="2:15" x14ac:dyDescent="0.2">
      <c r="B24" t="s">
        <v>11</v>
      </c>
    </row>
    <row r="25" spans="2:15" x14ac:dyDescent="0.2">
      <c r="B25" t="s">
        <v>12</v>
      </c>
      <c r="C25">
        <f>100/(6.022E+23)</f>
        <v>1.6605778811026237E-22</v>
      </c>
    </row>
    <row r="26" spans="2:15" x14ac:dyDescent="0.2">
      <c r="B26" t="s">
        <v>13</v>
      </c>
      <c r="C26">
        <f>C25*B22</f>
        <v>1.2371305214214546E-20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E1078-BB28-E94A-88AD-80661260F540}">
  <dimension ref="B2:P26"/>
  <sheetViews>
    <sheetView workbookViewId="0">
      <selection activeCell="K16" sqref="K16"/>
    </sheetView>
  </sheetViews>
  <sheetFormatPr baseColWidth="10" defaultRowHeight="16" x14ac:dyDescent="0.2"/>
  <sheetData>
    <row r="2" spans="2:16" x14ac:dyDescent="0.2">
      <c r="B2" t="s">
        <v>17</v>
      </c>
      <c r="E2" t="s">
        <v>23</v>
      </c>
      <c r="H2">
        <v>1.4798200000000001</v>
      </c>
      <c r="I2" t="s">
        <v>9</v>
      </c>
      <c r="J2">
        <v>0</v>
      </c>
    </row>
    <row r="3" spans="2:16" x14ac:dyDescent="0.2">
      <c r="B3" t="s">
        <v>18</v>
      </c>
    </row>
    <row r="4" spans="2:16" x14ac:dyDescent="0.2">
      <c r="D4">
        <v>1</v>
      </c>
      <c r="F4">
        <v>2</v>
      </c>
      <c r="H4">
        <v>3</v>
      </c>
      <c r="J4">
        <v>4</v>
      </c>
      <c r="L4">
        <v>5</v>
      </c>
      <c r="N4">
        <v>6</v>
      </c>
      <c r="P4">
        <v>7</v>
      </c>
    </row>
    <row r="5" spans="2:16" x14ac:dyDescent="0.2">
      <c r="D5" t="s">
        <v>1</v>
      </c>
      <c r="F5" t="s">
        <v>2</v>
      </c>
      <c r="H5" t="s">
        <v>3</v>
      </c>
      <c r="J5" t="s">
        <v>4</v>
      </c>
      <c r="L5" t="s">
        <v>5</v>
      </c>
      <c r="N5" t="s">
        <v>6</v>
      </c>
      <c r="P5" t="s">
        <v>7</v>
      </c>
    </row>
    <row r="7" spans="2:16" x14ac:dyDescent="0.2">
      <c r="B7">
        <v>4579.1099999999997</v>
      </c>
      <c r="C7">
        <v>0.95</v>
      </c>
      <c r="D7">
        <v>-718.77785091999999</v>
      </c>
      <c r="E7">
        <v>14.38705</v>
      </c>
      <c r="F7">
        <v>-725.43828119</v>
      </c>
      <c r="G7">
        <v>11.09365</v>
      </c>
      <c r="H7">
        <v>-713.97214240999995</v>
      </c>
      <c r="I7">
        <v>15.599460000000001</v>
      </c>
      <c r="J7">
        <v>-727.83045852999999</v>
      </c>
      <c r="K7">
        <v>7.1249200000000101</v>
      </c>
      <c r="L7">
        <v>-420.88164594</v>
      </c>
      <c r="M7">
        <v>13.167490000000001</v>
      </c>
      <c r="N7">
        <v>-453.26745582000001</v>
      </c>
      <c r="O7">
        <v>20.89133</v>
      </c>
    </row>
    <row r="8" spans="2:16" x14ac:dyDescent="0.2">
      <c r="B8">
        <f>B$7*(C8/C$7)^3</f>
        <v>4950.2155213952483</v>
      </c>
      <c r="C8">
        <v>0.97499999999999998</v>
      </c>
      <c r="D8">
        <v>-716.32333463999896</v>
      </c>
      <c r="E8">
        <v>5.5005899999999999</v>
      </c>
      <c r="F8">
        <v>-722.18632728</v>
      </c>
      <c r="G8">
        <v>2.9171399999999998</v>
      </c>
      <c r="H8">
        <v>-712.08471471999906</v>
      </c>
      <c r="I8">
        <v>5.2373500000000002</v>
      </c>
      <c r="J8">
        <v>-724.15790947000005</v>
      </c>
      <c r="K8">
        <v>-0.71527000000000096</v>
      </c>
      <c r="L8">
        <v>-417.91067271999998</v>
      </c>
      <c r="M8">
        <v>3.7972800000000002</v>
      </c>
      <c r="N8">
        <v>-450.96192189999999</v>
      </c>
      <c r="O8">
        <v>10.430389999999999</v>
      </c>
    </row>
    <row r="9" spans="2:16" x14ac:dyDescent="0.2">
      <c r="B9">
        <f t="shared" ref="B9:B11" si="0">B$7*(C9/C$7)^3</f>
        <v>5340.8485201924459</v>
      </c>
      <c r="C9">
        <v>1</v>
      </c>
      <c r="D9">
        <v>-712.92826187000003</v>
      </c>
      <c r="E9">
        <v>2.12299999999997E-2</v>
      </c>
      <c r="F9">
        <v>-718.48906674999898</v>
      </c>
      <c r="G9">
        <v>-1.6697599999999999</v>
      </c>
      <c r="H9">
        <v>-265.19005664999997</v>
      </c>
      <c r="I9">
        <v>-0.20551</v>
      </c>
      <c r="J9">
        <v>-719.42687764000095</v>
      </c>
      <c r="K9">
        <v>-4.3588300000000002</v>
      </c>
      <c r="L9">
        <v>-414.12990402000003</v>
      </c>
      <c r="M9">
        <v>-1.40364</v>
      </c>
      <c r="N9">
        <v>-449.38302031000097</v>
      </c>
      <c r="O9">
        <v>3.5325500000000001</v>
      </c>
    </row>
    <row r="10" spans="2:16" x14ac:dyDescent="0.2">
      <c r="B10">
        <f t="shared" si="0"/>
        <v>5751.5097009403707</v>
      </c>
      <c r="C10">
        <v>1.0249999999999999</v>
      </c>
      <c r="D10">
        <v>-710.36494717999994</v>
      </c>
      <c r="E10">
        <v>-3.4059199999999898</v>
      </c>
      <c r="F10">
        <v>-715.80912063999904</v>
      </c>
      <c r="G10">
        <v>-4.6484399999999999</v>
      </c>
      <c r="H10">
        <v>-704.42946769000002</v>
      </c>
      <c r="I10">
        <v>-4.2726100000000002</v>
      </c>
      <c r="J10">
        <v>-715.00871924</v>
      </c>
      <c r="K10">
        <v>-6.9592700000000001</v>
      </c>
      <c r="L10">
        <v>-410.87286889000001</v>
      </c>
      <c r="M10">
        <v>-4.6231999999999998</v>
      </c>
      <c r="N10">
        <v>-446.07152489999999</v>
      </c>
      <c r="O10">
        <v>-1.6943699999999999</v>
      </c>
    </row>
    <row r="11" spans="2:16" x14ac:dyDescent="0.2">
      <c r="B11">
        <f t="shared" si="0"/>
        <v>6182.6997681877838</v>
      </c>
      <c r="C11">
        <v>1.05</v>
      </c>
      <c r="D11">
        <v>-706.34773871999903</v>
      </c>
      <c r="E11">
        <v>-4.6685999999999996</v>
      </c>
      <c r="F11">
        <v>-712.00600851000002</v>
      </c>
      <c r="G11">
        <v>-4.8282299999999996</v>
      </c>
      <c r="H11">
        <v>-700.03085542999895</v>
      </c>
      <c r="I11">
        <v>-6.1090600000000004</v>
      </c>
      <c r="J11">
        <v>-710.61830624000004</v>
      </c>
      <c r="K11">
        <v>-7.8506999999999998</v>
      </c>
      <c r="L11">
        <v>-406.83719517999998</v>
      </c>
      <c r="M11">
        <v>-5.21966000000001</v>
      </c>
      <c r="N11">
        <v>-441.74812100000003</v>
      </c>
      <c r="O11">
        <v>-4.3099699999999999</v>
      </c>
    </row>
    <row r="13" spans="2:16" x14ac:dyDescent="0.2">
      <c r="B13" t="s">
        <v>14</v>
      </c>
      <c r="D13" t="s">
        <v>16</v>
      </c>
      <c r="E13" t="s">
        <v>15</v>
      </c>
      <c r="F13">
        <v>1</v>
      </c>
      <c r="G13">
        <v>2</v>
      </c>
      <c r="H13">
        <v>3</v>
      </c>
      <c r="I13">
        <v>4</v>
      </c>
      <c r="J13">
        <v>5</v>
      </c>
      <c r="K13">
        <v>6</v>
      </c>
      <c r="L13">
        <v>7</v>
      </c>
      <c r="M13" t="s">
        <v>1</v>
      </c>
      <c r="N13" t="s">
        <v>3</v>
      </c>
      <c r="O13" t="s">
        <v>6</v>
      </c>
    </row>
    <row r="14" spans="2:16" x14ac:dyDescent="0.2">
      <c r="B14">
        <v>4579.1099999999997</v>
      </c>
      <c r="C14">
        <v>0.95</v>
      </c>
      <c r="D14" s="1">
        <f>B14*(10^-24)</f>
        <v>4.5791099999999999E-21</v>
      </c>
      <c r="E14" s="2">
        <f>C$26/D14</f>
        <v>1.7733196709823154</v>
      </c>
      <c r="F14">
        <v>14.38705</v>
      </c>
      <c r="G14">
        <v>11.09365</v>
      </c>
      <c r="H14">
        <v>15.599460000000001</v>
      </c>
      <c r="I14">
        <v>7.1249200000000101</v>
      </c>
      <c r="J14">
        <v>13.167490000000001</v>
      </c>
      <c r="K14">
        <v>20.89133</v>
      </c>
    </row>
    <row r="15" spans="2:16" x14ac:dyDescent="0.2">
      <c r="B15">
        <f>B$7*(C15/C$7)^3</f>
        <v>4950.2155213952483</v>
      </c>
      <c r="C15">
        <v>0.97499999999999998</v>
      </c>
      <c r="D15" s="1">
        <f>B15*(10^-24)</f>
        <v>4.9502155213952489E-21</v>
      </c>
      <c r="E15" s="2">
        <f>C$26/D15</f>
        <v>1.640378242825091</v>
      </c>
      <c r="F15">
        <v>5.5005899999999999</v>
      </c>
      <c r="G15">
        <v>2.9171399999999998</v>
      </c>
      <c r="H15">
        <v>5.2373500000000002</v>
      </c>
      <c r="I15">
        <v>-0.71527000000000096</v>
      </c>
      <c r="J15">
        <v>3.7972800000000002</v>
      </c>
      <c r="K15">
        <v>10.430389999999999</v>
      </c>
      <c r="M15">
        <f>(E16-E17)/(F16-F17)*(0-F17)+E17</f>
        <v>1.5197274773203495</v>
      </c>
      <c r="N15">
        <f>(E15-E16)/(H15-H16)*(0-H16)+E16</f>
        <v>1.5249300599405686</v>
      </c>
      <c r="O15">
        <f>(E16-E17)/(K16-K17)*(0-K17)+E17</f>
        <v>1.4470327255480024</v>
      </c>
    </row>
    <row r="16" spans="2:16" x14ac:dyDescent="0.2">
      <c r="B16">
        <f t="shared" ref="B16:B18" si="1">B$7*(C16/C$7)^3</f>
        <v>5340.8485201924459</v>
      </c>
      <c r="C16">
        <v>1</v>
      </c>
      <c r="D16" s="1">
        <f>B16*(10^-24)</f>
        <v>5.3408485201924462E-21</v>
      </c>
      <c r="E16" s="2">
        <f>C$26/D16</f>
        <v>1.5203999529084631</v>
      </c>
      <c r="F16">
        <v>2.12299999999997E-2</v>
      </c>
      <c r="G16">
        <v>-1.6697599999999999</v>
      </c>
      <c r="H16">
        <v>-0.20551</v>
      </c>
      <c r="I16">
        <v>-4.3588300000000002</v>
      </c>
      <c r="J16">
        <v>-1.40364</v>
      </c>
      <c r="K16">
        <v>3.5325500000000001</v>
      </c>
    </row>
    <row r="17" spans="2:15" x14ac:dyDescent="0.2">
      <c r="B17">
        <f t="shared" si="1"/>
        <v>5751.5097009403707</v>
      </c>
      <c r="C17">
        <v>1.0249999999999999</v>
      </c>
      <c r="D17" s="1">
        <f>B17*(10^-24)</f>
        <v>5.7515097009403716E-21</v>
      </c>
      <c r="E17" s="2">
        <f>C$26/D17</f>
        <v>1.4118425006332118</v>
      </c>
      <c r="F17">
        <v>-3.4059199999999898</v>
      </c>
      <c r="G17">
        <v>-4.6484399999999999</v>
      </c>
      <c r="H17">
        <v>-4.2726100000000002</v>
      </c>
      <c r="I17">
        <v>-6.9592700000000001</v>
      </c>
      <c r="J17">
        <v>-4.6231999999999998</v>
      </c>
      <c r="K17">
        <v>-1.6943699999999999</v>
      </c>
    </row>
    <row r="18" spans="2:15" x14ac:dyDescent="0.2">
      <c r="B18">
        <f t="shared" si="1"/>
        <v>6182.6997681877838</v>
      </c>
      <c r="C18">
        <v>1.05</v>
      </c>
      <c r="D18" s="1">
        <f>B18*(10^-24)</f>
        <v>6.1826997681877847E-21</v>
      </c>
      <c r="E18" s="2">
        <f>C$26/D18</f>
        <v>1.3133786441278152</v>
      </c>
      <c r="F18">
        <v>-4.6685999999999996</v>
      </c>
      <c r="G18">
        <v>-4.8282299999999996</v>
      </c>
      <c r="H18">
        <v>-6.1090600000000004</v>
      </c>
      <c r="I18">
        <v>-7.8506999999999998</v>
      </c>
      <c r="J18">
        <v>-5.21966000000001</v>
      </c>
      <c r="K18">
        <v>-4.3099699999999999</v>
      </c>
    </row>
    <row r="21" spans="2:15" x14ac:dyDescent="0.2">
      <c r="B21" t="s">
        <v>19</v>
      </c>
      <c r="L21" t="s">
        <v>24</v>
      </c>
      <c r="M21">
        <f>(M15-$H$2)/$H$2</f>
        <v>2.6967791569481005E-2</v>
      </c>
      <c r="N21">
        <f t="shared" ref="N21" si="2">(N15-$H$2)/$H$2</f>
        <v>3.0483477680101963E-2</v>
      </c>
      <c r="O21">
        <f>(O15-$H$2)/$H$2</f>
        <v>-2.2156258499005075E-2</v>
      </c>
    </row>
    <row r="22" spans="2:15" x14ac:dyDescent="0.2">
      <c r="B22">
        <v>48.9</v>
      </c>
      <c r="C22" t="s">
        <v>10</v>
      </c>
      <c r="L22" t="s">
        <v>42</v>
      </c>
      <c r="M22">
        <f>(M15-$H$2)^2</f>
        <v>1.5926067460742003E-3</v>
      </c>
      <c r="N22">
        <f t="shared" ref="N22:O22" si="3">(N15-$H$2)^2</f>
        <v>2.0349175078416821E-3</v>
      </c>
      <c r="O22">
        <f t="shared" si="3"/>
        <v>1.0750053659906208E-3</v>
      </c>
    </row>
    <row r="24" spans="2:15" x14ac:dyDescent="0.2">
      <c r="B24" t="s">
        <v>11</v>
      </c>
    </row>
    <row r="25" spans="2:15" x14ac:dyDescent="0.2">
      <c r="B25" t="s">
        <v>12</v>
      </c>
      <c r="C25">
        <f>100/(6.022E+23)</f>
        <v>1.6605778811026237E-22</v>
      </c>
    </row>
    <row r="26" spans="2:15" x14ac:dyDescent="0.2">
      <c r="B26" t="s">
        <v>13</v>
      </c>
      <c r="C26">
        <f>C25*B22</f>
        <v>8.12022583859183E-21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FB284-C0D1-F149-837E-57848F542ADE}">
  <dimension ref="B2:P30"/>
  <sheetViews>
    <sheetView topLeftCell="A7" workbookViewId="0">
      <selection activeCell="M32" sqref="M32"/>
    </sheetView>
  </sheetViews>
  <sheetFormatPr baseColWidth="10" defaultRowHeight="16" x14ac:dyDescent="0.2"/>
  <sheetData>
    <row r="2" spans="2:16" x14ac:dyDescent="0.2">
      <c r="B2" t="s">
        <v>35</v>
      </c>
      <c r="E2" t="s">
        <v>40</v>
      </c>
      <c r="H2">
        <v>1.5017400000000003</v>
      </c>
      <c r="I2" t="s">
        <v>9</v>
      </c>
      <c r="J2">
        <v>0</v>
      </c>
    </row>
    <row r="3" spans="2:16" x14ac:dyDescent="0.2">
      <c r="B3" t="s">
        <v>36</v>
      </c>
    </row>
    <row r="4" spans="2:16" x14ac:dyDescent="0.2">
      <c r="D4">
        <v>1</v>
      </c>
      <c r="F4">
        <v>2</v>
      </c>
      <c r="H4">
        <v>3</v>
      </c>
      <c r="J4">
        <v>4</v>
      </c>
      <c r="L4">
        <v>5</v>
      </c>
      <c r="N4">
        <v>6</v>
      </c>
      <c r="P4">
        <v>7</v>
      </c>
    </row>
    <row r="5" spans="2:16" x14ac:dyDescent="0.2">
      <c r="D5" t="s">
        <v>1</v>
      </c>
      <c r="F5" t="s">
        <v>2</v>
      </c>
      <c r="H5" t="s">
        <v>3</v>
      </c>
      <c r="J5" t="s">
        <v>4</v>
      </c>
      <c r="L5" t="s">
        <v>5</v>
      </c>
      <c r="N5" t="s">
        <v>6</v>
      </c>
      <c r="P5" t="s">
        <v>7</v>
      </c>
    </row>
    <row r="7" spans="2:16" x14ac:dyDescent="0.2">
      <c r="B7">
        <v>4579.1099999999997</v>
      </c>
      <c r="C7">
        <v>0.95</v>
      </c>
      <c r="D7">
        <v>-707.88786382000001</v>
      </c>
      <c r="E7">
        <v>32.485329999999998</v>
      </c>
      <c r="H7">
        <v>-703.22072765000098</v>
      </c>
      <c r="I7">
        <v>38.803919999999998</v>
      </c>
    </row>
    <row r="8" spans="2:16" x14ac:dyDescent="0.2">
      <c r="B8">
        <f>B$7*(C8/C$7)^3</f>
        <v>4950.2155213952483</v>
      </c>
      <c r="C8">
        <v>0.97499999999999998</v>
      </c>
      <c r="D8">
        <v>-708.87185552999904</v>
      </c>
      <c r="E8">
        <v>18.873609999999999</v>
      </c>
      <c r="H8">
        <v>-705.70840595000004</v>
      </c>
      <c r="I8">
        <v>21.718499999999999</v>
      </c>
      <c r="N8">
        <v>-413.22392574000003</v>
      </c>
      <c r="O8">
        <v>25.153420000000001</v>
      </c>
    </row>
    <row r="9" spans="2:16" x14ac:dyDescent="0.2">
      <c r="B9">
        <f t="shared" ref="B9:B13" si="0">B$7*(C9/C$7)^3</f>
        <v>5340.8485201924459</v>
      </c>
      <c r="C9">
        <v>1</v>
      </c>
      <c r="D9">
        <v>-707.93263148000005</v>
      </c>
      <c r="E9">
        <v>8.9985900000000107</v>
      </c>
      <c r="H9">
        <v>-705.60644519999903</v>
      </c>
      <c r="I9">
        <v>10.087580000000001</v>
      </c>
      <c r="N9">
        <v>-413.08767026999999</v>
      </c>
      <c r="O9">
        <v>12.80458</v>
      </c>
    </row>
    <row r="10" spans="2:16" x14ac:dyDescent="0.2">
      <c r="B10">
        <f t="shared" si="0"/>
        <v>5751.5097009403707</v>
      </c>
      <c r="C10">
        <v>1.0249999999999999</v>
      </c>
      <c r="H10">
        <v>-701.77264303999902</v>
      </c>
      <c r="I10">
        <v>3.80454000000001</v>
      </c>
      <c r="N10">
        <v>-411.489919270001</v>
      </c>
      <c r="O10">
        <v>5.3374800000000002</v>
      </c>
    </row>
    <row r="11" spans="2:16" x14ac:dyDescent="0.2">
      <c r="B11">
        <f t="shared" si="0"/>
        <v>6182.6997681877838</v>
      </c>
      <c r="C11">
        <v>1.05</v>
      </c>
      <c r="H11">
        <v>-486.58859746000002</v>
      </c>
      <c r="I11">
        <v>-1.2218</v>
      </c>
      <c r="N11">
        <v>-407.52448611999898</v>
      </c>
      <c r="O11">
        <v>0.91087000000000096</v>
      </c>
    </row>
    <row r="12" spans="2:16" x14ac:dyDescent="0.2">
      <c r="B12">
        <f t="shared" si="0"/>
        <v>6634.9194264834514</v>
      </c>
      <c r="C12">
        <v>1.075</v>
      </c>
      <c r="D12">
        <f>-697.558258620001</f>
        <v>-697.55825862000097</v>
      </c>
      <c r="E12">
        <v>-3.2419199999999999</v>
      </c>
      <c r="N12">
        <v>-404.46867292000002</v>
      </c>
      <c r="O12">
        <v>-2.3585400000000001</v>
      </c>
    </row>
    <row r="13" spans="2:16" x14ac:dyDescent="0.2">
      <c r="B13">
        <f t="shared" si="0"/>
        <v>7108.6693803761491</v>
      </c>
      <c r="C13">
        <v>1.1000000000000001</v>
      </c>
    </row>
    <row r="15" spans="2:16" x14ac:dyDescent="0.2">
      <c r="B15" t="s">
        <v>14</v>
      </c>
      <c r="D15" t="s">
        <v>16</v>
      </c>
      <c r="E15" t="s">
        <v>15</v>
      </c>
      <c r="F15">
        <v>1</v>
      </c>
      <c r="G15">
        <v>2</v>
      </c>
      <c r="H15">
        <v>3</v>
      </c>
      <c r="I15">
        <v>4</v>
      </c>
      <c r="J15">
        <v>5</v>
      </c>
      <c r="K15">
        <v>6</v>
      </c>
      <c r="L15">
        <v>7</v>
      </c>
      <c r="M15" t="s">
        <v>1</v>
      </c>
      <c r="N15" t="s">
        <v>3</v>
      </c>
      <c r="O15" t="s">
        <v>6</v>
      </c>
    </row>
    <row r="16" spans="2:16" x14ac:dyDescent="0.2">
      <c r="B16">
        <v>4579.1099999999997</v>
      </c>
      <c r="C16">
        <v>0.95</v>
      </c>
      <c r="D16" s="1">
        <f>B16*(10^-24)</f>
        <v>4.5791099999999999E-21</v>
      </c>
      <c r="E16" s="2">
        <f>C$30/D16</f>
        <v>2.0170151349700691</v>
      </c>
      <c r="F16">
        <v>32.485329999999998</v>
      </c>
      <c r="H16">
        <v>38.803919999999998</v>
      </c>
    </row>
    <row r="17" spans="2:15" x14ac:dyDescent="0.2">
      <c r="B17">
        <f>B$7*(C17/C$7)^3</f>
        <v>4950.2155213952483</v>
      </c>
      <c r="C17">
        <v>0.97499999999999998</v>
      </c>
      <c r="D17" s="1">
        <f>B17*(10^-24)</f>
        <v>4.9502155213952489E-21</v>
      </c>
      <c r="E17" s="2">
        <f>C$30/D17</f>
        <v>1.8658044553360236</v>
      </c>
      <c r="F17">
        <v>18.873609999999999</v>
      </c>
      <c r="H17">
        <v>21.718499999999999</v>
      </c>
      <c r="K17">
        <v>25.153420000000001</v>
      </c>
      <c r="M17">
        <v>1.5349999999999999</v>
      </c>
      <c r="N17">
        <f>(E19-E20)/(H19-H20)*(0-H20)+E20</f>
        <v>1.521091193179954</v>
      </c>
      <c r="O17">
        <f>(E20-E21)/(K20-K21)*(0-K21)+E21</f>
        <v>1.4655005235360612</v>
      </c>
    </row>
    <row r="18" spans="2:15" x14ac:dyDescent="0.2">
      <c r="B18">
        <f t="shared" ref="B18:B22" si="1">B$7*(C18/C$7)^3</f>
        <v>5340.8485201924459</v>
      </c>
      <c r="C18">
        <v>1</v>
      </c>
      <c r="D18" s="1">
        <f>B18*(10^-24)</f>
        <v>5.3408485201924462E-21</v>
      </c>
      <c r="E18" s="2">
        <f>C$30/D18</f>
        <v>1.7293383513449634</v>
      </c>
      <c r="F18">
        <v>8.9985900000000107</v>
      </c>
      <c r="H18">
        <v>10.087580000000001</v>
      </c>
      <c r="K18">
        <v>12.80458</v>
      </c>
    </row>
    <row r="19" spans="2:15" x14ac:dyDescent="0.2">
      <c r="B19">
        <f t="shared" si="1"/>
        <v>5751.5097009403707</v>
      </c>
      <c r="C19">
        <v>1.0249999999999999</v>
      </c>
      <c r="D19" s="1">
        <f>B19*(10^-24)</f>
        <v>5.7515097009403716E-21</v>
      </c>
      <c r="E19" s="2">
        <f>C$30/D19</f>
        <v>1.6058625743398616</v>
      </c>
      <c r="H19">
        <v>3.80454000000001</v>
      </c>
      <c r="K19">
        <v>5.3374800000000002</v>
      </c>
    </row>
    <row r="20" spans="2:15" x14ac:dyDescent="0.2">
      <c r="B20">
        <f t="shared" si="1"/>
        <v>6182.6997681877838</v>
      </c>
      <c r="C20">
        <v>1.05</v>
      </c>
      <c r="D20" s="1">
        <f>B20*(10^-24)</f>
        <v>6.1826997681877847E-21</v>
      </c>
      <c r="E20" s="2">
        <f>C$30/D20</f>
        <v>1.4938674884742142</v>
      </c>
      <c r="H20">
        <v>-1.2218</v>
      </c>
      <c r="K20">
        <v>0.91087000000000096</v>
      </c>
    </row>
    <row r="21" spans="2:15" x14ac:dyDescent="0.2">
      <c r="B21">
        <f t="shared" si="1"/>
        <v>6634.9194264834514</v>
      </c>
      <c r="C21">
        <v>1.075</v>
      </c>
      <c r="D21" s="1">
        <f t="shared" ref="D21:D22" si="2">B21*(10^-24)</f>
        <v>6.6349194264834525E-21</v>
      </c>
      <c r="E21" s="2">
        <f t="shared" ref="E21" si="3">C$30/D21</f>
        <v>1.392049184173439</v>
      </c>
      <c r="F21">
        <v>-3.2419199999999999</v>
      </c>
      <c r="K21">
        <v>-2.3585400000000001</v>
      </c>
    </row>
    <row r="22" spans="2:15" x14ac:dyDescent="0.2">
      <c r="B22">
        <f t="shared" si="1"/>
        <v>7108.6693803761491</v>
      </c>
      <c r="C22">
        <v>1.1000000000000001</v>
      </c>
      <c r="D22" s="1">
        <f t="shared" si="2"/>
        <v>7.1086693803761503E-21</v>
      </c>
      <c r="E22" s="2">
        <f>C$30/D22</f>
        <v>1.2992774991322031</v>
      </c>
    </row>
    <row r="25" spans="2:15" x14ac:dyDescent="0.2">
      <c r="B25" t="s">
        <v>19</v>
      </c>
      <c r="L25" t="s">
        <v>24</v>
      </c>
      <c r="M25">
        <f>(M17-$H$2)/$H$2</f>
        <v>2.214764206853358E-2</v>
      </c>
      <c r="N25">
        <f t="shared" ref="N25" si="4">(N17-$H$2)/$H$2</f>
        <v>1.2885847869773532E-2</v>
      </c>
      <c r="O25">
        <f>(O17-$H$2)/$H$2</f>
        <v>-2.4131658252386629E-2</v>
      </c>
    </row>
    <row r="26" spans="2:15" x14ac:dyDescent="0.2">
      <c r="B26">
        <f>(0.59*7+0.41*39) + 35.5</f>
        <v>55.62</v>
      </c>
      <c r="C26" t="s">
        <v>10</v>
      </c>
      <c r="L26" t="s">
        <v>42</v>
      </c>
      <c r="M26">
        <f>(M17-$H$2)^2</f>
        <v>1.106227599999975E-3</v>
      </c>
      <c r="N26">
        <f t="shared" ref="N26:O26" si="5">(N17-$H$2)^2</f>
        <v>3.744686774878869E-4</v>
      </c>
      <c r="O26">
        <f t="shared" si="5"/>
        <v>1.3132996543803962E-3</v>
      </c>
    </row>
    <row r="28" spans="2:15" x14ac:dyDescent="0.2">
      <c r="B28" t="s">
        <v>11</v>
      </c>
    </row>
    <row r="29" spans="2:15" x14ac:dyDescent="0.2">
      <c r="B29" t="s">
        <v>12</v>
      </c>
      <c r="C29">
        <f>100/(6.022E+23)</f>
        <v>1.6605778811026237E-22</v>
      </c>
    </row>
    <row r="30" spans="2:15" x14ac:dyDescent="0.2">
      <c r="B30" t="s">
        <v>13</v>
      </c>
      <c r="C30">
        <f>C29*B26</f>
        <v>9.236134174692792E-21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F845F-35FF-AB46-80E5-25AEA6A2C884}">
  <dimension ref="B2:P26"/>
  <sheetViews>
    <sheetView workbookViewId="0">
      <selection activeCell="M22" sqref="M22:O22"/>
    </sheetView>
  </sheetViews>
  <sheetFormatPr baseColWidth="10" defaultRowHeight="16" x14ac:dyDescent="0.2"/>
  <sheetData>
    <row r="2" spans="2:16" x14ac:dyDescent="0.2">
      <c r="B2" t="s">
        <v>37</v>
      </c>
      <c r="E2" t="s">
        <v>39</v>
      </c>
      <c r="H2">
        <v>1.5395599999999998</v>
      </c>
      <c r="I2" t="s">
        <v>9</v>
      </c>
      <c r="J2">
        <v>0</v>
      </c>
    </row>
    <row r="3" spans="2:16" x14ac:dyDescent="0.2">
      <c r="B3" t="s">
        <v>38</v>
      </c>
    </row>
    <row r="4" spans="2:16" x14ac:dyDescent="0.2">
      <c r="D4">
        <v>1</v>
      </c>
      <c r="F4">
        <v>2</v>
      </c>
      <c r="H4">
        <v>3</v>
      </c>
      <c r="J4">
        <v>4</v>
      </c>
      <c r="L4">
        <v>5</v>
      </c>
      <c r="N4">
        <v>6</v>
      </c>
      <c r="P4">
        <v>7</v>
      </c>
    </row>
    <row r="5" spans="2:16" x14ac:dyDescent="0.2">
      <c r="D5" t="s">
        <v>1</v>
      </c>
      <c r="F5" t="s">
        <v>2</v>
      </c>
      <c r="H5" t="s">
        <v>3</v>
      </c>
      <c r="J5" t="s">
        <v>4</v>
      </c>
      <c r="L5" t="s">
        <v>5</v>
      </c>
      <c r="N5" t="s">
        <v>6</v>
      </c>
      <c r="P5" t="s">
        <v>7</v>
      </c>
    </row>
    <row r="7" spans="2:16" x14ac:dyDescent="0.2">
      <c r="B7">
        <v>6534.82</v>
      </c>
      <c r="C7">
        <v>0.95</v>
      </c>
      <c r="D7">
        <v>-683.00739020000105</v>
      </c>
      <c r="E7">
        <v>7.4042700000000004</v>
      </c>
      <c r="H7">
        <v>-684.43971292999902</v>
      </c>
      <c r="I7">
        <v>9.6864199999999894</v>
      </c>
      <c r="N7">
        <v>-335.33724146999998</v>
      </c>
      <c r="O7">
        <v>9.1651300000000209</v>
      </c>
    </row>
    <row r="8" spans="2:16" x14ac:dyDescent="0.2">
      <c r="B8">
        <f>B$7*(C8/C$7)^3</f>
        <v>7064.4224300189544</v>
      </c>
      <c r="C8">
        <v>0.97499999999999998</v>
      </c>
      <c r="D8">
        <v>-679.26563906000104</v>
      </c>
      <c r="E8">
        <v>2.35493</v>
      </c>
      <c r="H8">
        <v>-682.30060290999995</v>
      </c>
      <c r="I8">
        <v>3.1092</v>
      </c>
      <c r="N8">
        <v>-333.87777155999999</v>
      </c>
      <c r="O8">
        <v>2.6354099999999998</v>
      </c>
    </row>
    <row r="9" spans="2:16" x14ac:dyDescent="0.2">
      <c r="B9">
        <f t="shared" ref="B9:B11" si="0">B$7*(C9/C$7)^3</f>
        <v>7621.8924041405426</v>
      </c>
      <c r="C9">
        <v>1</v>
      </c>
      <c r="D9">
        <v>-676.23374626999998</v>
      </c>
      <c r="E9">
        <v>-1.8441799999999999</v>
      </c>
      <c r="H9">
        <v>-678.691854360001</v>
      </c>
      <c r="I9">
        <v>-1.8609</v>
      </c>
      <c r="N9">
        <v>-329.17836596000001</v>
      </c>
      <c r="O9">
        <v>-0.49048999999999998</v>
      </c>
    </row>
    <row r="10" spans="2:16" x14ac:dyDescent="0.2">
      <c r="B10">
        <f t="shared" si="0"/>
        <v>8207.9444747776652</v>
      </c>
      <c r="C10">
        <v>1.0249999999999999</v>
      </c>
      <c r="D10">
        <v>-670.03723755999897</v>
      </c>
      <c r="E10">
        <v>-3.6535299999999999</v>
      </c>
      <c r="H10">
        <v>-671.98740252000005</v>
      </c>
      <c r="I10">
        <v>-3.2420800000000001</v>
      </c>
      <c r="N10">
        <v>-325.03425005999998</v>
      </c>
      <c r="O10">
        <v>-3.0856499999999998</v>
      </c>
    </row>
    <row r="11" spans="2:16" x14ac:dyDescent="0.2">
      <c r="B11">
        <f t="shared" si="0"/>
        <v>8823.2931943432013</v>
      </c>
      <c r="C11">
        <v>1.05</v>
      </c>
      <c r="D11">
        <v>-667.44667317000005</v>
      </c>
      <c r="E11">
        <v>-3.1442399999999999</v>
      </c>
      <c r="H11">
        <v>-667.01254536000101</v>
      </c>
      <c r="I11">
        <v>-4.7336999999999998</v>
      </c>
      <c r="N11">
        <v>-257.80173014000002</v>
      </c>
      <c r="O11">
        <v>-3.2935500000000002</v>
      </c>
    </row>
    <row r="13" spans="2:16" x14ac:dyDescent="0.2">
      <c r="B13" t="s">
        <v>14</v>
      </c>
      <c r="D13" t="s">
        <v>16</v>
      </c>
      <c r="E13" t="s">
        <v>15</v>
      </c>
      <c r="F13">
        <v>1</v>
      </c>
      <c r="G13">
        <v>2</v>
      </c>
      <c r="H13">
        <v>3</v>
      </c>
      <c r="I13">
        <v>4</v>
      </c>
      <c r="J13">
        <v>5</v>
      </c>
      <c r="K13">
        <v>6</v>
      </c>
      <c r="L13">
        <v>7</v>
      </c>
      <c r="M13" t="s">
        <v>1</v>
      </c>
      <c r="N13" t="s">
        <v>3</v>
      </c>
      <c r="O13" t="s">
        <v>6</v>
      </c>
    </row>
    <row r="14" spans="2:16" x14ac:dyDescent="0.2">
      <c r="B14">
        <v>6534.82</v>
      </c>
      <c r="C14">
        <v>0.95</v>
      </c>
      <c r="D14" s="1">
        <f>B14*(10^-24)</f>
        <v>6.53482E-21</v>
      </c>
      <c r="E14" s="2">
        <f>C$26/D14</f>
        <v>1.730504492902462</v>
      </c>
      <c r="F14">
        <v>7.4042700000000004</v>
      </c>
      <c r="H14">
        <v>9.6864199999999894</v>
      </c>
      <c r="K14">
        <v>9.1651300000000209</v>
      </c>
    </row>
    <row r="15" spans="2:16" x14ac:dyDescent="0.2">
      <c r="B15">
        <f>B$7*(C15/C$7)^3</f>
        <v>7064.4224300189544</v>
      </c>
      <c r="C15">
        <v>0.97499999999999998</v>
      </c>
      <c r="D15" s="1">
        <f>B15*(10^-24)</f>
        <v>7.0644224300189545E-21</v>
      </c>
      <c r="E15" s="2">
        <f>C$26/D15</f>
        <v>1.6007728136776391</v>
      </c>
      <c r="F15">
        <v>2.35493</v>
      </c>
      <c r="H15">
        <v>3.1092</v>
      </c>
      <c r="K15">
        <v>2.6354099999999998</v>
      </c>
      <c r="M15">
        <f>(E15-E16)/(F15-F16)*(0-F16)+E16</f>
        <v>1.5351115679634617</v>
      </c>
      <c r="N15">
        <f>(E15-E16)/(H15-H16)*(0-H16)+E16</f>
        <v>1.5275288397827067</v>
      </c>
      <c r="O15">
        <f>(E15-E16)/(K15-K16)*(0-K16)+E16</f>
        <v>1.5020627399825355</v>
      </c>
    </row>
    <row r="16" spans="2:16" x14ac:dyDescent="0.2">
      <c r="B16">
        <f t="shared" ref="B16:B17" si="1">B$7*(C16/C$7)^3</f>
        <v>7621.8924041405426</v>
      </c>
      <c r="C16">
        <v>1</v>
      </c>
      <c r="D16" s="1">
        <f>B16*(10^-24)</f>
        <v>7.621892404140543E-21</v>
      </c>
      <c r="E16" s="2">
        <f>C$26/D16</f>
        <v>1.4836912896022487</v>
      </c>
      <c r="F16">
        <v>-1.8441799999999999</v>
      </c>
      <c r="H16">
        <v>-1.8609</v>
      </c>
      <c r="K16">
        <v>-0.49048999999999998</v>
      </c>
    </row>
    <row r="17" spans="2:15" x14ac:dyDescent="0.2">
      <c r="B17">
        <f t="shared" si="1"/>
        <v>8207.9444747776652</v>
      </c>
      <c r="C17">
        <v>1.0249999999999999</v>
      </c>
      <c r="D17" s="1">
        <f>B17*(10^-24)</f>
        <v>8.2079444747776668E-21</v>
      </c>
      <c r="E17" s="2">
        <f>C$26/D17</f>
        <v>1.3777548575114096</v>
      </c>
      <c r="F17">
        <v>-3.6535299999999999</v>
      </c>
      <c r="H17">
        <v>-3.2420800000000001</v>
      </c>
      <c r="K17">
        <v>-3.0856499999999998</v>
      </c>
    </row>
    <row r="18" spans="2:15" x14ac:dyDescent="0.2">
      <c r="B18">
        <f>B$7*(C18/C$7)^3</f>
        <v>8823.2931943432013</v>
      </c>
      <c r="C18">
        <v>1.05</v>
      </c>
      <c r="D18" s="1">
        <f>B18*(10^-24)</f>
        <v>8.8232931943432015E-21</v>
      </c>
      <c r="E18" s="2">
        <f>C$26/D18</f>
        <v>1.2816683205720747</v>
      </c>
      <c r="F18">
        <v>-3.1442399999999999</v>
      </c>
      <c r="H18">
        <v>-4.7336999999999998</v>
      </c>
      <c r="K18">
        <v>-3.2935500000000002</v>
      </c>
    </row>
    <row r="21" spans="2:15" x14ac:dyDescent="0.2">
      <c r="B21" t="s">
        <v>19</v>
      </c>
      <c r="L21" t="s">
        <v>24</v>
      </c>
      <c r="M21">
        <f>(M15-$H2)/$H2</f>
        <v>-2.8894177794552395E-3</v>
      </c>
      <c r="N21">
        <f t="shared" ref="N21:O21" si="2">(N15-$H2)/$H2</f>
        <v>-7.8146744636734614E-3</v>
      </c>
      <c r="O21">
        <f t="shared" si="2"/>
        <v>-2.4355828949481895E-2</v>
      </c>
    </row>
    <row r="22" spans="2:15" x14ac:dyDescent="0.2">
      <c r="B22">
        <f>(0.2*7+0.8*39) + 35.5</f>
        <v>68.099999999999994</v>
      </c>
      <c r="C22" t="s">
        <v>10</v>
      </c>
      <c r="L22" t="s">
        <v>42</v>
      </c>
      <c r="M22">
        <f>(M15-$H$2)^2</f>
        <v>1.978854758369858E-5</v>
      </c>
      <c r="N22">
        <f t="shared" ref="N22:O22" si="3">(N15-$H$2)^2</f>
        <v>1.4474881617417647E-4</v>
      </c>
      <c r="O22">
        <f t="shared" si="3"/>
        <v>1.4060445088173298E-3</v>
      </c>
    </row>
    <row r="24" spans="2:15" x14ac:dyDescent="0.2">
      <c r="B24" t="s">
        <v>11</v>
      </c>
    </row>
    <row r="25" spans="2:15" x14ac:dyDescent="0.2">
      <c r="B25" t="s">
        <v>12</v>
      </c>
      <c r="C25">
        <f>100/(6.022E+23)</f>
        <v>1.6605778811026237E-22</v>
      </c>
    </row>
    <row r="26" spans="2:15" x14ac:dyDescent="0.2">
      <c r="B26" t="s">
        <v>13</v>
      </c>
      <c r="C26">
        <f>C25*B22</f>
        <v>1.1308535370308866E-20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3ECAF-CEE0-9E47-AB45-40C873042D44}">
  <dimension ref="A2:O32"/>
  <sheetViews>
    <sheetView workbookViewId="0">
      <selection activeCell="I11" sqref="I11"/>
    </sheetView>
  </sheetViews>
  <sheetFormatPr baseColWidth="10" defaultRowHeight="16" x14ac:dyDescent="0.2"/>
  <sheetData>
    <row r="2" spans="1:15" x14ac:dyDescent="0.2">
      <c r="G2" t="s">
        <v>33</v>
      </c>
      <c r="I2" t="s">
        <v>25</v>
      </c>
      <c r="J2" t="s">
        <v>27</v>
      </c>
      <c r="K2" t="s">
        <v>28</v>
      </c>
      <c r="L2" t="s">
        <v>29</v>
      </c>
      <c r="M2" t="s">
        <v>30</v>
      </c>
      <c r="N2" t="s">
        <v>31</v>
      </c>
      <c r="O2" t="s">
        <v>32</v>
      </c>
    </row>
    <row r="3" spans="1:15" x14ac:dyDescent="0.2">
      <c r="H3">
        <v>1050</v>
      </c>
      <c r="I3">
        <v>1.4297600000000001</v>
      </c>
      <c r="J3">
        <v>1.4553660000000002</v>
      </c>
      <c r="K3">
        <v>1.461751</v>
      </c>
      <c r="L3">
        <v>1.4754020000000003</v>
      </c>
      <c r="M3">
        <v>1.4875400000000001</v>
      </c>
      <c r="N3">
        <v>1.510678</v>
      </c>
      <c r="O3">
        <v>1.5236449999999999</v>
      </c>
    </row>
    <row r="4" spans="1:15" x14ac:dyDescent="0.2">
      <c r="C4" t="s">
        <v>1</v>
      </c>
      <c r="D4" t="s">
        <v>3</v>
      </c>
      <c r="E4" t="s">
        <v>6</v>
      </c>
      <c r="H4">
        <v>1000</v>
      </c>
      <c r="I4">
        <f t="shared" ref="I4" si="0">1.8842-(0.0004328)*H4</f>
        <v>1.4514</v>
      </c>
      <c r="J4">
        <f t="shared" ref="J4" si="1">1.9689-(0.00048908)*H4</f>
        <v>1.4798200000000001</v>
      </c>
      <c r="K4">
        <f t="shared" ref="K4" si="2">1.9945-(0.00050738)*H4</f>
        <v>1.48712</v>
      </c>
      <c r="L4">
        <f t="shared" ref="L4" si="3">2.0285-(0.00052676)*H4</f>
        <v>1.5017400000000003</v>
      </c>
      <c r="M4">
        <f t="shared" ref="M4" si="4">2.0768-(0.0005612)*H4</f>
        <v>1.5156000000000001</v>
      </c>
      <c r="N4">
        <f t="shared" ref="N4" si="5">2.1172-(0.00057764)*H4</f>
        <v>1.5395599999999998</v>
      </c>
      <c r="O4">
        <v>1.5528</v>
      </c>
    </row>
    <row r="5" spans="1:15" x14ac:dyDescent="0.2">
      <c r="A5" t="s">
        <v>26</v>
      </c>
      <c r="I5">
        <v>0</v>
      </c>
      <c r="J5">
        <v>0.18</v>
      </c>
      <c r="K5">
        <v>0.3</v>
      </c>
      <c r="L5">
        <v>0.41</v>
      </c>
      <c r="M5">
        <v>0.6</v>
      </c>
      <c r="N5">
        <v>0.8</v>
      </c>
      <c r="O5">
        <v>1</v>
      </c>
    </row>
    <row r="6" spans="1:15" x14ac:dyDescent="0.2">
      <c r="A6">
        <v>0</v>
      </c>
      <c r="B6" t="s">
        <v>25</v>
      </c>
      <c r="C6">
        <v>1.5132928157375203</v>
      </c>
      <c r="D6">
        <v>1.532375522761388</v>
      </c>
      <c r="E6">
        <v>1.4012692011498877</v>
      </c>
      <c r="F6">
        <v>0</v>
      </c>
      <c r="G6">
        <v>1.4514</v>
      </c>
    </row>
    <row r="7" spans="1:15" x14ac:dyDescent="0.2">
      <c r="A7">
        <v>0.2</v>
      </c>
      <c r="B7" t="s">
        <v>34</v>
      </c>
      <c r="C7">
        <v>1.5197274773203495</v>
      </c>
      <c r="D7">
        <v>1.5249300599405686</v>
      </c>
      <c r="E7">
        <v>1.4470327255480024</v>
      </c>
      <c r="F7">
        <v>0.18</v>
      </c>
      <c r="G7">
        <v>1.4798200000000001</v>
      </c>
    </row>
    <row r="8" spans="1:15" x14ac:dyDescent="0.2">
      <c r="A8">
        <v>0.41</v>
      </c>
      <c r="B8" t="s">
        <v>29</v>
      </c>
      <c r="C8">
        <v>1.5349999999999999</v>
      </c>
      <c r="D8">
        <v>1.521091193179954</v>
      </c>
      <c r="E8">
        <v>1.4655005235360612</v>
      </c>
      <c r="F8">
        <v>0.3</v>
      </c>
      <c r="G8">
        <v>1.48712</v>
      </c>
    </row>
    <row r="9" spans="1:15" x14ac:dyDescent="0.2">
      <c r="A9">
        <v>0.8</v>
      </c>
      <c r="B9" t="s">
        <v>31</v>
      </c>
      <c r="C9">
        <v>1.5351115679634617</v>
      </c>
      <c r="D9">
        <v>1.5275288397827067</v>
      </c>
      <c r="E9">
        <v>1.5020627399825355</v>
      </c>
      <c r="F9">
        <v>0.41</v>
      </c>
      <c r="G9">
        <v>1.5017400000000003</v>
      </c>
    </row>
    <row r="10" spans="1:15" x14ac:dyDescent="0.2">
      <c r="A10">
        <v>1</v>
      </c>
      <c r="B10" t="s">
        <v>32</v>
      </c>
      <c r="C10">
        <v>1.5525982191334322</v>
      </c>
      <c r="D10">
        <v>1.5323676072984078</v>
      </c>
      <c r="E10">
        <v>1.5024422882189976</v>
      </c>
      <c r="F10">
        <v>0.6</v>
      </c>
      <c r="G10">
        <v>1.5156000000000001</v>
      </c>
    </row>
    <row r="11" spans="1:15" x14ac:dyDescent="0.2">
      <c r="F11">
        <v>0.8</v>
      </c>
      <c r="G11">
        <v>1.5395599999999998</v>
      </c>
    </row>
    <row r="12" spans="1:15" x14ac:dyDescent="0.2">
      <c r="F12">
        <v>1</v>
      </c>
      <c r="G12">
        <v>1.5528</v>
      </c>
    </row>
    <row r="15" spans="1:15" x14ac:dyDescent="0.2">
      <c r="C15" t="s">
        <v>1</v>
      </c>
      <c r="D15" t="s">
        <v>3</v>
      </c>
      <c r="E15" t="s">
        <v>6</v>
      </c>
    </row>
    <row r="16" spans="1:15" x14ac:dyDescent="0.2">
      <c r="B16" t="s">
        <v>43</v>
      </c>
      <c r="G16" t="s">
        <v>44</v>
      </c>
    </row>
    <row r="17" spans="1:9" x14ac:dyDescent="0.2">
      <c r="A17">
        <v>0</v>
      </c>
      <c r="B17" t="s">
        <v>25</v>
      </c>
      <c r="C17">
        <v>4.2643527447650723E-2</v>
      </c>
      <c r="D17">
        <v>5.5791320629315126E-2</v>
      </c>
      <c r="E17">
        <v>-3.4539616129331881E-2</v>
      </c>
      <c r="G17">
        <f>ABS(C17)</f>
        <v>4.2643527447650723E-2</v>
      </c>
      <c r="H17">
        <f t="shared" ref="H17:I17" si="6">ABS(D17)</f>
        <v>5.5791320629315126E-2</v>
      </c>
      <c r="I17">
        <f t="shared" si="6"/>
        <v>3.4539616129331881E-2</v>
      </c>
    </row>
    <row r="18" spans="1:9" x14ac:dyDescent="0.2">
      <c r="A18">
        <v>0.2</v>
      </c>
      <c r="B18" t="s">
        <v>34</v>
      </c>
      <c r="C18">
        <v>2.6967791569481005E-2</v>
      </c>
      <c r="D18">
        <v>3.0483477680101963E-2</v>
      </c>
      <c r="E18">
        <v>-2.2156258499005075E-2</v>
      </c>
      <c r="G18">
        <f t="shared" ref="G18:G21" si="7">ABS(C18)</f>
        <v>2.6967791569481005E-2</v>
      </c>
      <c r="H18">
        <f t="shared" ref="H18:H21" si="8">ABS(D18)</f>
        <v>3.0483477680101963E-2</v>
      </c>
      <c r="I18">
        <f t="shared" ref="I18:I21" si="9">ABS(E18)</f>
        <v>2.2156258499005075E-2</v>
      </c>
    </row>
    <row r="19" spans="1:9" x14ac:dyDescent="0.2">
      <c r="A19">
        <v>0.41</v>
      </c>
      <c r="B19" t="s">
        <v>29</v>
      </c>
      <c r="C19">
        <v>2.214764206853358E-2</v>
      </c>
      <c r="D19">
        <v>1.2885847869773532E-2</v>
      </c>
      <c r="E19">
        <v>-2.4131658252386629E-2</v>
      </c>
      <c r="G19">
        <f t="shared" si="7"/>
        <v>2.214764206853358E-2</v>
      </c>
      <c r="H19">
        <f t="shared" si="8"/>
        <v>1.2885847869773532E-2</v>
      </c>
      <c r="I19">
        <f t="shared" si="9"/>
        <v>2.4131658252386629E-2</v>
      </c>
    </row>
    <row r="20" spans="1:9" x14ac:dyDescent="0.2">
      <c r="A20">
        <v>0.8</v>
      </c>
      <c r="B20" t="s">
        <v>31</v>
      </c>
      <c r="C20">
        <v>-2.8894177794552395E-3</v>
      </c>
      <c r="D20">
        <v>-7.8146744636734614E-3</v>
      </c>
      <c r="E20">
        <v>-2.4355828949481895E-2</v>
      </c>
      <c r="G20">
        <f t="shared" si="7"/>
        <v>2.8894177794552395E-3</v>
      </c>
      <c r="H20">
        <f t="shared" si="8"/>
        <v>7.8146744636734614E-3</v>
      </c>
      <c r="I20">
        <f t="shared" si="9"/>
        <v>2.4355828949481895E-2</v>
      </c>
    </row>
    <row r="21" spans="1:9" x14ac:dyDescent="0.2">
      <c r="A21">
        <v>1</v>
      </c>
      <c r="B21" t="s">
        <v>32</v>
      </c>
      <c r="C21">
        <v>-1.2994646224094973E-4</v>
      </c>
      <c r="D21">
        <v>-1.31584187928852E-2</v>
      </c>
      <c r="E21">
        <v>-3.243026261012516E-2</v>
      </c>
      <c r="G21">
        <f t="shared" si="7"/>
        <v>1.2994646224094973E-4</v>
      </c>
      <c r="H21">
        <f t="shared" si="8"/>
        <v>1.31584187928852E-2</v>
      </c>
      <c r="I21">
        <f t="shared" si="9"/>
        <v>3.243026261012516E-2</v>
      </c>
    </row>
    <row r="23" spans="1:9" x14ac:dyDescent="0.2">
      <c r="F23" t="s">
        <v>41</v>
      </c>
      <c r="G23">
        <f>SUM(G17:G21)</f>
        <v>9.4778325327361496E-2</v>
      </c>
      <c r="H23">
        <f t="shared" ref="H23:I23" si="10">SUM(H17:H21)</f>
        <v>0.12013373943574929</v>
      </c>
      <c r="I23">
        <f t="shared" si="10"/>
        <v>0.13761362444033065</v>
      </c>
    </row>
    <row r="25" spans="1:9" x14ac:dyDescent="0.2">
      <c r="B25" t="s">
        <v>42</v>
      </c>
    </row>
    <row r="26" spans="1:9" x14ac:dyDescent="0.2">
      <c r="C26">
        <v>3.8307206399186399E-3</v>
      </c>
      <c r="D26">
        <v>6.557035286480062E-3</v>
      </c>
      <c r="E26">
        <v>2.5130969933504195E-3</v>
      </c>
    </row>
    <row r="27" spans="1:9" x14ac:dyDescent="0.2">
      <c r="C27">
        <v>1.5926067460742003E-3</v>
      </c>
      <c r="D27">
        <v>2.0349175078416821E-3</v>
      </c>
      <c r="E27">
        <v>1.0750053659906208E-3</v>
      </c>
    </row>
    <row r="28" spans="1:9" x14ac:dyDescent="0.2">
      <c r="C28">
        <v>1.106227599999975E-3</v>
      </c>
      <c r="D28">
        <v>3.744686774878869E-4</v>
      </c>
      <c r="E28">
        <v>1.3132996543803962E-3</v>
      </c>
    </row>
    <row r="29" spans="1:9" x14ac:dyDescent="0.2">
      <c r="C29">
        <v>1.978854758369858E-5</v>
      </c>
      <c r="D29">
        <v>1.4474881617417647E-4</v>
      </c>
      <c r="E29">
        <v>1.4060445088173298E-3</v>
      </c>
    </row>
    <row r="30" spans="1:9" x14ac:dyDescent="0.2">
      <c r="C30">
        <v>4.0715518112830814E-8</v>
      </c>
      <c r="D30">
        <v>4.1748267151207571E-4</v>
      </c>
      <c r="E30">
        <v>2.5358991358185026E-3</v>
      </c>
    </row>
    <row r="32" spans="1:9" x14ac:dyDescent="0.2">
      <c r="B32" t="s">
        <v>41</v>
      </c>
      <c r="C32">
        <f>SUM(C26:C30)</f>
        <v>6.5493842490946261E-3</v>
      </c>
      <c r="D32">
        <f t="shared" ref="D32:E32" si="11">SUM(D26:D30)</f>
        <v>9.5286529594958824E-3</v>
      </c>
      <c r="E32">
        <f t="shared" si="11"/>
        <v>8.8433456583572687E-3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LiCl</vt:lpstr>
      <vt:lpstr>KCl</vt:lpstr>
      <vt:lpstr>LiCl20KCl</vt:lpstr>
      <vt:lpstr>LiCl41KCl</vt:lpstr>
      <vt:lpstr>LiCl80KCl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Beeler</dc:creator>
  <cp:lastModifiedBy>Ben Beeler</cp:lastModifiedBy>
  <dcterms:created xsi:type="dcterms:W3CDTF">2020-06-19T13:15:15Z</dcterms:created>
  <dcterms:modified xsi:type="dcterms:W3CDTF">2021-03-15T14:38:36Z</dcterms:modified>
</cp:coreProperties>
</file>