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D9BE5198-82EA-DB4E-A78F-AB42A4CB02D4}" xr6:coauthVersionLast="36" xr6:coauthVersionMax="36" xr10:uidLastSave="{00000000-0000-0000-0000-000000000000}"/>
  <bookViews>
    <workbookView xWindow="3400" yWindow="2400" windowWidth="35460" windowHeight="18380" tabRatio="500" xr2:uid="{00000000-000D-0000-FFFF-FFFF00000000}"/>
  </bookViews>
  <sheets>
    <sheet name="1000 K" sheetId="1" r:id="rId1"/>
    <sheet name="800K" sheetId="2" r:id="rId2"/>
    <sheet name="600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G42" i="1" s="1"/>
  <c r="G43" i="1" s="1"/>
  <c r="Q5" i="3"/>
  <c r="E10" i="3"/>
  <c r="E11" i="3"/>
  <c r="E12" i="3"/>
  <c r="E13" i="3"/>
  <c r="E14" i="3"/>
  <c r="E15" i="3"/>
  <c r="E3" i="3"/>
  <c r="E8" i="3" s="1"/>
  <c r="E4" i="3"/>
  <c r="E5" i="3"/>
  <c r="E6" i="3"/>
  <c r="E7" i="3"/>
  <c r="Q6" i="3"/>
  <c r="O6" i="3" s="1"/>
  <c r="P6" i="3" s="1"/>
  <c r="R6" i="3" s="1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O20" i="3" s="1"/>
  <c r="P20" i="3" s="1"/>
  <c r="R20" i="3" s="1"/>
  <c r="Q21" i="3"/>
  <c r="Q22" i="3"/>
  <c r="Q23" i="3"/>
  <c r="O23" i="3" s="1"/>
  <c r="P23" i="3" s="1"/>
  <c r="R23" i="3" s="1"/>
  <c r="Q24" i="3"/>
  <c r="Q25" i="3"/>
  <c r="Q26" i="3"/>
  <c r="Q27" i="3"/>
  <c r="O27" i="3" s="1"/>
  <c r="P27" i="3" s="1"/>
  <c r="R27" i="3" s="1"/>
  <c r="Q28" i="3"/>
  <c r="Q29" i="3"/>
  <c r="Q30" i="3"/>
  <c r="Q31" i="3"/>
  <c r="Q32" i="3"/>
  <c r="Q33" i="3"/>
  <c r="Q34" i="3"/>
  <c r="O34" i="3" s="1"/>
  <c r="P34" i="3" s="1"/>
  <c r="R34" i="3" s="1"/>
  <c r="Q35" i="3"/>
  <c r="Q36" i="3"/>
  <c r="Q37" i="3"/>
  <c r="Q38" i="3"/>
  <c r="Q39" i="3"/>
  <c r="O39" i="3" s="1"/>
  <c r="P39" i="3" s="1"/>
  <c r="R39" i="3" s="1"/>
  <c r="Q40" i="3"/>
  <c r="O40" i="3" s="1"/>
  <c r="P40" i="3" s="1"/>
  <c r="R40" i="3" s="1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M59" i="3"/>
  <c r="N59" i="3"/>
  <c r="M54" i="3"/>
  <c r="N54" i="3"/>
  <c r="M55" i="3"/>
  <c r="N55" i="3"/>
  <c r="M56" i="3"/>
  <c r="N56" i="3"/>
  <c r="M57" i="3"/>
  <c r="N57" i="3"/>
  <c r="M58" i="3"/>
  <c r="N58" i="3"/>
  <c r="M49" i="3"/>
  <c r="N49" i="3"/>
  <c r="M50" i="3"/>
  <c r="N50" i="3"/>
  <c r="M51" i="3"/>
  <c r="N51" i="3"/>
  <c r="M52" i="3"/>
  <c r="N52" i="3"/>
  <c r="M53" i="3"/>
  <c r="N53" i="3"/>
  <c r="M44" i="3"/>
  <c r="N44" i="3"/>
  <c r="M45" i="3"/>
  <c r="N45" i="3"/>
  <c r="M46" i="3"/>
  <c r="N46" i="3"/>
  <c r="M47" i="3"/>
  <c r="N47" i="3"/>
  <c r="M48" i="3"/>
  <c r="N48" i="3"/>
  <c r="M39" i="3"/>
  <c r="N39" i="3"/>
  <c r="M40" i="3"/>
  <c r="N40" i="3"/>
  <c r="M41" i="3"/>
  <c r="N41" i="3"/>
  <c r="M42" i="3"/>
  <c r="N42" i="3"/>
  <c r="M43" i="3"/>
  <c r="N43" i="3"/>
  <c r="M34" i="3"/>
  <c r="N34" i="3"/>
  <c r="M35" i="3"/>
  <c r="N35" i="3"/>
  <c r="M36" i="3"/>
  <c r="N36" i="3"/>
  <c r="M37" i="3"/>
  <c r="N37" i="3"/>
  <c r="M38" i="3"/>
  <c r="N38" i="3"/>
  <c r="M29" i="3"/>
  <c r="N29" i="3"/>
  <c r="M30" i="3"/>
  <c r="N30" i="3"/>
  <c r="M31" i="3"/>
  <c r="N31" i="3"/>
  <c r="M32" i="3"/>
  <c r="N32" i="3"/>
  <c r="M33" i="3"/>
  <c r="N33" i="3"/>
  <c r="M24" i="3"/>
  <c r="N24" i="3"/>
  <c r="M25" i="3"/>
  <c r="N25" i="3"/>
  <c r="M26" i="3"/>
  <c r="N26" i="3"/>
  <c r="M27" i="3"/>
  <c r="N27" i="3"/>
  <c r="M28" i="3"/>
  <c r="N28" i="3"/>
  <c r="M19" i="3"/>
  <c r="N19" i="3"/>
  <c r="M20" i="3"/>
  <c r="N20" i="3"/>
  <c r="M21" i="3"/>
  <c r="N21" i="3"/>
  <c r="M22" i="3"/>
  <c r="N22" i="3"/>
  <c r="M23" i="3"/>
  <c r="N23" i="3"/>
  <c r="Q4" i="3"/>
  <c r="M14" i="3"/>
  <c r="N14" i="3"/>
  <c r="M15" i="3"/>
  <c r="N15" i="3"/>
  <c r="M16" i="3"/>
  <c r="N16" i="3"/>
  <c r="M17" i="3"/>
  <c r="N17" i="3"/>
  <c r="M18" i="3"/>
  <c r="N18" i="3"/>
  <c r="F10" i="3"/>
  <c r="F15" i="3" s="1"/>
  <c r="F11" i="3"/>
  <c r="F12" i="3"/>
  <c r="F13" i="3"/>
  <c r="F14" i="3"/>
  <c r="D15" i="3"/>
  <c r="C15" i="3"/>
  <c r="M9" i="3"/>
  <c r="N9" i="3"/>
  <c r="M10" i="3"/>
  <c r="N10" i="3"/>
  <c r="M11" i="3"/>
  <c r="N11" i="3"/>
  <c r="M12" i="3"/>
  <c r="N12" i="3"/>
  <c r="M13" i="3"/>
  <c r="N13" i="3"/>
  <c r="F4" i="3"/>
  <c r="F5" i="3"/>
  <c r="F6" i="3"/>
  <c r="F7" i="3"/>
  <c r="C8" i="3"/>
  <c r="F3" i="3"/>
  <c r="F8" i="3" s="1"/>
  <c r="D8" i="3"/>
  <c r="M5" i="3"/>
  <c r="N5" i="3"/>
  <c r="M6" i="3"/>
  <c r="N6" i="3"/>
  <c r="M7" i="3"/>
  <c r="N7" i="3"/>
  <c r="M8" i="3"/>
  <c r="N8" i="3"/>
  <c r="N4" i="3"/>
  <c r="M4" i="3"/>
  <c r="N3" i="3"/>
  <c r="M3" i="3"/>
  <c r="P6" i="2"/>
  <c r="P4" i="2"/>
  <c r="P7" i="2"/>
  <c r="P5" i="2"/>
  <c r="P8" i="2"/>
  <c r="P64" i="2"/>
  <c r="P66" i="2"/>
  <c r="P65" i="2"/>
  <c r="P67" i="2"/>
  <c r="P68" i="2"/>
  <c r="P59" i="2"/>
  <c r="P62" i="2"/>
  <c r="N62" i="2" s="1"/>
  <c r="O62" i="2" s="1"/>
  <c r="Q62" i="2" s="1"/>
  <c r="P60" i="2"/>
  <c r="P63" i="2"/>
  <c r="P61" i="2"/>
  <c r="P55" i="2"/>
  <c r="P57" i="2"/>
  <c r="P54" i="2"/>
  <c r="P58" i="2"/>
  <c r="P56" i="2"/>
  <c r="P50" i="2"/>
  <c r="P51" i="2"/>
  <c r="P49" i="2"/>
  <c r="P53" i="2"/>
  <c r="P52" i="2"/>
  <c r="P44" i="2"/>
  <c r="P47" i="2"/>
  <c r="P46" i="2"/>
  <c r="N46" i="2" s="1"/>
  <c r="O46" i="2" s="1"/>
  <c r="Q46" i="2" s="1"/>
  <c r="P45" i="2"/>
  <c r="P48" i="2"/>
  <c r="L48" i="2"/>
  <c r="M48" i="2"/>
  <c r="E18" i="2"/>
  <c r="E19" i="2"/>
  <c r="E20" i="2"/>
  <c r="E21" i="2"/>
  <c r="E22" i="2"/>
  <c r="E28" i="2" s="1"/>
  <c r="E23" i="2"/>
  <c r="E24" i="2"/>
  <c r="E25" i="2"/>
  <c r="E26" i="2"/>
  <c r="E27" i="2"/>
  <c r="E4" i="2"/>
  <c r="E14" i="2" s="1"/>
  <c r="E5" i="2"/>
  <c r="E6" i="2"/>
  <c r="E7" i="2"/>
  <c r="E8" i="2"/>
  <c r="E9" i="2"/>
  <c r="E10" i="2"/>
  <c r="E11" i="2"/>
  <c r="E12" i="2"/>
  <c r="E13" i="2"/>
  <c r="L45" i="2"/>
  <c r="M45" i="2"/>
  <c r="L44" i="2"/>
  <c r="M44" i="2"/>
  <c r="L46" i="2"/>
  <c r="M46" i="2"/>
  <c r="L47" i="2"/>
  <c r="M47" i="2"/>
  <c r="L52" i="2"/>
  <c r="M52" i="2"/>
  <c r="L53" i="2"/>
  <c r="M53" i="2"/>
  <c r="L49" i="2"/>
  <c r="M49" i="2"/>
  <c r="L51" i="2"/>
  <c r="M51" i="2"/>
  <c r="L50" i="2"/>
  <c r="M50" i="2"/>
  <c r="L56" i="2"/>
  <c r="M56" i="2"/>
  <c r="L58" i="2"/>
  <c r="M58" i="2"/>
  <c r="L54" i="2"/>
  <c r="M54" i="2"/>
  <c r="L57" i="2"/>
  <c r="M57" i="2"/>
  <c r="L55" i="2"/>
  <c r="M55" i="2"/>
  <c r="L61" i="2"/>
  <c r="M61" i="2"/>
  <c r="L63" i="2"/>
  <c r="M63" i="2"/>
  <c r="L60" i="2"/>
  <c r="M60" i="2"/>
  <c r="L62" i="2"/>
  <c r="M62" i="2"/>
  <c r="L59" i="2"/>
  <c r="M59" i="2"/>
  <c r="L68" i="2"/>
  <c r="M68" i="2"/>
  <c r="L67" i="2"/>
  <c r="M67" i="2"/>
  <c r="L65" i="2"/>
  <c r="M65" i="2"/>
  <c r="L66" i="2"/>
  <c r="M66" i="2"/>
  <c r="L64" i="2"/>
  <c r="M64" i="2"/>
  <c r="L8" i="2"/>
  <c r="M8" i="2"/>
  <c r="L5" i="2"/>
  <c r="M5" i="2"/>
  <c r="L7" i="2"/>
  <c r="M7" i="2"/>
  <c r="L4" i="2"/>
  <c r="M4" i="2"/>
  <c r="L6" i="2"/>
  <c r="M6" i="2"/>
  <c r="P43" i="2"/>
  <c r="P41" i="2"/>
  <c r="P39" i="2"/>
  <c r="P42" i="2"/>
  <c r="P40" i="2"/>
  <c r="L40" i="2"/>
  <c r="M40" i="2"/>
  <c r="L42" i="2"/>
  <c r="M42" i="2"/>
  <c r="L39" i="2"/>
  <c r="M39" i="2"/>
  <c r="L41" i="2"/>
  <c r="M41" i="2"/>
  <c r="L43" i="2"/>
  <c r="M43" i="2"/>
  <c r="P22" i="2"/>
  <c r="P21" i="2"/>
  <c r="P20" i="2"/>
  <c r="P25" i="2"/>
  <c r="P24" i="2"/>
  <c r="P23" i="2"/>
  <c r="P28" i="2"/>
  <c r="P26" i="2"/>
  <c r="P27" i="2"/>
  <c r="P19" i="2"/>
  <c r="P10" i="2"/>
  <c r="P13" i="2"/>
  <c r="P14" i="2"/>
  <c r="P16" i="2"/>
  <c r="P15" i="2"/>
  <c r="N15" i="2" s="1"/>
  <c r="O15" i="2" s="1"/>
  <c r="Q15" i="2" s="1"/>
  <c r="P11" i="2"/>
  <c r="P18" i="2"/>
  <c r="P12" i="2"/>
  <c r="P17" i="2"/>
  <c r="P9" i="2"/>
  <c r="P29" i="2"/>
  <c r="P34" i="2"/>
  <c r="P30" i="2"/>
  <c r="P31" i="2"/>
  <c r="P35" i="2"/>
  <c r="P33" i="2"/>
  <c r="P36" i="2"/>
  <c r="P37" i="2"/>
  <c r="P38" i="2"/>
  <c r="P32" i="2"/>
  <c r="M69" i="2"/>
  <c r="L69" i="2"/>
  <c r="M3" i="2"/>
  <c r="L3" i="2"/>
  <c r="M32" i="2"/>
  <c r="L32" i="2"/>
  <c r="M38" i="2"/>
  <c r="L38" i="2"/>
  <c r="M37" i="2"/>
  <c r="L37" i="2"/>
  <c r="M36" i="2"/>
  <c r="L36" i="2"/>
  <c r="M33" i="2"/>
  <c r="L33" i="2"/>
  <c r="M35" i="2"/>
  <c r="L35" i="2"/>
  <c r="M31" i="2"/>
  <c r="L31" i="2"/>
  <c r="M30" i="2"/>
  <c r="L30" i="2"/>
  <c r="M34" i="2"/>
  <c r="L34" i="2"/>
  <c r="M29" i="2"/>
  <c r="L29" i="2"/>
  <c r="M9" i="2"/>
  <c r="L9" i="2"/>
  <c r="M17" i="2"/>
  <c r="L17" i="2"/>
  <c r="M12" i="2"/>
  <c r="L12" i="2"/>
  <c r="M18" i="2"/>
  <c r="L18" i="2"/>
  <c r="M11" i="2"/>
  <c r="L11" i="2"/>
  <c r="M15" i="2"/>
  <c r="L15" i="2"/>
  <c r="M16" i="2"/>
  <c r="L16" i="2"/>
  <c r="M14" i="2"/>
  <c r="L14" i="2"/>
  <c r="M13" i="2"/>
  <c r="L13" i="2"/>
  <c r="M10" i="2"/>
  <c r="L10" i="2"/>
  <c r="M19" i="2"/>
  <c r="L19" i="2"/>
  <c r="M27" i="2"/>
  <c r="L27" i="2"/>
  <c r="M26" i="2"/>
  <c r="L26" i="2"/>
  <c r="M28" i="2"/>
  <c r="L28" i="2"/>
  <c r="M23" i="2"/>
  <c r="L23" i="2"/>
  <c r="M24" i="2"/>
  <c r="L24" i="2"/>
  <c r="M25" i="2"/>
  <c r="L25" i="2"/>
  <c r="M20" i="2"/>
  <c r="L20" i="2"/>
  <c r="M21" i="2"/>
  <c r="L21" i="2"/>
  <c r="M22" i="2"/>
  <c r="L22" i="2"/>
  <c r="F18" i="2"/>
  <c r="G18" i="2" s="1"/>
  <c r="G28" i="2" s="1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D28" i="2"/>
  <c r="C28" i="2"/>
  <c r="F4" i="2"/>
  <c r="G4" i="2"/>
  <c r="F5" i="2"/>
  <c r="F14" i="2" s="1"/>
  <c r="F6" i="2"/>
  <c r="G6" i="2"/>
  <c r="F7" i="2"/>
  <c r="G7" i="2"/>
  <c r="F8" i="2"/>
  <c r="G8" i="2" s="1"/>
  <c r="F9" i="2"/>
  <c r="G9" i="2" s="1"/>
  <c r="F10" i="2"/>
  <c r="G10" i="2" s="1"/>
  <c r="F11" i="2"/>
  <c r="G11" i="2" s="1"/>
  <c r="F12" i="2"/>
  <c r="G12" i="2"/>
  <c r="F13" i="2"/>
  <c r="G13" i="2" s="1"/>
  <c r="D14" i="2"/>
  <c r="C14" i="2"/>
  <c r="E20" i="1"/>
  <c r="E21" i="1"/>
  <c r="E30" i="1" s="1"/>
  <c r="E22" i="1"/>
  <c r="E23" i="1"/>
  <c r="E24" i="1"/>
  <c r="E25" i="1"/>
  <c r="E26" i="1"/>
  <c r="E27" i="1"/>
  <c r="E28" i="1"/>
  <c r="E29" i="1"/>
  <c r="E6" i="1"/>
  <c r="E16" i="1" s="1"/>
  <c r="E7" i="1"/>
  <c r="E8" i="1"/>
  <c r="E9" i="1"/>
  <c r="E10" i="1"/>
  <c r="E11" i="1"/>
  <c r="E12" i="1"/>
  <c r="E13" i="1"/>
  <c r="E14" i="1"/>
  <c r="E15" i="1"/>
  <c r="Q25" i="1"/>
  <c r="Q24" i="1"/>
  <c r="Q23" i="1"/>
  <c r="Q28" i="1"/>
  <c r="Q27" i="1"/>
  <c r="Q26" i="1"/>
  <c r="Q31" i="1"/>
  <c r="O31" i="1" s="1"/>
  <c r="P31" i="1" s="1"/>
  <c r="R31" i="1" s="1"/>
  <c r="Q29" i="1"/>
  <c r="Q30" i="1"/>
  <c r="Q22" i="1"/>
  <c r="Q13" i="1"/>
  <c r="Q12" i="1"/>
  <c r="Q15" i="1"/>
  <c r="Q14" i="1"/>
  <c r="Q16" i="1"/>
  <c r="Q32" i="1"/>
  <c r="Q35" i="1"/>
  <c r="Q33" i="1"/>
  <c r="Q34" i="1"/>
  <c r="Q36" i="1"/>
  <c r="Q38" i="1"/>
  <c r="Q40" i="1"/>
  <c r="Q37" i="1"/>
  <c r="Q39" i="1"/>
  <c r="Q41" i="1"/>
  <c r="Q46" i="1"/>
  <c r="Q43" i="1"/>
  <c r="Q42" i="1"/>
  <c r="Q44" i="1"/>
  <c r="Q45" i="1"/>
  <c r="Q50" i="1"/>
  <c r="Q51" i="1"/>
  <c r="Q47" i="1"/>
  <c r="Q49" i="1"/>
  <c r="Q48" i="1"/>
  <c r="Q54" i="1"/>
  <c r="Q56" i="1"/>
  <c r="Q52" i="1"/>
  <c r="Q55" i="1"/>
  <c r="Q53" i="1"/>
  <c r="O53" i="1" s="1"/>
  <c r="P53" i="1" s="1"/>
  <c r="R53" i="1" s="1"/>
  <c r="Q59" i="1"/>
  <c r="Q61" i="1"/>
  <c r="Q58" i="1"/>
  <c r="Q60" i="1"/>
  <c r="Q57" i="1"/>
  <c r="Q66" i="1"/>
  <c r="Q65" i="1"/>
  <c r="Q63" i="1"/>
  <c r="Q64" i="1"/>
  <c r="Q62" i="1"/>
  <c r="Q11" i="1"/>
  <c r="Q8" i="1"/>
  <c r="Q10" i="1"/>
  <c r="Q7" i="1"/>
  <c r="Q9" i="1"/>
  <c r="O9" i="1" s="1"/>
  <c r="P9" i="1" s="1"/>
  <c r="R9" i="1" s="1"/>
  <c r="Q17" i="1"/>
  <c r="O17" i="1" s="1"/>
  <c r="P17" i="1" s="1"/>
  <c r="R17" i="1" s="1"/>
  <c r="Q18" i="1"/>
  <c r="Q21" i="1"/>
  <c r="Q20" i="1"/>
  <c r="Q19" i="1"/>
  <c r="M11" i="1"/>
  <c r="N11" i="1"/>
  <c r="M8" i="1"/>
  <c r="N8" i="1"/>
  <c r="M10" i="1"/>
  <c r="N10" i="1"/>
  <c r="M7" i="1"/>
  <c r="N7" i="1"/>
  <c r="M9" i="1"/>
  <c r="N9" i="1"/>
  <c r="M17" i="1"/>
  <c r="N17" i="1"/>
  <c r="M18" i="1"/>
  <c r="N18" i="1"/>
  <c r="M21" i="1"/>
  <c r="N21" i="1"/>
  <c r="M20" i="1"/>
  <c r="N20" i="1"/>
  <c r="M19" i="1"/>
  <c r="N19" i="1"/>
  <c r="M6" i="1"/>
  <c r="N6" i="1"/>
  <c r="M67" i="1"/>
  <c r="N67" i="1"/>
  <c r="M32" i="1"/>
  <c r="N32" i="1"/>
  <c r="M35" i="1"/>
  <c r="N35" i="1"/>
  <c r="M33" i="1"/>
  <c r="N33" i="1"/>
  <c r="M34" i="1"/>
  <c r="N34" i="1"/>
  <c r="M36" i="1"/>
  <c r="N36" i="1"/>
  <c r="M38" i="1"/>
  <c r="N38" i="1"/>
  <c r="M40" i="1"/>
  <c r="N40" i="1"/>
  <c r="M37" i="1"/>
  <c r="N37" i="1"/>
  <c r="M39" i="1"/>
  <c r="N39" i="1"/>
  <c r="M41" i="1"/>
  <c r="N41" i="1"/>
  <c r="M46" i="1"/>
  <c r="N46" i="1"/>
  <c r="M43" i="1"/>
  <c r="N43" i="1"/>
  <c r="M42" i="1"/>
  <c r="N42" i="1"/>
  <c r="M44" i="1"/>
  <c r="N44" i="1"/>
  <c r="M45" i="1"/>
  <c r="N45" i="1"/>
  <c r="M50" i="1"/>
  <c r="N50" i="1"/>
  <c r="M51" i="1"/>
  <c r="N51" i="1"/>
  <c r="M47" i="1"/>
  <c r="N47" i="1"/>
  <c r="M49" i="1"/>
  <c r="N49" i="1"/>
  <c r="M48" i="1"/>
  <c r="N48" i="1"/>
  <c r="M54" i="1"/>
  <c r="N54" i="1"/>
  <c r="M56" i="1"/>
  <c r="N56" i="1"/>
  <c r="M52" i="1"/>
  <c r="N52" i="1"/>
  <c r="M55" i="1"/>
  <c r="N55" i="1"/>
  <c r="M53" i="1"/>
  <c r="N53" i="1"/>
  <c r="M59" i="1"/>
  <c r="N59" i="1"/>
  <c r="M61" i="1"/>
  <c r="N61" i="1"/>
  <c r="M58" i="1"/>
  <c r="N58" i="1"/>
  <c r="M60" i="1"/>
  <c r="N60" i="1"/>
  <c r="M57" i="1"/>
  <c r="N57" i="1"/>
  <c r="M66" i="1"/>
  <c r="N66" i="1"/>
  <c r="M65" i="1"/>
  <c r="N65" i="1"/>
  <c r="M63" i="1"/>
  <c r="N63" i="1"/>
  <c r="M64" i="1"/>
  <c r="N64" i="1"/>
  <c r="M62" i="1"/>
  <c r="N62" i="1"/>
  <c r="M13" i="1"/>
  <c r="N13" i="1"/>
  <c r="M12" i="1"/>
  <c r="N12" i="1"/>
  <c r="M15" i="1"/>
  <c r="N15" i="1"/>
  <c r="M14" i="1"/>
  <c r="N14" i="1"/>
  <c r="M16" i="1"/>
  <c r="N16" i="1"/>
  <c r="D31" i="1"/>
  <c r="C31" i="1"/>
  <c r="D17" i="1"/>
  <c r="C17" i="1"/>
  <c r="F20" i="1"/>
  <c r="G20" i="1"/>
  <c r="F21" i="1"/>
  <c r="G21" i="1"/>
  <c r="F22" i="1"/>
  <c r="G22" i="1"/>
  <c r="F23" i="1"/>
  <c r="G23" i="1"/>
  <c r="F24" i="1"/>
  <c r="F30" i="1" s="1"/>
  <c r="G24" i="1"/>
  <c r="F25" i="1"/>
  <c r="G25" i="1" s="1"/>
  <c r="F26" i="1"/>
  <c r="G26" i="1" s="1"/>
  <c r="F27" i="1"/>
  <c r="G27" i="1" s="1"/>
  <c r="F28" i="1"/>
  <c r="G28" i="1"/>
  <c r="F29" i="1"/>
  <c r="G29" i="1"/>
  <c r="D30" i="1"/>
  <c r="C30" i="1"/>
  <c r="F6" i="1"/>
  <c r="G6" i="1"/>
  <c r="G16" i="1" s="1"/>
  <c r="F7" i="1"/>
  <c r="F16" i="1" s="1"/>
  <c r="G7" i="1"/>
  <c r="F8" i="1"/>
  <c r="G8" i="1"/>
  <c r="F9" i="1"/>
  <c r="G9" i="1"/>
  <c r="F10" i="1"/>
  <c r="G10" i="1"/>
  <c r="F11" i="1"/>
  <c r="G11" i="1"/>
  <c r="F12" i="1"/>
  <c r="G12" i="1"/>
  <c r="F13" i="1"/>
  <c r="G13" i="1" s="1"/>
  <c r="F14" i="1"/>
  <c r="G14" i="1"/>
  <c r="F15" i="1"/>
  <c r="G15" i="1"/>
  <c r="D16" i="1"/>
  <c r="C16" i="1"/>
  <c r="N22" i="1"/>
  <c r="M22" i="1"/>
  <c r="N30" i="1"/>
  <c r="M30" i="1"/>
  <c r="N29" i="1"/>
  <c r="M29" i="1"/>
  <c r="N31" i="1"/>
  <c r="M31" i="1"/>
  <c r="N26" i="1"/>
  <c r="M26" i="1"/>
  <c r="N27" i="1"/>
  <c r="M27" i="1"/>
  <c r="N28" i="1"/>
  <c r="M28" i="1"/>
  <c r="N23" i="1"/>
  <c r="M23" i="1"/>
  <c r="N24" i="1"/>
  <c r="M24" i="1"/>
  <c r="N25" i="1"/>
  <c r="M25" i="1"/>
  <c r="O55" i="1" l="1"/>
  <c r="P55" i="1" s="1"/>
  <c r="R55" i="1" s="1"/>
  <c r="N32" i="2"/>
  <c r="O32" i="2" s="1"/>
  <c r="Q32" i="2" s="1"/>
  <c r="N14" i="2"/>
  <c r="O14" i="2" s="1"/>
  <c r="Q14" i="2" s="1"/>
  <c r="N16" i="2"/>
  <c r="O16" i="2" s="1"/>
  <c r="Q16" i="2" s="1"/>
  <c r="O31" i="3"/>
  <c r="P31" i="3" s="1"/>
  <c r="R31" i="3" s="1"/>
  <c r="O7" i="1"/>
  <c r="P7" i="1" s="1"/>
  <c r="R7" i="1" s="1"/>
  <c r="N38" i="2"/>
  <c r="O38" i="2" s="1"/>
  <c r="Q38" i="2" s="1"/>
  <c r="N13" i="2"/>
  <c r="O13" i="2" s="1"/>
  <c r="Q13" i="2" s="1"/>
  <c r="O28" i="3"/>
  <c r="P28" i="3" s="1"/>
  <c r="R28" i="3" s="1"/>
  <c r="O45" i="3"/>
  <c r="P45" i="3" s="1"/>
  <c r="R45" i="3" s="1"/>
  <c r="O59" i="3"/>
  <c r="P59" i="3" s="1"/>
  <c r="R59" i="3" s="1"/>
  <c r="O9" i="3"/>
  <c r="P9" i="3" s="1"/>
  <c r="R9" i="3" s="1"/>
  <c r="O14" i="3"/>
  <c r="P14" i="3" s="1"/>
  <c r="R14" i="3" s="1"/>
  <c r="O53" i="3"/>
  <c r="P53" i="3" s="1"/>
  <c r="R53" i="3" s="1"/>
  <c r="O44" i="3"/>
  <c r="P44" i="3" s="1"/>
  <c r="R44" i="3" s="1"/>
  <c r="O8" i="3"/>
  <c r="P8" i="3" s="1"/>
  <c r="R8" i="3" s="1"/>
  <c r="O52" i="3"/>
  <c r="P52" i="3" s="1"/>
  <c r="R52" i="3" s="1"/>
  <c r="O38" i="3"/>
  <c r="P38" i="3" s="1"/>
  <c r="R38" i="3" s="1"/>
  <c r="O22" i="3"/>
  <c r="P22" i="3" s="1"/>
  <c r="R22" i="3" s="1"/>
  <c r="O16" i="3"/>
  <c r="P16" i="3" s="1"/>
  <c r="R16" i="3" s="1"/>
  <c r="O58" i="3"/>
  <c r="P58" i="3" s="1"/>
  <c r="R58" i="3" s="1"/>
  <c r="O57" i="3"/>
  <c r="P57" i="3" s="1"/>
  <c r="R57" i="3" s="1"/>
  <c r="O12" i="3"/>
  <c r="P12" i="3" s="1"/>
  <c r="R12" i="3" s="1"/>
  <c r="O37" i="3"/>
  <c r="P37" i="3" s="1"/>
  <c r="R37" i="3" s="1"/>
  <c r="O15" i="3"/>
  <c r="P15" i="3" s="1"/>
  <c r="R15" i="3" s="1"/>
  <c r="O4" i="3"/>
  <c r="P4" i="3" s="1"/>
  <c r="R4" i="3" s="1"/>
  <c r="O7" i="3"/>
  <c r="P7" i="3" s="1"/>
  <c r="R7" i="3" s="1"/>
  <c r="O50" i="3"/>
  <c r="P50" i="3" s="1"/>
  <c r="R50" i="3" s="1"/>
  <c r="O21" i="3"/>
  <c r="P21" i="3" s="1"/>
  <c r="R21" i="3" s="1"/>
  <c r="O47" i="3"/>
  <c r="P47" i="3" s="1"/>
  <c r="R47" i="3" s="1"/>
  <c r="O51" i="3"/>
  <c r="P51" i="3" s="1"/>
  <c r="R51" i="3" s="1"/>
  <c r="O13" i="3"/>
  <c r="P13" i="3" s="1"/>
  <c r="R13" i="3" s="1"/>
  <c r="O56" i="3"/>
  <c r="P56" i="3" s="1"/>
  <c r="R56" i="3" s="1"/>
  <c r="O66" i="1"/>
  <c r="P66" i="1" s="1"/>
  <c r="R66" i="1" s="1"/>
  <c r="O38" i="1"/>
  <c r="P38" i="1" s="1"/>
  <c r="R38" i="1" s="1"/>
  <c r="O30" i="1"/>
  <c r="P30" i="1" s="1"/>
  <c r="R30" i="1" s="1"/>
  <c r="O49" i="1"/>
  <c r="P49" i="1" s="1"/>
  <c r="R49" i="1" s="1"/>
  <c r="O19" i="1"/>
  <c r="P19" i="1" s="1"/>
  <c r="R19" i="1" s="1"/>
  <c r="O60" i="1"/>
  <c r="P60" i="1" s="1"/>
  <c r="R60" i="1" s="1"/>
  <c r="O20" i="1"/>
  <c r="P20" i="1" s="1"/>
  <c r="R20" i="1" s="1"/>
  <c r="O15" i="1"/>
  <c r="P15" i="1" s="1"/>
  <c r="R15" i="1" s="1"/>
  <c r="O47" i="1"/>
  <c r="P47" i="1" s="1"/>
  <c r="R47" i="1" s="1"/>
  <c r="O32" i="1"/>
  <c r="P32" i="1" s="1"/>
  <c r="R32" i="1" s="1"/>
  <c r="O16" i="1"/>
  <c r="P16" i="1" s="1"/>
  <c r="R16" i="1" s="1"/>
  <c r="O65" i="1"/>
  <c r="P65" i="1" s="1"/>
  <c r="R65" i="1" s="1"/>
  <c r="O34" i="1"/>
  <c r="P34" i="1" s="1"/>
  <c r="R34" i="1" s="1"/>
  <c r="O57" i="1"/>
  <c r="P57" i="1" s="1"/>
  <c r="R57" i="1" s="1"/>
  <c r="O50" i="1"/>
  <c r="P50" i="1" s="1"/>
  <c r="R50" i="1" s="1"/>
  <c r="O22" i="1"/>
  <c r="P22" i="1" s="1"/>
  <c r="R22" i="1" s="1"/>
  <c r="O48" i="1"/>
  <c r="P48" i="1" s="1"/>
  <c r="R48" i="1" s="1"/>
  <c r="O25" i="1"/>
  <c r="P25" i="1" s="1"/>
  <c r="R25" i="1" s="1"/>
  <c r="O21" i="1"/>
  <c r="P21" i="1" s="1"/>
  <c r="R21" i="1" s="1"/>
  <c r="O33" i="1"/>
  <c r="P33" i="1" s="1"/>
  <c r="R33" i="1" s="1"/>
  <c r="O67" i="1"/>
  <c r="P67" i="1" s="1"/>
  <c r="R67" i="1" s="1"/>
  <c r="O39" i="1"/>
  <c r="P39" i="1" s="1"/>
  <c r="R39" i="1" s="1"/>
  <c r="O43" i="1"/>
  <c r="P43" i="1" s="1"/>
  <c r="R43" i="1" s="1"/>
  <c r="O61" i="1"/>
  <c r="P61" i="1" s="1"/>
  <c r="R61" i="1" s="1"/>
  <c r="O27" i="1"/>
  <c r="P27" i="1" s="1"/>
  <c r="R27" i="1" s="1"/>
  <c r="O56" i="1"/>
  <c r="P56" i="1" s="1"/>
  <c r="R56" i="1" s="1"/>
  <c r="O64" i="1"/>
  <c r="P64" i="1" s="1"/>
  <c r="R64" i="1" s="1"/>
  <c r="O23" i="1"/>
  <c r="P23" i="1" s="1"/>
  <c r="R23" i="1" s="1"/>
  <c r="O6" i="1"/>
  <c r="P6" i="1" s="1"/>
  <c r="R6" i="1" s="1"/>
  <c r="O40" i="1"/>
  <c r="P40" i="1" s="1"/>
  <c r="R40" i="1" s="1"/>
  <c r="O29" i="1"/>
  <c r="P29" i="1" s="1"/>
  <c r="R29" i="1" s="1"/>
  <c r="O28" i="1"/>
  <c r="P28" i="1" s="1"/>
  <c r="R28" i="1" s="1"/>
  <c r="O54" i="1"/>
  <c r="P54" i="1" s="1"/>
  <c r="R54" i="1" s="1"/>
  <c r="O62" i="1"/>
  <c r="P62" i="1" s="1"/>
  <c r="R62" i="1" s="1"/>
  <c r="O36" i="1"/>
  <c r="P36" i="1" s="1"/>
  <c r="R36" i="1" s="1"/>
  <c r="O13" i="1"/>
  <c r="P13" i="1" s="1"/>
  <c r="R13" i="1" s="1"/>
  <c r="O12" i="1"/>
  <c r="P12" i="1" s="1"/>
  <c r="R12" i="1" s="1"/>
  <c r="O51" i="1"/>
  <c r="P51" i="1" s="1"/>
  <c r="R51" i="1" s="1"/>
  <c r="O24" i="1"/>
  <c r="P24" i="1" s="1"/>
  <c r="R24" i="1" s="1"/>
  <c r="O18" i="1"/>
  <c r="P18" i="1" s="1"/>
  <c r="R18" i="1" s="1"/>
  <c r="O52" i="1"/>
  <c r="P52" i="1" s="1"/>
  <c r="R52" i="1" s="1"/>
  <c r="O63" i="1"/>
  <c r="P63" i="1" s="1"/>
  <c r="R63" i="1" s="1"/>
  <c r="O26" i="1"/>
  <c r="P26" i="1" s="1"/>
  <c r="R26" i="1" s="1"/>
  <c r="O11" i="1"/>
  <c r="P11" i="1" s="1"/>
  <c r="R11" i="1" s="1"/>
  <c r="O46" i="1"/>
  <c r="P46" i="1" s="1"/>
  <c r="R46" i="1" s="1"/>
  <c r="O10" i="1"/>
  <c r="P10" i="1" s="1"/>
  <c r="R10" i="1" s="1"/>
  <c r="O37" i="1"/>
  <c r="P37" i="1" s="1"/>
  <c r="R37" i="1" s="1"/>
  <c r="O45" i="1"/>
  <c r="P45" i="1" s="1"/>
  <c r="R45" i="1" s="1"/>
  <c r="O14" i="1"/>
  <c r="P14" i="1" s="1"/>
  <c r="R14" i="1" s="1"/>
  <c r="G14" i="2"/>
  <c r="O46" i="3"/>
  <c r="P46" i="3" s="1"/>
  <c r="R46" i="3" s="1"/>
  <c r="N18" i="2"/>
  <c r="O18" i="2" s="1"/>
  <c r="Q18" i="2" s="1"/>
  <c r="N65" i="2"/>
  <c r="O65" i="2" s="1"/>
  <c r="Q65" i="2" s="1"/>
  <c r="N23" i="2"/>
  <c r="O23" i="2" s="1"/>
  <c r="Q23" i="2" s="1"/>
  <c r="N39" i="2"/>
  <c r="O39" i="2" s="1"/>
  <c r="Q39" i="2" s="1"/>
  <c r="N43" i="2"/>
  <c r="O43" i="2" s="1"/>
  <c r="Q43" i="2" s="1"/>
  <c r="N64" i="2"/>
  <c r="O64" i="2" s="1"/>
  <c r="Q64" i="2" s="1"/>
  <c r="N69" i="2"/>
  <c r="O69" i="2" s="1"/>
  <c r="Q69" i="2" s="1"/>
  <c r="N33" i="2"/>
  <c r="O33" i="2" s="1"/>
  <c r="Q33" i="2" s="1"/>
  <c r="N40" i="2"/>
  <c r="O40" i="2" s="1"/>
  <c r="Q40" i="2" s="1"/>
  <c r="N51" i="2"/>
  <c r="O51" i="2" s="1"/>
  <c r="Q51" i="2" s="1"/>
  <c r="N5" i="2"/>
  <c r="O5" i="2" s="1"/>
  <c r="Q5" i="2" s="1"/>
  <c r="N67" i="2"/>
  <c r="O67" i="2" s="1"/>
  <c r="Q67" i="2" s="1"/>
  <c r="N9" i="2"/>
  <c r="O9" i="2" s="1"/>
  <c r="Q9" i="2" s="1"/>
  <c r="N11" i="2"/>
  <c r="O11" i="2" s="1"/>
  <c r="Q11" i="2" s="1"/>
  <c r="N44" i="2"/>
  <c r="O44" i="2" s="1"/>
  <c r="Q44" i="2" s="1"/>
  <c r="N35" i="2"/>
  <c r="O35" i="2" s="1"/>
  <c r="Q35" i="2" s="1"/>
  <c r="N20" i="2"/>
  <c r="O20" i="2" s="1"/>
  <c r="Q20" i="2" s="1"/>
  <c r="N68" i="2"/>
  <c r="O68" i="2" s="1"/>
  <c r="Q68" i="2" s="1"/>
  <c r="N57" i="2"/>
  <c r="O57" i="2" s="1"/>
  <c r="Q57" i="2" s="1"/>
  <c r="N17" i="2"/>
  <c r="O17" i="2" s="1"/>
  <c r="Q17" i="2" s="1"/>
  <c r="N50" i="2"/>
  <c r="O50" i="2" s="1"/>
  <c r="Q50" i="2" s="1"/>
  <c r="N12" i="2"/>
  <c r="O12" i="2" s="1"/>
  <c r="Q12" i="2" s="1"/>
  <c r="N19" i="2"/>
  <c r="O19" i="2" s="1"/>
  <c r="Q19" i="2" s="1"/>
  <c r="N61" i="2"/>
  <c r="O61" i="2" s="1"/>
  <c r="Q61" i="2" s="1"/>
  <c r="N10" i="2"/>
  <c r="O10" i="2" s="1"/>
  <c r="Q10" i="2" s="1"/>
  <c r="N25" i="2"/>
  <c r="O25" i="2" s="1"/>
  <c r="Q25" i="2" s="1"/>
  <c r="N52" i="2"/>
  <c r="O52" i="2" s="1"/>
  <c r="Q52" i="2" s="1"/>
  <c r="N53" i="2"/>
  <c r="O53" i="2" s="1"/>
  <c r="Q53" i="2" s="1"/>
  <c r="N41" i="2"/>
  <c r="O41" i="2" s="1"/>
  <c r="Q41" i="2" s="1"/>
  <c r="N36" i="2"/>
  <c r="O36" i="2" s="1"/>
  <c r="Q36" i="2" s="1"/>
  <c r="N21" i="2"/>
  <c r="O21" i="2" s="1"/>
  <c r="Q21" i="2" s="1"/>
  <c r="N4" i="2"/>
  <c r="O4" i="2" s="1"/>
  <c r="Q4" i="2" s="1"/>
  <c r="N22" i="2"/>
  <c r="O22" i="2" s="1"/>
  <c r="Q22" i="2" s="1"/>
  <c r="N54" i="2"/>
  <c r="O54" i="2" s="1"/>
  <c r="Q54" i="2" s="1"/>
  <c r="N3" i="2"/>
  <c r="O3" i="2" s="1"/>
  <c r="Q3" i="2" s="1"/>
  <c r="N29" i="2"/>
  <c r="O29" i="2" s="1"/>
  <c r="Q29" i="2" s="1"/>
  <c r="N8" i="2"/>
  <c r="O8" i="2" s="1"/>
  <c r="Q8" i="2" s="1"/>
  <c r="N58" i="2"/>
  <c r="O58" i="2" s="1"/>
  <c r="Q58" i="2" s="1"/>
  <c r="N6" i="2"/>
  <c r="O6" i="2" s="1"/>
  <c r="Q6" i="2" s="1"/>
  <c r="N31" i="2"/>
  <c r="O31" i="2" s="1"/>
  <c r="Q31" i="2" s="1"/>
  <c r="N59" i="2"/>
  <c r="O59" i="2" s="1"/>
  <c r="Q59" i="2" s="1"/>
  <c r="N63" i="2"/>
  <c r="O63" i="2" s="1"/>
  <c r="Q63" i="2" s="1"/>
  <c r="N55" i="2"/>
  <c r="O55" i="2" s="1"/>
  <c r="Q55" i="2" s="1"/>
  <c r="N56" i="2"/>
  <c r="O56" i="2" s="1"/>
  <c r="Q56" i="2" s="1"/>
  <c r="N48" i="2"/>
  <c r="O48" i="2" s="1"/>
  <c r="Q48" i="2" s="1"/>
  <c r="N30" i="2"/>
  <c r="O30" i="2" s="1"/>
  <c r="Q30" i="2" s="1"/>
  <c r="N66" i="2"/>
  <c r="O66" i="2" s="1"/>
  <c r="Q66" i="2" s="1"/>
  <c r="N7" i="2"/>
  <c r="O7" i="2" s="1"/>
  <c r="Q7" i="2" s="1"/>
  <c r="N26" i="2"/>
  <c r="O26" i="2" s="1"/>
  <c r="Q26" i="2" s="1"/>
  <c r="N37" i="2"/>
  <c r="O37" i="2" s="1"/>
  <c r="Q37" i="2" s="1"/>
  <c r="N24" i="2"/>
  <c r="O24" i="2" s="1"/>
  <c r="Q24" i="2" s="1"/>
  <c r="N42" i="2"/>
  <c r="O42" i="2" s="1"/>
  <c r="Q42" i="2" s="1"/>
  <c r="N28" i="2"/>
  <c r="O28" i="2" s="1"/>
  <c r="Q28" i="2" s="1"/>
  <c r="N34" i="2"/>
  <c r="O34" i="2" s="1"/>
  <c r="Q34" i="2" s="1"/>
  <c r="O35" i="3"/>
  <c r="P35" i="3" s="1"/>
  <c r="R35" i="3" s="1"/>
  <c r="O44" i="1"/>
  <c r="P44" i="1" s="1"/>
  <c r="R44" i="1" s="1"/>
  <c r="N49" i="2"/>
  <c r="O49" i="2" s="1"/>
  <c r="Q49" i="2" s="1"/>
  <c r="O35" i="1"/>
  <c r="P35" i="1" s="1"/>
  <c r="R35" i="1" s="1"/>
  <c r="O8" i="1"/>
  <c r="P8" i="1" s="1"/>
  <c r="R8" i="1" s="1"/>
  <c r="N27" i="2"/>
  <c r="O27" i="2" s="1"/>
  <c r="Q27" i="2" s="1"/>
  <c r="O33" i="3"/>
  <c r="P33" i="3" s="1"/>
  <c r="R33" i="3" s="1"/>
  <c r="O32" i="3"/>
  <c r="P32" i="3" s="1"/>
  <c r="R32" i="3" s="1"/>
  <c r="O42" i="3"/>
  <c r="P42" i="3" s="1"/>
  <c r="R42" i="3" s="1"/>
  <c r="O26" i="3"/>
  <c r="P26" i="3" s="1"/>
  <c r="R26" i="3" s="1"/>
  <c r="O10" i="3"/>
  <c r="P10" i="3" s="1"/>
  <c r="R10" i="3" s="1"/>
  <c r="N47" i="2"/>
  <c r="O47" i="2" s="1"/>
  <c r="Q47" i="2" s="1"/>
  <c r="O48" i="3"/>
  <c r="P48" i="3" s="1"/>
  <c r="R48" i="3" s="1"/>
  <c r="O42" i="1"/>
  <c r="P42" i="1" s="1"/>
  <c r="R42" i="1" s="1"/>
  <c r="O58" i="1"/>
  <c r="P58" i="1" s="1"/>
  <c r="R58" i="1" s="1"/>
  <c r="G30" i="1"/>
  <c r="O59" i="1"/>
  <c r="P59" i="1" s="1"/>
  <c r="R59" i="1" s="1"/>
  <c r="O41" i="1"/>
  <c r="P41" i="1" s="1"/>
  <c r="R41" i="1" s="1"/>
  <c r="N45" i="2"/>
  <c r="O45" i="2" s="1"/>
  <c r="Q45" i="2" s="1"/>
  <c r="N60" i="2"/>
  <c r="O60" i="2" s="1"/>
  <c r="Q60" i="2" s="1"/>
  <c r="O41" i="3"/>
  <c r="P41" i="3" s="1"/>
  <c r="R41" i="3" s="1"/>
  <c r="O25" i="3"/>
  <c r="P25" i="3" s="1"/>
  <c r="R25" i="3" s="1"/>
  <c r="O19" i="3"/>
  <c r="P19" i="3" s="1"/>
  <c r="R19" i="3" s="1"/>
  <c r="G5" i="2"/>
  <c r="O3" i="3"/>
  <c r="P3" i="3" s="1"/>
  <c r="R3" i="3" s="1"/>
  <c r="O43" i="3"/>
  <c r="P43" i="3" s="1"/>
  <c r="R43" i="3" s="1"/>
  <c r="O18" i="3"/>
  <c r="P18" i="3" s="1"/>
  <c r="R18" i="3" s="1"/>
  <c r="O49" i="3"/>
  <c r="P49" i="3" s="1"/>
  <c r="R49" i="3" s="1"/>
  <c r="O24" i="3"/>
  <c r="P24" i="3" s="1"/>
  <c r="R24" i="3" s="1"/>
  <c r="F28" i="2"/>
  <c r="O55" i="3"/>
  <c r="P55" i="3" s="1"/>
  <c r="R55" i="3" s="1"/>
  <c r="O30" i="3"/>
  <c r="P30" i="3" s="1"/>
  <c r="R30" i="3" s="1"/>
  <c r="O5" i="3"/>
  <c r="P5" i="3" s="1"/>
  <c r="R5" i="3" s="1"/>
  <c r="O36" i="3"/>
  <c r="P36" i="3" s="1"/>
  <c r="R36" i="3" s="1"/>
  <c r="O11" i="3"/>
  <c r="P11" i="3" s="1"/>
  <c r="R11" i="3" s="1"/>
  <c r="O17" i="3"/>
  <c r="P17" i="3" s="1"/>
  <c r="R17" i="3" s="1"/>
  <c r="O54" i="3"/>
  <c r="P54" i="3" s="1"/>
  <c r="R54" i="3" s="1"/>
  <c r="O29" i="3"/>
  <c r="P29" i="3" s="1"/>
  <c r="R29" i="3" s="1"/>
</calcChain>
</file>

<file path=xl/sharedStrings.xml><?xml version="1.0" encoding="utf-8"?>
<sst xmlns="http://schemas.openxmlformats.org/spreadsheetml/2006/main" count="56" uniqueCount="16">
  <si>
    <t>bcc U10Mo</t>
  </si>
  <si>
    <t>E</t>
  </si>
  <si>
    <t>V</t>
  </si>
  <si>
    <t>E/at</t>
  </si>
  <si>
    <t>V/at</t>
  </si>
  <si>
    <t>Ef</t>
  </si>
  <si>
    <t>Ef/at</t>
  </si>
  <si>
    <t>cMo</t>
  </si>
  <si>
    <t>ADP</t>
  </si>
  <si>
    <t>U</t>
  </si>
  <si>
    <t>Mo</t>
  </si>
  <si>
    <t>a0</t>
  </si>
  <si>
    <t>bccU</t>
  </si>
  <si>
    <t>bccMo</t>
  </si>
  <si>
    <t>600K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</si>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</sst>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0495349619759101"/>
                  <c:y val="7.0822926203991901E-2"/>
                </c:manualLayout>
              </c:layout>
              <c:numFmt formatCode="General" sourceLinked="0"/>
            </c:trendlineLbl>
          </c:trendline>
          <c:xVal>
            <c:numRef>
              <c:f>'1000 K'!$Q$6:$Q$67</c:f>
              <c:numCache>
                <c:formatCode>General</c:formatCode>
                <c:ptCount val="62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8.9499999999999996E-2</c:v>
                </c:pt>
                <c:pt idx="7">
                  <c:v>9.35E-2</c:v>
                </c:pt>
                <c:pt idx="8">
                  <c:v>9.5500000000000002E-2</c:v>
                </c:pt>
                <c:pt idx="9">
                  <c:v>9.7000000000000003E-2</c:v>
                </c:pt>
                <c:pt idx="10">
                  <c:v>9.7500000000000003E-2</c:v>
                </c:pt>
                <c:pt idx="11">
                  <c:v>0.14050000000000001</c:v>
                </c:pt>
                <c:pt idx="12">
                  <c:v>0.14649999999999999</c:v>
                </c:pt>
                <c:pt idx="13">
                  <c:v>0.14849999999999999</c:v>
                </c:pt>
                <c:pt idx="14">
                  <c:v>0.14949999999999999</c:v>
                </c:pt>
                <c:pt idx="15">
                  <c:v>0.15049999999999999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0.27750000000000002</c:v>
                </c:pt>
                <c:pt idx="27">
                  <c:v>0.28100000000000003</c:v>
                </c:pt>
                <c:pt idx="28">
                  <c:v>0.28599999999999998</c:v>
                </c:pt>
                <c:pt idx="29">
                  <c:v>0.29749999999999999</c:v>
                </c:pt>
                <c:pt idx="30">
                  <c:v>0.29749999999999999</c:v>
                </c:pt>
                <c:pt idx="31">
                  <c:v>0.378</c:v>
                </c:pt>
                <c:pt idx="32">
                  <c:v>0.38850000000000001</c:v>
                </c:pt>
                <c:pt idx="33">
                  <c:v>0.39050000000000001</c:v>
                </c:pt>
                <c:pt idx="34">
                  <c:v>0.39400000000000002</c:v>
                </c:pt>
                <c:pt idx="35">
                  <c:v>0.40200000000000002</c:v>
                </c:pt>
                <c:pt idx="36">
                  <c:v>0.47449999999999998</c:v>
                </c:pt>
                <c:pt idx="37">
                  <c:v>0.49299999999999999</c:v>
                </c:pt>
                <c:pt idx="38">
                  <c:v>0.49349999999999999</c:v>
                </c:pt>
                <c:pt idx="39">
                  <c:v>0.49399999999999999</c:v>
                </c:pt>
                <c:pt idx="40">
                  <c:v>0.501</c:v>
                </c:pt>
                <c:pt idx="41">
                  <c:v>0.57099999999999995</c:v>
                </c:pt>
                <c:pt idx="42">
                  <c:v>0.59250000000000003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</c:v>
                </c:pt>
                <c:pt idx="46">
                  <c:v>0.68200000000000005</c:v>
                </c:pt>
                <c:pt idx="47">
                  <c:v>0.69399999999999995</c:v>
                </c:pt>
                <c:pt idx="48">
                  <c:v>0.70399999999999996</c:v>
                </c:pt>
                <c:pt idx="49">
                  <c:v>0.70699999999999996</c:v>
                </c:pt>
                <c:pt idx="50">
                  <c:v>0.71</c:v>
                </c:pt>
                <c:pt idx="51">
                  <c:v>0.79249999999999998</c:v>
                </c:pt>
                <c:pt idx="52">
                  <c:v>0.79349999999999998</c:v>
                </c:pt>
                <c:pt idx="53">
                  <c:v>0.80449999999999999</c:v>
                </c:pt>
                <c:pt idx="54">
                  <c:v>0.80600000000000005</c:v>
                </c:pt>
                <c:pt idx="55">
                  <c:v>0.8115</c:v>
                </c:pt>
                <c:pt idx="56">
                  <c:v>0.89200000000000002</c:v>
                </c:pt>
                <c:pt idx="57">
                  <c:v>0.89749999999999996</c:v>
                </c:pt>
                <c:pt idx="58">
                  <c:v>0.89749999999999996</c:v>
                </c:pt>
                <c:pt idx="59">
                  <c:v>0.9</c:v>
                </c:pt>
                <c:pt idx="60">
                  <c:v>0.90249999999999997</c:v>
                </c:pt>
                <c:pt idx="61">
                  <c:v>1</c:v>
                </c:pt>
              </c:numCache>
            </c:numRef>
          </c:xVal>
          <c:yVal>
            <c:numRef>
              <c:f>'1000 K'!$M$6:$M$67</c:f>
              <c:numCache>
                <c:formatCode>General</c:formatCode>
                <c:ptCount val="62"/>
                <c:pt idx="0">
                  <c:v>-4.0670907491500001</c:v>
                </c:pt>
                <c:pt idx="1">
                  <c:v>-4.1727160119999995</c:v>
                </c:pt>
                <c:pt idx="2">
                  <c:v>-4.1845935914999997</c:v>
                </c:pt>
                <c:pt idx="3">
                  <c:v>-4.1882449770000001</c:v>
                </c:pt>
                <c:pt idx="4">
                  <c:v>-4.1899695750000001</c:v>
                </c:pt>
                <c:pt idx="5">
                  <c:v>-4.2003463849999996</c:v>
                </c:pt>
                <c:pt idx="6">
                  <c:v>-4.290181187</c:v>
                </c:pt>
                <c:pt idx="7">
                  <c:v>-4.2996125894999997</c:v>
                </c:pt>
                <c:pt idx="8">
                  <c:v>-4.3054475414999995</c:v>
                </c:pt>
                <c:pt idx="9">
                  <c:v>-4.3098545179999999</c:v>
                </c:pt>
                <c:pt idx="10">
                  <c:v>-4.3098749710000002</c:v>
                </c:pt>
                <c:pt idx="11">
                  <c:v>-4.4202318395000004</c:v>
                </c:pt>
                <c:pt idx="12">
                  <c:v>-4.4360633685000002</c:v>
                </c:pt>
                <c:pt idx="13">
                  <c:v>-4.4402291585000002</c:v>
                </c:pt>
                <c:pt idx="14">
                  <c:v>-4.4421957519999999</c:v>
                </c:pt>
                <c:pt idx="15">
                  <c:v>-4.4462210514999994</c:v>
                </c:pt>
                <c:pt idx="16">
                  <c:v>-4.6062635060000003</c:v>
                </c:pt>
                <c:pt idx="17">
                  <c:v>-4.6118006549999997</c:v>
                </c:pt>
                <c:pt idx="18">
                  <c:v>-4.6233966935000002</c:v>
                </c:pt>
                <c:pt idx="19">
                  <c:v>-4.6269003309999999</c:v>
                </c:pt>
                <c:pt idx="20">
                  <c:v>-4.6294779285000001</c:v>
                </c:pt>
                <c:pt idx="21">
                  <c:v>-4.6300910709999998</c:v>
                </c:pt>
                <c:pt idx="22">
                  <c:v>-4.6325016235000005</c:v>
                </c:pt>
                <c:pt idx="23">
                  <c:v>-4.6416358840000003</c:v>
                </c:pt>
                <c:pt idx="24">
                  <c:v>-4.6482650274999999</c:v>
                </c:pt>
                <c:pt idx="25">
                  <c:v>-4.6828976535000004</c:v>
                </c:pt>
                <c:pt idx="26">
                  <c:v>-4.7695400619999999</c:v>
                </c:pt>
                <c:pt idx="27">
                  <c:v>-4.7759649074999997</c:v>
                </c:pt>
                <c:pt idx="28">
                  <c:v>-4.7907662984999995</c:v>
                </c:pt>
                <c:pt idx="29">
                  <c:v>-4.8197291414999999</c:v>
                </c:pt>
                <c:pt idx="30">
                  <c:v>-4.8200812815000003</c:v>
                </c:pt>
                <c:pt idx="31">
                  <c:v>-5.0246224829999999</c:v>
                </c:pt>
                <c:pt idx="32">
                  <c:v>-5.0524558729999995</c:v>
                </c:pt>
                <c:pt idx="33">
                  <c:v>-5.0554746590000006</c:v>
                </c:pt>
                <c:pt idx="34">
                  <c:v>-5.0639058710000002</c:v>
                </c:pt>
                <c:pt idx="35">
                  <c:v>-5.0812458600000001</c:v>
                </c:pt>
                <c:pt idx="36">
                  <c:v>-5.2684195615</c:v>
                </c:pt>
                <c:pt idx="37">
                  <c:v>-5.3144606620000001</c:v>
                </c:pt>
                <c:pt idx="38">
                  <c:v>-5.3197873190000005</c:v>
                </c:pt>
                <c:pt idx="39">
                  <c:v>-5.3152395409999995</c:v>
                </c:pt>
                <c:pt idx="40">
                  <c:v>-5.3403975334999991</c:v>
                </c:pt>
                <c:pt idx="41">
                  <c:v>-5.5147202330000002</c:v>
                </c:pt>
                <c:pt idx="42">
                  <c:v>-5.5685648844999998</c:v>
                </c:pt>
                <c:pt idx="43">
                  <c:v>-5.5832574169999996</c:v>
                </c:pt>
                <c:pt idx="44">
                  <c:v>-5.5899460175</c:v>
                </c:pt>
                <c:pt idx="45">
                  <c:v>-5.5876681379999997</c:v>
                </c:pt>
                <c:pt idx="46">
                  <c:v>-5.8030654510000002</c:v>
                </c:pt>
                <c:pt idx="47">
                  <c:v>-5.8332096824999997</c:v>
                </c:pt>
                <c:pt idx="48">
                  <c:v>-5.8657839780000005</c:v>
                </c:pt>
                <c:pt idx="49">
                  <c:v>-5.8704879124999998</c:v>
                </c:pt>
                <c:pt idx="50">
                  <c:v>-5.8818501935</c:v>
                </c:pt>
                <c:pt idx="51">
                  <c:v>-6.1049204399999999</c:v>
                </c:pt>
                <c:pt idx="52">
                  <c:v>-6.1067093404999993</c:v>
                </c:pt>
                <c:pt idx="53">
                  <c:v>-6.1444702420000006</c:v>
                </c:pt>
                <c:pt idx="54">
                  <c:v>-6.1457590604999996</c:v>
                </c:pt>
                <c:pt idx="55">
                  <c:v>-6.1619532269999997</c:v>
                </c:pt>
                <c:pt idx="56">
                  <c:v>-6.3985394280000003</c:v>
                </c:pt>
                <c:pt idx="57">
                  <c:v>-6.4157341820000005</c:v>
                </c:pt>
                <c:pt idx="58">
                  <c:v>-6.4176045425000003</c:v>
                </c:pt>
                <c:pt idx="59">
                  <c:v>-6.4255280185000005</c:v>
                </c:pt>
                <c:pt idx="60">
                  <c:v>-6.4341914964999996</c:v>
                </c:pt>
                <c:pt idx="61">
                  <c:v>-6.7554243093000013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2-C34D-BD01-D2648F52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486320"/>
        <c:axId val="-1310484000"/>
      </c:scatterChart>
      <c:valAx>
        <c:axId val="-131048632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310484000"/>
        <c:crosses val="autoZero"/>
        <c:crossBetween val="midCat"/>
      </c:valAx>
      <c:valAx>
        <c:axId val="-1310484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1048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3.3275994346860502E-2"/>
                  <c:y val="-0.70536458524079804"/>
                </c:manualLayout>
              </c:layout>
              <c:numFmt formatCode="General" sourceLinked="0"/>
            </c:trendlineLbl>
          </c:trendline>
          <c:xVal>
            <c:numRef>
              <c:f>'800K'!$P$3:$P$69</c:f>
              <c:numCache>
                <c:formatCode>General</c:formatCode>
                <c:ptCount val="67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0.109</c:v>
                </c:pt>
                <c:pt idx="7">
                  <c:v>0.1115</c:v>
                </c:pt>
                <c:pt idx="8">
                  <c:v>0.1115</c:v>
                </c:pt>
                <c:pt idx="9">
                  <c:v>0.1115</c:v>
                </c:pt>
                <c:pt idx="10">
                  <c:v>0.1135</c:v>
                </c:pt>
                <c:pt idx="11">
                  <c:v>0.11700000000000001</c:v>
                </c:pt>
                <c:pt idx="12">
                  <c:v>0.11849999999999999</c:v>
                </c:pt>
                <c:pt idx="13">
                  <c:v>0.11899999999999999</c:v>
                </c:pt>
                <c:pt idx="14">
                  <c:v>0.12</c:v>
                </c:pt>
                <c:pt idx="15">
                  <c:v>0.13950000000000001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0.28899999999999998</c:v>
                </c:pt>
                <c:pt idx="27">
                  <c:v>0.28949999999999998</c:v>
                </c:pt>
                <c:pt idx="28">
                  <c:v>0.29649999999999999</c:v>
                </c:pt>
                <c:pt idx="29">
                  <c:v>0.29699999999999999</c:v>
                </c:pt>
                <c:pt idx="30">
                  <c:v>0.30399999999999999</c:v>
                </c:pt>
                <c:pt idx="31">
                  <c:v>0.30599999999999999</c:v>
                </c:pt>
                <c:pt idx="32">
                  <c:v>0.30649999999999999</c:v>
                </c:pt>
                <c:pt idx="33">
                  <c:v>0.3125</c:v>
                </c:pt>
                <c:pt idx="34">
                  <c:v>0.3135</c:v>
                </c:pt>
                <c:pt idx="35">
                  <c:v>0.3135</c:v>
                </c:pt>
                <c:pt idx="36">
                  <c:v>0.378</c:v>
                </c:pt>
                <c:pt idx="37">
                  <c:v>0.38850000000000001</c:v>
                </c:pt>
                <c:pt idx="38">
                  <c:v>0.39050000000000001</c:v>
                </c:pt>
                <c:pt idx="39">
                  <c:v>0.39400000000000002</c:v>
                </c:pt>
                <c:pt idx="40">
                  <c:v>0.40200000000000002</c:v>
                </c:pt>
                <c:pt idx="41">
                  <c:v>0.47449999999999998</c:v>
                </c:pt>
                <c:pt idx="42">
                  <c:v>0.49299999999999999</c:v>
                </c:pt>
                <c:pt idx="43">
                  <c:v>0.49349999999999999</c:v>
                </c:pt>
                <c:pt idx="44">
                  <c:v>0.49399999999999999</c:v>
                </c:pt>
                <c:pt idx="45">
                  <c:v>0.501</c:v>
                </c:pt>
                <c:pt idx="46">
                  <c:v>0.57099999999999995</c:v>
                </c:pt>
                <c:pt idx="47">
                  <c:v>0.59250000000000003</c:v>
                </c:pt>
                <c:pt idx="48">
                  <c:v>0.59599999999999997</c:v>
                </c:pt>
                <c:pt idx="49">
                  <c:v>0.59950000000000003</c:v>
                </c:pt>
                <c:pt idx="50">
                  <c:v>0.6</c:v>
                </c:pt>
                <c:pt idx="51">
                  <c:v>0.68200000000000005</c:v>
                </c:pt>
                <c:pt idx="52">
                  <c:v>0.69399999999999995</c:v>
                </c:pt>
                <c:pt idx="53">
                  <c:v>0.70399999999999996</c:v>
                </c:pt>
                <c:pt idx="54">
                  <c:v>0.70699999999999996</c:v>
                </c:pt>
                <c:pt idx="55">
                  <c:v>0.71</c:v>
                </c:pt>
                <c:pt idx="56">
                  <c:v>0.79249999999999998</c:v>
                </c:pt>
                <c:pt idx="57">
                  <c:v>0.79349999999999998</c:v>
                </c:pt>
                <c:pt idx="58">
                  <c:v>0.80449999999999999</c:v>
                </c:pt>
                <c:pt idx="59">
                  <c:v>0.80600000000000005</c:v>
                </c:pt>
                <c:pt idx="60">
                  <c:v>0.8115</c:v>
                </c:pt>
                <c:pt idx="61">
                  <c:v>0.89200000000000002</c:v>
                </c:pt>
                <c:pt idx="62">
                  <c:v>0.89749999999999996</c:v>
                </c:pt>
                <c:pt idx="63">
                  <c:v>0.89749999999999996</c:v>
                </c:pt>
                <c:pt idx="64">
                  <c:v>0.9</c:v>
                </c:pt>
                <c:pt idx="65">
                  <c:v>0.90249999999999997</c:v>
                </c:pt>
                <c:pt idx="66">
                  <c:v>1</c:v>
                </c:pt>
              </c:numCache>
            </c:numRef>
          </c:xVal>
          <c:yVal>
            <c:numRef>
              <c:f>'800K'!$O$3:$O$69</c:f>
              <c:numCache>
                <c:formatCode>General</c:formatCode>
                <c:ptCount val="67"/>
                <c:pt idx="0">
                  <c:v>0</c:v>
                </c:pt>
                <c:pt idx="1">
                  <c:v>1.0720154470375746E-2</c:v>
                </c:pt>
                <c:pt idx="2">
                  <c:v>1.0864473055125017E-2</c:v>
                </c:pt>
                <c:pt idx="3">
                  <c:v>1.3152454380549898E-2</c:v>
                </c:pt>
                <c:pt idx="4">
                  <c:v>1.1518037097501292E-2</c:v>
                </c:pt>
                <c:pt idx="5">
                  <c:v>1.2661519356825921E-2</c:v>
                </c:pt>
                <c:pt idx="6">
                  <c:v>2.1736135897550413E-2</c:v>
                </c:pt>
                <c:pt idx="7">
                  <c:v>2.2300555439926029E-2</c:v>
                </c:pt>
                <c:pt idx="8">
                  <c:v>2.092621243992562E-2</c:v>
                </c:pt>
                <c:pt idx="9">
                  <c:v>2.2622390939925935E-2</c:v>
                </c:pt>
                <c:pt idx="10">
                  <c:v>2.1877612373824375E-2</c:v>
                </c:pt>
                <c:pt idx="11">
                  <c:v>2.3173451633149853E-2</c:v>
                </c:pt>
                <c:pt idx="12">
                  <c:v>2.386320395857456E-2</c:v>
                </c:pt>
                <c:pt idx="13">
                  <c:v>2.3512657067050895E-2</c:v>
                </c:pt>
                <c:pt idx="14">
                  <c:v>2.4348793784000917E-2</c:v>
                </c:pt>
                <c:pt idx="15">
                  <c:v>2.5858798014525747E-2</c:v>
                </c:pt>
                <c:pt idx="16">
                  <c:v>3.5117870460350788E-2</c:v>
                </c:pt>
                <c:pt idx="17">
                  <c:v>3.6888865611200347E-2</c:v>
                </c:pt>
                <c:pt idx="18">
                  <c:v>3.7132747087475763E-2</c:v>
                </c:pt>
                <c:pt idx="19">
                  <c:v>3.6300050195951374E-2</c:v>
                </c:pt>
                <c:pt idx="20">
                  <c:v>3.6990384521375742E-2</c:v>
                </c:pt>
                <c:pt idx="21">
                  <c:v>3.8405430238325607E-2</c:v>
                </c:pt>
                <c:pt idx="22">
                  <c:v>3.7422163846800686E-2</c:v>
                </c:pt>
                <c:pt idx="23">
                  <c:v>3.8603179606125193E-2</c:v>
                </c:pt>
                <c:pt idx="24">
                  <c:v>4.0119624365451273E-2</c:v>
                </c:pt>
                <c:pt idx="25">
                  <c:v>3.9150183968850796E-2</c:v>
                </c:pt>
                <c:pt idx="26">
                  <c:v>4.5631490448550721E-2</c:v>
                </c:pt>
                <c:pt idx="27">
                  <c:v>4.792087155702484E-2</c:v>
                </c:pt>
                <c:pt idx="28">
                  <c:v>4.7722376575676205E-2</c:v>
                </c:pt>
                <c:pt idx="29">
                  <c:v>4.6101746184150215E-2</c:v>
                </c:pt>
                <c:pt idx="30">
                  <c:v>4.7236556202800782E-2</c:v>
                </c:pt>
                <c:pt idx="31">
                  <c:v>4.8839696136699785E-2</c:v>
                </c:pt>
                <c:pt idx="32">
                  <c:v>4.956115024517567E-2</c:v>
                </c:pt>
                <c:pt idx="33">
                  <c:v>4.9414325046875089E-2</c:v>
                </c:pt>
                <c:pt idx="34">
                  <c:v>5.2089090263825709E-2</c:v>
                </c:pt>
                <c:pt idx="35">
                  <c:v>5.2131286763825301E-2</c:v>
                </c:pt>
                <c:pt idx="36">
                  <c:v>5.9066127757099823E-2</c:v>
                </c:pt>
                <c:pt idx="37">
                  <c:v>5.830454103507509E-2</c:v>
                </c:pt>
                <c:pt idx="38">
                  <c:v>6.0943562968975129E-2</c:v>
                </c:pt>
                <c:pt idx="39">
                  <c:v>6.2047716228300485E-2</c:v>
                </c:pt>
                <c:pt idx="40">
                  <c:v>6.6317424963899613E-2</c:v>
                </c:pt>
                <c:pt idx="41">
                  <c:v>7.3890296192775165E-2</c:v>
                </c:pt>
                <c:pt idx="42">
                  <c:v>7.7604901206351315E-2</c:v>
                </c:pt>
                <c:pt idx="43">
                  <c:v>7.3522895814825462E-2</c:v>
                </c:pt>
                <c:pt idx="44">
                  <c:v>7.8406991923299751E-2</c:v>
                </c:pt>
                <c:pt idx="45">
                  <c:v>7.3130294441949448E-2</c:v>
                </c:pt>
                <c:pt idx="46">
                  <c:v>8.7271750128450551E-2</c:v>
                </c:pt>
                <c:pt idx="47">
                  <c:v>9.0273213292874965E-2</c:v>
                </c:pt>
                <c:pt idx="48">
                  <c:v>8.587057505220036E-2</c:v>
                </c:pt>
                <c:pt idx="49">
                  <c:v>8.8899416311525786E-2</c:v>
                </c:pt>
                <c:pt idx="50">
                  <c:v>9.1279537419999543E-2</c:v>
                </c:pt>
                <c:pt idx="51">
                  <c:v>9.6409307709899625E-2</c:v>
                </c:pt>
                <c:pt idx="52">
                  <c:v>9.8456313813299862E-2</c:v>
                </c:pt>
                <c:pt idx="53">
                  <c:v>9.3216322982799277E-2</c:v>
                </c:pt>
                <c:pt idx="54">
                  <c:v>9.6225034133649384E-2</c:v>
                </c:pt>
                <c:pt idx="55">
                  <c:v>9.3703793284500528E-2</c:v>
                </c:pt>
                <c:pt idx="56">
                  <c:v>9.2322756682875484E-2</c:v>
                </c:pt>
                <c:pt idx="57">
                  <c:v>9.2683425399824951E-2</c:v>
                </c:pt>
                <c:pt idx="58">
                  <c:v>8.490330228627499E-2</c:v>
                </c:pt>
                <c:pt idx="59">
                  <c:v>8.7383111111699691E-2</c:v>
                </c:pt>
                <c:pt idx="60">
                  <c:v>8.5944882304926071E-2</c:v>
                </c:pt>
                <c:pt idx="61">
                  <c:v>6.6213633269398997E-2</c:v>
                </c:pt>
                <c:pt idx="62">
                  <c:v>6.4197224462624033E-2</c:v>
                </c:pt>
                <c:pt idx="63">
                  <c:v>6.2289335462624877E-2</c:v>
                </c:pt>
                <c:pt idx="64">
                  <c:v>6.0238788505000231E-2</c:v>
                </c:pt>
                <c:pt idx="65">
                  <c:v>5.9142255547374588E-2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4-8044-8973-ACD0C92B0998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'800K'!$P$3:$P$69</c:f>
              <c:numCache>
                <c:formatCode>General</c:formatCode>
                <c:ptCount val="67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0.109</c:v>
                </c:pt>
                <c:pt idx="7">
                  <c:v>0.1115</c:v>
                </c:pt>
                <c:pt idx="8">
                  <c:v>0.1115</c:v>
                </c:pt>
                <c:pt idx="9">
                  <c:v>0.1115</c:v>
                </c:pt>
                <c:pt idx="10">
                  <c:v>0.1135</c:v>
                </c:pt>
                <c:pt idx="11">
                  <c:v>0.11700000000000001</c:v>
                </c:pt>
                <c:pt idx="12">
                  <c:v>0.11849999999999999</c:v>
                </c:pt>
                <c:pt idx="13">
                  <c:v>0.11899999999999999</c:v>
                </c:pt>
                <c:pt idx="14">
                  <c:v>0.12</c:v>
                </c:pt>
                <c:pt idx="15">
                  <c:v>0.13950000000000001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0.28899999999999998</c:v>
                </c:pt>
                <c:pt idx="27">
                  <c:v>0.28949999999999998</c:v>
                </c:pt>
                <c:pt idx="28">
                  <c:v>0.29649999999999999</c:v>
                </c:pt>
                <c:pt idx="29">
                  <c:v>0.29699999999999999</c:v>
                </c:pt>
                <c:pt idx="30">
                  <c:v>0.30399999999999999</c:v>
                </c:pt>
                <c:pt idx="31">
                  <c:v>0.30599999999999999</c:v>
                </c:pt>
                <c:pt idx="32">
                  <c:v>0.30649999999999999</c:v>
                </c:pt>
                <c:pt idx="33">
                  <c:v>0.3125</c:v>
                </c:pt>
                <c:pt idx="34">
                  <c:v>0.3135</c:v>
                </c:pt>
                <c:pt idx="35">
                  <c:v>0.3135</c:v>
                </c:pt>
                <c:pt idx="36">
                  <c:v>0.378</c:v>
                </c:pt>
                <c:pt idx="37">
                  <c:v>0.38850000000000001</c:v>
                </c:pt>
                <c:pt idx="38">
                  <c:v>0.39050000000000001</c:v>
                </c:pt>
                <c:pt idx="39">
                  <c:v>0.39400000000000002</c:v>
                </c:pt>
                <c:pt idx="40">
                  <c:v>0.40200000000000002</c:v>
                </c:pt>
                <c:pt idx="41">
                  <c:v>0.47449999999999998</c:v>
                </c:pt>
                <c:pt idx="42">
                  <c:v>0.49299999999999999</c:v>
                </c:pt>
                <c:pt idx="43">
                  <c:v>0.49349999999999999</c:v>
                </c:pt>
                <c:pt idx="44">
                  <c:v>0.49399999999999999</c:v>
                </c:pt>
                <c:pt idx="45">
                  <c:v>0.501</c:v>
                </c:pt>
                <c:pt idx="46">
                  <c:v>0.57099999999999995</c:v>
                </c:pt>
                <c:pt idx="47">
                  <c:v>0.59250000000000003</c:v>
                </c:pt>
                <c:pt idx="48">
                  <c:v>0.59599999999999997</c:v>
                </c:pt>
                <c:pt idx="49">
                  <c:v>0.59950000000000003</c:v>
                </c:pt>
                <c:pt idx="50">
                  <c:v>0.6</c:v>
                </c:pt>
                <c:pt idx="51">
                  <c:v>0.68200000000000005</c:v>
                </c:pt>
                <c:pt idx="52">
                  <c:v>0.69399999999999995</c:v>
                </c:pt>
                <c:pt idx="53">
                  <c:v>0.70399999999999996</c:v>
                </c:pt>
                <c:pt idx="54">
                  <c:v>0.70699999999999996</c:v>
                </c:pt>
                <c:pt idx="55">
                  <c:v>0.71</c:v>
                </c:pt>
                <c:pt idx="56">
                  <c:v>0.79249999999999998</c:v>
                </c:pt>
                <c:pt idx="57">
                  <c:v>0.79349999999999998</c:v>
                </c:pt>
                <c:pt idx="58">
                  <c:v>0.80449999999999999</c:v>
                </c:pt>
                <c:pt idx="59">
                  <c:v>0.80600000000000005</c:v>
                </c:pt>
                <c:pt idx="60">
                  <c:v>0.8115</c:v>
                </c:pt>
                <c:pt idx="61">
                  <c:v>0.89200000000000002</c:v>
                </c:pt>
                <c:pt idx="62">
                  <c:v>0.89749999999999996</c:v>
                </c:pt>
                <c:pt idx="63">
                  <c:v>0.89749999999999996</c:v>
                </c:pt>
                <c:pt idx="64">
                  <c:v>0.9</c:v>
                </c:pt>
                <c:pt idx="65">
                  <c:v>0.90249999999999997</c:v>
                </c:pt>
                <c:pt idx="66">
                  <c:v>1</c:v>
                </c:pt>
              </c:numCache>
            </c:numRef>
          </c:xVal>
          <c:yVal>
            <c:numRef>
              <c:f>'800K'!$O$3:$O$69</c:f>
              <c:numCache>
                <c:formatCode>General</c:formatCode>
                <c:ptCount val="67"/>
                <c:pt idx="0">
                  <c:v>0</c:v>
                </c:pt>
                <c:pt idx="1">
                  <c:v>1.0720154470375746E-2</c:v>
                </c:pt>
                <c:pt idx="2">
                  <c:v>1.0864473055125017E-2</c:v>
                </c:pt>
                <c:pt idx="3">
                  <c:v>1.3152454380549898E-2</c:v>
                </c:pt>
                <c:pt idx="4">
                  <c:v>1.1518037097501292E-2</c:v>
                </c:pt>
                <c:pt idx="5">
                  <c:v>1.2661519356825921E-2</c:v>
                </c:pt>
                <c:pt idx="6">
                  <c:v>2.1736135897550413E-2</c:v>
                </c:pt>
                <c:pt idx="7">
                  <c:v>2.2300555439926029E-2</c:v>
                </c:pt>
                <c:pt idx="8">
                  <c:v>2.092621243992562E-2</c:v>
                </c:pt>
                <c:pt idx="9">
                  <c:v>2.2622390939925935E-2</c:v>
                </c:pt>
                <c:pt idx="10">
                  <c:v>2.1877612373824375E-2</c:v>
                </c:pt>
                <c:pt idx="11">
                  <c:v>2.3173451633149853E-2</c:v>
                </c:pt>
                <c:pt idx="12">
                  <c:v>2.386320395857456E-2</c:v>
                </c:pt>
                <c:pt idx="13">
                  <c:v>2.3512657067050895E-2</c:v>
                </c:pt>
                <c:pt idx="14">
                  <c:v>2.4348793784000917E-2</c:v>
                </c:pt>
                <c:pt idx="15">
                  <c:v>2.5858798014525747E-2</c:v>
                </c:pt>
                <c:pt idx="16">
                  <c:v>3.5117870460350788E-2</c:v>
                </c:pt>
                <c:pt idx="17">
                  <c:v>3.6888865611200347E-2</c:v>
                </c:pt>
                <c:pt idx="18">
                  <c:v>3.7132747087475763E-2</c:v>
                </c:pt>
                <c:pt idx="19">
                  <c:v>3.6300050195951374E-2</c:v>
                </c:pt>
                <c:pt idx="20">
                  <c:v>3.6990384521375742E-2</c:v>
                </c:pt>
                <c:pt idx="21">
                  <c:v>3.8405430238325607E-2</c:v>
                </c:pt>
                <c:pt idx="22">
                  <c:v>3.7422163846800686E-2</c:v>
                </c:pt>
                <c:pt idx="23">
                  <c:v>3.8603179606125193E-2</c:v>
                </c:pt>
                <c:pt idx="24">
                  <c:v>4.0119624365451273E-2</c:v>
                </c:pt>
                <c:pt idx="25">
                  <c:v>3.9150183968850796E-2</c:v>
                </c:pt>
                <c:pt idx="26">
                  <c:v>4.5631490448550721E-2</c:v>
                </c:pt>
                <c:pt idx="27">
                  <c:v>4.792087155702484E-2</c:v>
                </c:pt>
                <c:pt idx="28">
                  <c:v>4.7722376575676205E-2</c:v>
                </c:pt>
                <c:pt idx="29">
                  <c:v>4.6101746184150215E-2</c:v>
                </c:pt>
                <c:pt idx="30">
                  <c:v>4.7236556202800782E-2</c:v>
                </c:pt>
                <c:pt idx="31">
                  <c:v>4.8839696136699785E-2</c:v>
                </c:pt>
                <c:pt idx="32">
                  <c:v>4.956115024517567E-2</c:v>
                </c:pt>
                <c:pt idx="33">
                  <c:v>4.9414325046875089E-2</c:v>
                </c:pt>
                <c:pt idx="34">
                  <c:v>5.2089090263825709E-2</c:v>
                </c:pt>
                <c:pt idx="35">
                  <c:v>5.2131286763825301E-2</c:v>
                </c:pt>
                <c:pt idx="36">
                  <c:v>5.9066127757099823E-2</c:v>
                </c:pt>
                <c:pt idx="37">
                  <c:v>5.830454103507509E-2</c:v>
                </c:pt>
                <c:pt idx="38">
                  <c:v>6.0943562968975129E-2</c:v>
                </c:pt>
                <c:pt idx="39">
                  <c:v>6.2047716228300485E-2</c:v>
                </c:pt>
                <c:pt idx="40">
                  <c:v>6.6317424963899613E-2</c:v>
                </c:pt>
                <c:pt idx="41">
                  <c:v>7.3890296192775165E-2</c:v>
                </c:pt>
                <c:pt idx="42">
                  <c:v>7.7604901206351315E-2</c:v>
                </c:pt>
                <c:pt idx="43">
                  <c:v>7.3522895814825462E-2</c:v>
                </c:pt>
                <c:pt idx="44">
                  <c:v>7.8406991923299751E-2</c:v>
                </c:pt>
                <c:pt idx="45">
                  <c:v>7.3130294441949448E-2</c:v>
                </c:pt>
                <c:pt idx="46">
                  <c:v>8.7271750128450551E-2</c:v>
                </c:pt>
                <c:pt idx="47">
                  <c:v>9.0273213292874965E-2</c:v>
                </c:pt>
                <c:pt idx="48">
                  <c:v>8.587057505220036E-2</c:v>
                </c:pt>
                <c:pt idx="49">
                  <c:v>8.8899416311525786E-2</c:v>
                </c:pt>
                <c:pt idx="50">
                  <c:v>9.1279537419999543E-2</c:v>
                </c:pt>
                <c:pt idx="51">
                  <c:v>9.6409307709899625E-2</c:v>
                </c:pt>
                <c:pt idx="52">
                  <c:v>9.8456313813299862E-2</c:v>
                </c:pt>
                <c:pt idx="53">
                  <c:v>9.3216322982799277E-2</c:v>
                </c:pt>
                <c:pt idx="54">
                  <c:v>9.6225034133649384E-2</c:v>
                </c:pt>
                <c:pt idx="55">
                  <c:v>9.3703793284500528E-2</c:v>
                </c:pt>
                <c:pt idx="56">
                  <c:v>9.2322756682875484E-2</c:v>
                </c:pt>
                <c:pt idx="57">
                  <c:v>9.2683425399824951E-2</c:v>
                </c:pt>
                <c:pt idx="58">
                  <c:v>8.490330228627499E-2</c:v>
                </c:pt>
                <c:pt idx="59">
                  <c:v>8.7383111111699691E-2</c:v>
                </c:pt>
                <c:pt idx="60">
                  <c:v>8.5944882304926071E-2</c:v>
                </c:pt>
                <c:pt idx="61">
                  <c:v>6.6213633269398997E-2</c:v>
                </c:pt>
                <c:pt idx="62">
                  <c:v>6.4197224462624033E-2</c:v>
                </c:pt>
                <c:pt idx="63">
                  <c:v>6.2289335462624877E-2</c:v>
                </c:pt>
                <c:pt idx="64">
                  <c:v>6.0238788505000231E-2</c:v>
                </c:pt>
                <c:pt idx="65">
                  <c:v>5.9142255547374588E-2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4-8044-8973-ACD0C92B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455824"/>
        <c:axId val="-1310453504"/>
      </c:scatterChart>
      <c:valAx>
        <c:axId val="-131045582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310453504"/>
        <c:crosses val="autoZero"/>
        <c:crossBetween val="midCat"/>
      </c:valAx>
      <c:valAx>
        <c:axId val="-131045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1045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6.3162527760952963E-2"/>
                  <c:y val="-0.49040607915276968"/>
                </c:manualLayout>
              </c:layout>
              <c:numFmt formatCode="General" sourceLinked="0"/>
            </c:trendlineLbl>
          </c:trendline>
          <c:xVal>
            <c:numRef>
              <c:f>'1000 K'!$Q$6:$Q$67</c:f>
              <c:numCache>
                <c:formatCode>General</c:formatCode>
                <c:ptCount val="62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8.9499999999999996E-2</c:v>
                </c:pt>
                <c:pt idx="7">
                  <c:v>9.35E-2</c:v>
                </c:pt>
                <c:pt idx="8">
                  <c:v>9.5500000000000002E-2</c:v>
                </c:pt>
                <c:pt idx="9">
                  <c:v>9.7000000000000003E-2</c:v>
                </c:pt>
                <c:pt idx="10">
                  <c:v>9.7500000000000003E-2</c:v>
                </c:pt>
                <c:pt idx="11">
                  <c:v>0.14050000000000001</c:v>
                </c:pt>
                <c:pt idx="12">
                  <c:v>0.14649999999999999</c:v>
                </c:pt>
                <c:pt idx="13">
                  <c:v>0.14849999999999999</c:v>
                </c:pt>
                <c:pt idx="14">
                  <c:v>0.14949999999999999</c:v>
                </c:pt>
                <c:pt idx="15">
                  <c:v>0.15049999999999999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0.27750000000000002</c:v>
                </c:pt>
                <c:pt idx="27">
                  <c:v>0.28100000000000003</c:v>
                </c:pt>
                <c:pt idx="28">
                  <c:v>0.28599999999999998</c:v>
                </c:pt>
                <c:pt idx="29">
                  <c:v>0.29749999999999999</c:v>
                </c:pt>
                <c:pt idx="30">
                  <c:v>0.29749999999999999</c:v>
                </c:pt>
                <c:pt idx="31">
                  <c:v>0.378</c:v>
                </c:pt>
                <c:pt idx="32">
                  <c:v>0.38850000000000001</c:v>
                </c:pt>
                <c:pt idx="33">
                  <c:v>0.39050000000000001</c:v>
                </c:pt>
                <c:pt idx="34">
                  <c:v>0.39400000000000002</c:v>
                </c:pt>
                <c:pt idx="35">
                  <c:v>0.40200000000000002</c:v>
                </c:pt>
                <c:pt idx="36">
                  <c:v>0.47449999999999998</c:v>
                </c:pt>
                <c:pt idx="37">
                  <c:v>0.49299999999999999</c:v>
                </c:pt>
                <c:pt idx="38">
                  <c:v>0.49349999999999999</c:v>
                </c:pt>
                <c:pt idx="39">
                  <c:v>0.49399999999999999</c:v>
                </c:pt>
                <c:pt idx="40">
                  <c:v>0.501</c:v>
                </c:pt>
                <c:pt idx="41">
                  <c:v>0.57099999999999995</c:v>
                </c:pt>
                <c:pt idx="42">
                  <c:v>0.59250000000000003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</c:v>
                </c:pt>
                <c:pt idx="46">
                  <c:v>0.68200000000000005</c:v>
                </c:pt>
                <c:pt idx="47">
                  <c:v>0.69399999999999995</c:v>
                </c:pt>
                <c:pt idx="48">
                  <c:v>0.70399999999999996</c:v>
                </c:pt>
                <c:pt idx="49">
                  <c:v>0.70699999999999996</c:v>
                </c:pt>
                <c:pt idx="50">
                  <c:v>0.71</c:v>
                </c:pt>
                <c:pt idx="51">
                  <c:v>0.79249999999999998</c:v>
                </c:pt>
                <c:pt idx="52">
                  <c:v>0.79349999999999998</c:v>
                </c:pt>
                <c:pt idx="53">
                  <c:v>0.80449999999999999</c:v>
                </c:pt>
                <c:pt idx="54">
                  <c:v>0.80600000000000005</c:v>
                </c:pt>
                <c:pt idx="55">
                  <c:v>0.8115</c:v>
                </c:pt>
                <c:pt idx="56">
                  <c:v>0.89200000000000002</c:v>
                </c:pt>
                <c:pt idx="57">
                  <c:v>0.89749999999999996</c:v>
                </c:pt>
                <c:pt idx="58">
                  <c:v>0.89749999999999996</c:v>
                </c:pt>
                <c:pt idx="59">
                  <c:v>0.9</c:v>
                </c:pt>
                <c:pt idx="60">
                  <c:v>0.90249999999999997</c:v>
                </c:pt>
                <c:pt idx="61">
                  <c:v>1</c:v>
                </c:pt>
              </c:numCache>
            </c:numRef>
          </c:xVal>
          <c:yVal>
            <c:numRef>
              <c:f>'1000 K'!$N$6:$N$67</c:f>
              <c:numCache>
                <c:formatCode>General</c:formatCode>
                <c:ptCount val="62"/>
                <c:pt idx="0">
                  <c:v>21.819156069950001</c:v>
                </c:pt>
                <c:pt idx="1">
                  <c:v>21.419983819500001</c:v>
                </c:pt>
                <c:pt idx="2">
                  <c:v>21.37607122</c:v>
                </c:pt>
                <c:pt idx="3">
                  <c:v>21.359688648500001</c:v>
                </c:pt>
                <c:pt idx="4">
                  <c:v>21.349853648</c:v>
                </c:pt>
                <c:pt idx="5">
                  <c:v>21.323202519499997</c:v>
                </c:pt>
                <c:pt idx="6">
                  <c:v>21.014424427000002</c:v>
                </c:pt>
                <c:pt idx="7">
                  <c:v>20.979677455000001</c:v>
                </c:pt>
                <c:pt idx="8">
                  <c:v>20.964779821</c:v>
                </c:pt>
                <c:pt idx="9">
                  <c:v>20.948443514499999</c:v>
                </c:pt>
                <c:pt idx="10">
                  <c:v>20.953653946499998</c:v>
                </c:pt>
                <c:pt idx="11">
                  <c:v>20.6185261155</c:v>
                </c:pt>
                <c:pt idx="12">
                  <c:v>20.563707753999999</c:v>
                </c:pt>
                <c:pt idx="13">
                  <c:v>20.554746093999999</c:v>
                </c:pt>
                <c:pt idx="14">
                  <c:v>20.549818800500002</c:v>
                </c:pt>
                <c:pt idx="15">
                  <c:v>20.542864643000001</c:v>
                </c:pt>
                <c:pt idx="16">
                  <c:v>20.10229112</c:v>
                </c:pt>
                <c:pt idx="17">
                  <c:v>20.0985603795</c:v>
                </c:pt>
                <c:pt idx="18">
                  <c:v>20.0573054185</c:v>
                </c:pt>
                <c:pt idx="19">
                  <c:v>20.043935033999997</c:v>
                </c:pt>
                <c:pt idx="20">
                  <c:v>20.043945894500002</c:v>
                </c:pt>
                <c:pt idx="21">
                  <c:v>20.043440653000001</c:v>
                </c:pt>
                <c:pt idx="22">
                  <c:v>20.050128302000001</c:v>
                </c:pt>
                <c:pt idx="23">
                  <c:v>20.017354268999998</c:v>
                </c:pt>
                <c:pt idx="24">
                  <c:v>19.999376346000002</c:v>
                </c:pt>
                <c:pt idx="25">
                  <c:v>19.914590570000001</c:v>
                </c:pt>
                <c:pt idx="26">
                  <c:v>19.694224583</c:v>
                </c:pt>
                <c:pt idx="27">
                  <c:v>19.6947299335</c:v>
                </c:pt>
                <c:pt idx="28">
                  <c:v>19.6581532955</c:v>
                </c:pt>
                <c:pt idx="29">
                  <c:v>19.587971423500001</c:v>
                </c:pt>
                <c:pt idx="30">
                  <c:v>19.587439466500001</c:v>
                </c:pt>
                <c:pt idx="31">
                  <c:v>19.136751278999999</c:v>
                </c:pt>
                <c:pt idx="32">
                  <c:v>19.078755718500002</c:v>
                </c:pt>
                <c:pt idx="33">
                  <c:v>19.068566995499999</c:v>
                </c:pt>
                <c:pt idx="34">
                  <c:v>19.052466444</c:v>
                </c:pt>
                <c:pt idx="35">
                  <c:v>19.030839233999998</c:v>
                </c:pt>
                <c:pt idx="36">
                  <c:v>18.6526588535</c:v>
                </c:pt>
                <c:pt idx="37">
                  <c:v>18.555299869999999</c:v>
                </c:pt>
                <c:pt idx="38">
                  <c:v>18.5548327415</c:v>
                </c:pt>
                <c:pt idx="39">
                  <c:v>18.566790511000001</c:v>
                </c:pt>
                <c:pt idx="40">
                  <c:v>18.513620165500001</c:v>
                </c:pt>
                <c:pt idx="41">
                  <c:v>18.195927863000001</c:v>
                </c:pt>
                <c:pt idx="42">
                  <c:v>18.0985252485</c:v>
                </c:pt>
                <c:pt idx="43">
                  <c:v>18.064548448500002</c:v>
                </c:pt>
                <c:pt idx="44">
                  <c:v>18.063570610499998</c:v>
                </c:pt>
                <c:pt idx="45">
                  <c:v>18.056974747000002</c:v>
                </c:pt>
                <c:pt idx="46">
                  <c:v>17.683245688</c:v>
                </c:pt>
                <c:pt idx="47">
                  <c:v>17.627767259999999</c:v>
                </c:pt>
                <c:pt idx="48">
                  <c:v>17.571369309000001</c:v>
                </c:pt>
                <c:pt idx="49">
                  <c:v>17.562539512000001</c:v>
                </c:pt>
                <c:pt idx="50">
                  <c:v>17.545775772500001</c:v>
                </c:pt>
                <c:pt idx="51">
                  <c:v>17.143187718500002</c:v>
                </c:pt>
                <c:pt idx="52">
                  <c:v>17.130953923500002</c:v>
                </c:pt>
                <c:pt idx="53">
                  <c:v>17.081065635999998</c:v>
                </c:pt>
                <c:pt idx="54">
                  <c:v>17.0709775415</c:v>
                </c:pt>
                <c:pt idx="55">
                  <c:v>17.055913625500001</c:v>
                </c:pt>
                <c:pt idx="56">
                  <c:v>16.614743433000001</c:v>
                </c:pt>
                <c:pt idx="57">
                  <c:v>16.58121822</c:v>
                </c:pt>
                <c:pt idx="58">
                  <c:v>16.582689671000001</c:v>
                </c:pt>
                <c:pt idx="59">
                  <c:v>16.5717762825</c:v>
                </c:pt>
                <c:pt idx="60">
                  <c:v>16.5544119075</c:v>
                </c:pt>
                <c:pt idx="61">
                  <c:v>15.965436321249999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054F-B0B5-5F9CA791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8991552"/>
        <c:axId val="-1459008816"/>
      </c:scatterChart>
      <c:valAx>
        <c:axId val="-145899155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459008816"/>
        <c:crosses val="autoZero"/>
        <c:crossBetween val="midCat"/>
      </c:valAx>
      <c:valAx>
        <c:axId val="-1459008816"/>
        <c:scaling>
          <c:orientation val="minMax"/>
          <c:min val="15"/>
        </c:scaling>
        <c:delete val="0"/>
        <c:axPos val="l"/>
        <c:numFmt formatCode="General" sourceLinked="1"/>
        <c:majorTickMark val="out"/>
        <c:minorTickMark val="none"/>
        <c:tickLblPos val="nextTo"/>
        <c:crossAx val="-145899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4.5754626825493E-2"/>
                  <c:y val="-0.67280644570591497"/>
                </c:manualLayout>
              </c:layout>
              <c:numFmt formatCode="General" sourceLinked="0"/>
            </c:trendlineLbl>
          </c:trendline>
          <c:xVal>
            <c:numRef>
              <c:f>'1000 K'!$Q$6:$Q$67</c:f>
              <c:numCache>
                <c:formatCode>General</c:formatCode>
                <c:ptCount val="62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8.9499999999999996E-2</c:v>
                </c:pt>
                <c:pt idx="7">
                  <c:v>9.35E-2</c:v>
                </c:pt>
                <c:pt idx="8">
                  <c:v>9.5500000000000002E-2</c:v>
                </c:pt>
                <c:pt idx="9">
                  <c:v>9.7000000000000003E-2</c:v>
                </c:pt>
                <c:pt idx="10">
                  <c:v>9.7500000000000003E-2</c:v>
                </c:pt>
                <c:pt idx="11">
                  <c:v>0.14050000000000001</c:v>
                </c:pt>
                <c:pt idx="12">
                  <c:v>0.14649999999999999</c:v>
                </c:pt>
                <c:pt idx="13">
                  <c:v>0.14849999999999999</c:v>
                </c:pt>
                <c:pt idx="14">
                  <c:v>0.14949999999999999</c:v>
                </c:pt>
                <c:pt idx="15">
                  <c:v>0.15049999999999999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0.27750000000000002</c:v>
                </c:pt>
                <c:pt idx="27">
                  <c:v>0.28100000000000003</c:v>
                </c:pt>
                <c:pt idx="28">
                  <c:v>0.28599999999999998</c:v>
                </c:pt>
                <c:pt idx="29">
                  <c:v>0.29749999999999999</c:v>
                </c:pt>
                <c:pt idx="30">
                  <c:v>0.29749999999999999</c:v>
                </c:pt>
                <c:pt idx="31">
                  <c:v>0.378</c:v>
                </c:pt>
                <c:pt idx="32">
                  <c:v>0.38850000000000001</c:v>
                </c:pt>
                <c:pt idx="33">
                  <c:v>0.39050000000000001</c:v>
                </c:pt>
                <c:pt idx="34">
                  <c:v>0.39400000000000002</c:v>
                </c:pt>
                <c:pt idx="35">
                  <c:v>0.40200000000000002</c:v>
                </c:pt>
                <c:pt idx="36">
                  <c:v>0.47449999999999998</c:v>
                </c:pt>
                <c:pt idx="37">
                  <c:v>0.49299999999999999</c:v>
                </c:pt>
                <c:pt idx="38">
                  <c:v>0.49349999999999999</c:v>
                </c:pt>
                <c:pt idx="39">
                  <c:v>0.49399999999999999</c:v>
                </c:pt>
                <c:pt idx="40">
                  <c:v>0.501</c:v>
                </c:pt>
                <c:pt idx="41">
                  <c:v>0.57099999999999995</c:v>
                </c:pt>
                <c:pt idx="42">
                  <c:v>0.59250000000000003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</c:v>
                </c:pt>
                <c:pt idx="46">
                  <c:v>0.68200000000000005</c:v>
                </c:pt>
                <c:pt idx="47">
                  <c:v>0.69399999999999995</c:v>
                </c:pt>
                <c:pt idx="48">
                  <c:v>0.70399999999999996</c:v>
                </c:pt>
                <c:pt idx="49">
                  <c:v>0.70699999999999996</c:v>
                </c:pt>
                <c:pt idx="50">
                  <c:v>0.71</c:v>
                </c:pt>
                <c:pt idx="51">
                  <c:v>0.79249999999999998</c:v>
                </c:pt>
                <c:pt idx="52">
                  <c:v>0.79349999999999998</c:v>
                </c:pt>
                <c:pt idx="53">
                  <c:v>0.80449999999999999</c:v>
                </c:pt>
                <c:pt idx="54">
                  <c:v>0.80600000000000005</c:v>
                </c:pt>
                <c:pt idx="55">
                  <c:v>0.8115</c:v>
                </c:pt>
                <c:pt idx="56">
                  <c:v>0.89200000000000002</c:v>
                </c:pt>
                <c:pt idx="57">
                  <c:v>0.89749999999999996</c:v>
                </c:pt>
                <c:pt idx="58">
                  <c:v>0.89749999999999996</c:v>
                </c:pt>
                <c:pt idx="59">
                  <c:v>0.9</c:v>
                </c:pt>
                <c:pt idx="60">
                  <c:v>0.90249999999999997</c:v>
                </c:pt>
                <c:pt idx="61">
                  <c:v>1</c:v>
                </c:pt>
              </c:numCache>
            </c:numRef>
          </c:xVal>
          <c:yVal>
            <c:numRef>
              <c:f>'1000 K'!$P$6:$P$67</c:f>
              <c:numCache>
                <c:formatCode>General</c:formatCode>
                <c:ptCount val="62"/>
                <c:pt idx="0">
                  <c:v>0</c:v>
                </c:pt>
                <c:pt idx="1">
                  <c:v>8.6289134563739944E-3</c:v>
                </c:pt>
                <c:pt idx="2">
                  <c:v>1.0193001757123966E-2</c:v>
                </c:pt>
                <c:pt idx="3">
                  <c:v>1.057411659734862E-2</c:v>
                </c:pt>
                <c:pt idx="4">
                  <c:v>1.1537852157499402E-2</c:v>
                </c:pt>
                <c:pt idx="5">
                  <c:v>1.0570209618024819E-2</c:v>
                </c:pt>
                <c:pt idx="6">
                  <c:v>1.7515415783424033E-2</c:v>
                </c:pt>
                <c:pt idx="7">
                  <c:v>1.8837347524024155E-2</c:v>
                </c:pt>
                <c:pt idx="8">
                  <c:v>1.8379062644324221E-2</c:v>
                </c:pt>
                <c:pt idx="9">
                  <c:v>1.8004586484548783E-2</c:v>
                </c:pt>
                <c:pt idx="10">
                  <c:v>1.9328300264624888E-2</c:v>
                </c:pt>
                <c:pt idx="11">
                  <c:v>2.4569774851073818E-2</c:v>
                </c:pt>
                <c:pt idx="12">
                  <c:v>2.4868247211974448E-2</c:v>
                </c:pt>
                <c:pt idx="13">
                  <c:v>2.6079124332274658E-2</c:v>
                </c:pt>
                <c:pt idx="14">
                  <c:v>2.6800864392424045E-2</c:v>
                </c:pt>
                <c:pt idx="15">
                  <c:v>2.5463898452574539E-2</c:v>
                </c:pt>
                <c:pt idx="16">
                  <c:v>3.3442291461949027E-2</c:v>
                </c:pt>
                <c:pt idx="17">
                  <c:v>3.5970143142400046E-2</c:v>
                </c:pt>
                <c:pt idx="18">
                  <c:v>3.6471605663074114E-2</c:v>
                </c:pt>
                <c:pt idx="19">
                  <c:v>3.4312134943150344E-2</c:v>
                </c:pt>
                <c:pt idx="20">
                  <c:v>3.5767037783373777E-2</c:v>
                </c:pt>
                <c:pt idx="21">
                  <c:v>3.7842228843524027E-2</c:v>
                </c:pt>
                <c:pt idx="22">
                  <c:v>3.6775843123598863E-2</c:v>
                </c:pt>
                <c:pt idx="23">
                  <c:v>3.7050750084123139E-2</c:v>
                </c:pt>
                <c:pt idx="24">
                  <c:v>3.9830774044648937E-2</c:v>
                </c:pt>
                <c:pt idx="25">
                  <c:v>3.745815076644976E-2</c:v>
                </c:pt>
                <c:pt idx="26">
                  <c:v>4.356325009162447E-2</c:v>
                </c:pt>
                <c:pt idx="27">
                  <c:v>4.6547572052149919E-2</c:v>
                </c:pt>
                <c:pt idx="28">
                  <c:v>4.518784885289915E-2</c:v>
                </c:pt>
                <c:pt idx="29">
                  <c:v>4.7140841794624064E-2</c:v>
                </c:pt>
                <c:pt idx="30">
                  <c:v>4.6788701794624105E-2</c:v>
                </c:pt>
                <c:pt idx="31">
                  <c:v>5.8658351886699163E-2</c:v>
                </c:pt>
                <c:pt idx="32">
                  <c:v>5.9052464268274887E-2</c:v>
                </c:pt>
                <c:pt idx="33">
                  <c:v>6.1410345388574566E-2</c:v>
                </c:pt>
                <c:pt idx="34">
                  <c:v>6.2388300849100235E-2</c:v>
                </c:pt>
                <c:pt idx="35">
                  <c:v>6.6554980330300162E-2</c:v>
                </c:pt>
                <c:pt idx="36">
                  <c:v>7.4285461941174621E-2</c:v>
                </c:pt>
                <c:pt idx="37">
                  <c:v>7.7978532303948675E-2</c:v>
                </c:pt>
                <c:pt idx="38">
                  <c:v>7.3996042084024341E-2</c:v>
                </c:pt>
                <c:pt idx="39">
                  <c:v>7.988798686409973E-2</c:v>
                </c:pt>
                <c:pt idx="40">
                  <c:v>7.3548329285150427E-2</c:v>
                </c:pt>
                <c:pt idx="41">
                  <c:v>8.7408978995648798E-2</c:v>
                </c:pt>
                <c:pt idx="42">
                  <c:v>9.1363499038874585E-2</c:v>
                </c:pt>
                <c:pt idx="43">
                  <c:v>8.6080133999399552E-2</c:v>
                </c:pt>
                <c:pt idx="44">
                  <c:v>8.8800700959924136E-2</c:v>
                </c:pt>
                <c:pt idx="45">
                  <c:v>9.2422747239999811E-2</c:v>
                </c:pt>
                <c:pt idx="46">
                  <c:v>9.7468786172298677E-2</c:v>
                </c:pt>
                <c:pt idx="47">
                  <c:v>9.9584557394099646E-2</c:v>
                </c:pt>
                <c:pt idx="48">
                  <c:v>9.3893597495599349E-2</c:v>
                </c:pt>
                <c:pt idx="49">
                  <c:v>9.7254663676048944E-2</c:v>
                </c:pt>
                <c:pt idx="50">
                  <c:v>9.3957383356499127E-2</c:v>
                </c:pt>
                <c:pt idx="51">
                  <c:v>9.2674655568874192E-2</c:v>
                </c:pt>
                <c:pt idx="52">
                  <c:v>9.3574088629025026E-2</c:v>
                </c:pt>
                <c:pt idx="53">
                  <c:v>8.5384856290673272E-2</c:v>
                </c:pt>
                <c:pt idx="54">
                  <c:v>8.8128538130899867E-2</c:v>
                </c:pt>
                <c:pt idx="55">
                  <c:v>8.6720206211724868E-2</c:v>
                </c:pt>
                <c:pt idx="56">
                  <c:v>6.6544856803799124E-2</c:v>
                </c:pt>
                <c:pt idx="57">
                  <c:v>6.4135937384624406E-2</c:v>
                </c:pt>
                <c:pt idx="58">
                  <c:v>6.2265576884624349E-2</c:v>
                </c:pt>
                <c:pt idx="59">
                  <c:v>6.1062934784999016E-2</c:v>
                </c:pt>
                <c:pt idx="60">
                  <c:v>5.9120290685374131E-2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E-0B4C-B9EF-08901766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062336"/>
        <c:axId val="-1459060016"/>
      </c:scatterChart>
      <c:valAx>
        <c:axId val="-145906233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459060016"/>
        <c:crosses val="autoZero"/>
        <c:crossBetween val="midCat"/>
      </c:valAx>
      <c:valAx>
        <c:axId val="-145906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5906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47625">
              <a:noFill/>
            </a:ln>
            <a:effectLst/>
          </c:spPr>
          <c:marker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1.6527777777777752E-2"/>
                  <c:y val="-0.59201388888888884"/>
                </c:manualLayout>
              </c:layout>
              <c:numFmt formatCode="General" sourceLinked="0"/>
            </c:trendlineLbl>
          </c:trendline>
          <c:xVal>
            <c:numRef>
              <c:f>'1000 K'!$Q$6:$Q$67</c:f>
              <c:numCache>
                <c:formatCode>General</c:formatCode>
                <c:ptCount val="62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8.9499999999999996E-2</c:v>
                </c:pt>
                <c:pt idx="7">
                  <c:v>9.35E-2</c:v>
                </c:pt>
                <c:pt idx="8">
                  <c:v>9.5500000000000002E-2</c:v>
                </c:pt>
                <c:pt idx="9">
                  <c:v>9.7000000000000003E-2</c:v>
                </c:pt>
                <c:pt idx="10">
                  <c:v>9.7500000000000003E-2</c:v>
                </c:pt>
                <c:pt idx="11">
                  <c:v>0.14050000000000001</c:v>
                </c:pt>
                <c:pt idx="12">
                  <c:v>0.14649999999999999</c:v>
                </c:pt>
                <c:pt idx="13">
                  <c:v>0.14849999999999999</c:v>
                </c:pt>
                <c:pt idx="14">
                  <c:v>0.14949999999999999</c:v>
                </c:pt>
                <c:pt idx="15">
                  <c:v>0.15049999999999999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0.27750000000000002</c:v>
                </c:pt>
                <c:pt idx="27">
                  <c:v>0.28100000000000003</c:v>
                </c:pt>
                <c:pt idx="28">
                  <c:v>0.28599999999999998</c:v>
                </c:pt>
                <c:pt idx="29">
                  <c:v>0.29749999999999999</c:v>
                </c:pt>
                <c:pt idx="30">
                  <c:v>0.29749999999999999</c:v>
                </c:pt>
                <c:pt idx="31">
                  <c:v>0.378</c:v>
                </c:pt>
                <c:pt idx="32">
                  <c:v>0.38850000000000001</c:v>
                </c:pt>
                <c:pt idx="33">
                  <c:v>0.39050000000000001</c:v>
                </c:pt>
                <c:pt idx="34">
                  <c:v>0.39400000000000002</c:v>
                </c:pt>
                <c:pt idx="35">
                  <c:v>0.40200000000000002</c:v>
                </c:pt>
                <c:pt idx="36">
                  <c:v>0.47449999999999998</c:v>
                </c:pt>
                <c:pt idx="37">
                  <c:v>0.49299999999999999</c:v>
                </c:pt>
                <c:pt idx="38">
                  <c:v>0.49349999999999999</c:v>
                </c:pt>
                <c:pt idx="39">
                  <c:v>0.49399999999999999</c:v>
                </c:pt>
                <c:pt idx="40">
                  <c:v>0.501</c:v>
                </c:pt>
                <c:pt idx="41">
                  <c:v>0.57099999999999995</c:v>
                </c:pt>
                <c:pt idx="42">
                  <c:v>0.59250000000000003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</c:v>
                </c:pt>
                <c:pt idx="46">
                  <c:v>0.68200000000000005</c:v>
                </c:pt>
                <c:pt idx="47">
                  <c:v>0.69399999999999995</c:v>
                </c:pt>
                <c:pt idx="48">
                  <c:v>0.70399999999999996</c:v>
                </c:pt>
                <c:pt idx="49">
                  <c:v>0.70699999999999996</c:v>
                </c:pt>
                <c:pt idx="50">
                  <c:v>0.71</c:v>
                </c:pt>
                <c:pt idx="51">
                  <c:v>0.79249999999999998</c:v>
                </c:pt>
                <c:pt idx="52">
                  <c:v>0.79349999999999998</c:v>
                </c:pt>
                <c:pt idx="53">
                  <c:v>0.80449999999999999</c:v>
                </c:pt>
                <c:pt idx="54">
                  <c:v>0.80600000000000005</c:v>
                </c:pt>
                <c:pt idx="55">
                  <c:v>0.8115</c:v>
                </c:pt>
                <c:pt idx="56">
                  <c:v>0.89200000000000002</c:v>
                </c:pt>
                <c:pt idx="57">
                  <c:v>0.89749999999999996</c:v>
                </c:pt>
                <c:pt idx="58">
                  <c:v>0.89749999999999996</c:v>
                </c:pt>
                <c:pt idx="59">
                  <c:v>0.9</c:v>
                </c:pt>
                <c:pt idx="60">
                  <c:v>0.90249999999999997</c:v>
                </c:pt>
                <c:pt idx="61">
                  <c:v>1</c:v>
                </c:pt>
              </c:numCache>
            </c:numRef>
          </c:xVal>
          <c:yVal>
            <c:numRef>
              <c:f>'1000 K'!$P$6:$P$67</c:f>
              <c:numCache>
                <c:formatCode>General</c:formatCode>
                <c:ptCount val="62"/>
                <c:pt idx="0">
                  <c:v>0</c:v>
                </c:pt>
                <c:pt idx="1">
                  <c:v>8.6289134563739944E-3</c:v>
                </c:pt>
                <c:pt idx="2">
                  <c:v>1.0193001757123966E-2</c:v>
                </c:pt>
                <c:pt idx="3">
                  <c:v>1.057411659734862E-2</c:v>
                </c:pt>
                <c:pt idx="4">
                  <c:v>1.1537852157499402E-2</c:v>
                </c:pt>
                <c:pt idx="5">
                  <c:v>1.0570209618024819E-2</c:v>
                </c:pt>
                <c:pt idx="6">
                  <c:v>1.7515415783424033E-2</c:v>
                </c:pt>
                <c:pt idx="7">
                  <c:v>1.8837347524024155E-2</c:v>
                </c:pt>
                <c:pt idx="8">
                  <c:v>1.8379062644324221E-2</c:v>
                </c:pt>
                <c:pt idx="9">
                  <c:v>1.8004586484548783E-2</c:v>
                </c:pt>
                <c:pt idx="10">
                  <c:v>1.9328300264624888E-2</c:v>
                </c:pt>
                <c:pt idx="11">
                  <c:v>2.4569774851073818E-2</c:v>
                </c:pt>
                <c:pt idx="12">
                  <c:v>2.4868247211974448E-2</c:v>
                </c:pt>
                <c:pt idx="13">
                  <c:v>2.6079124332274658E-2</c:v>
                </c:pt>
                <c:pt idx="14">
                  <c:v>2.6800864392424045E-2</c:v>
                </c:pt>
                <c:pt idx="15">
                  <c:v>2.5463898452574539E-2</c:v>
                </c:pt>
                <c:pt idx="16">
                  <c:v>3.3442291461949027E-2</c:v>
                </c:pt>
                <c:pt idx="17">
                  <c:v>3.5970143142400046E-2</c:v>
                </c:pt>
                <c:pt idx="18">
                  <c:v>3.6471605663074114E-2</c:v>
                </c:pt>
                <c:pt idx="19">
                  <c:v>3.4312134943150344E-2</c:v>
                </c:pt>
                <c:pt idx="20">
                  <c:v>3.5767037783373777E-2</c:v>
                </c:pt>
                <c:pt idx="21">
                  <c:v>3.7842228843524027E-2</c:v>
                </c:pt>
                <c:pt idx="22">
                  <c:v>3.6775843123598863E-2</c:v>
                </c:pt>
                <c:pt idx="23">
                  <c:v>3.7050750084123139E-2</c:v>
                </c:pt>
                <c:pt idx="24">
                  <c:v>3.9830774044648937E-2</c:v>
                </c:pt>
                <c:pt idx="25">
                  <c:v>3.745815076644976E-2</c:v>
                </c:pt>
                <c:pt idx="26">
                  <c:v>4.356325009162447E-2</c:v>
                </c:pt>
                <c:pt idx="27">
                  <c:v>4.6547572052149919E-2</c:v>
                </c:pt>
                <c:pt idx="28">
                  <c:v>4.518784885289915E-2</c:v>
                </c:pt>
                <c:pt idx="29">
                  <c:v>4.7140841794624064E-2</c:v>
                </c:pt>
                <c:pt idx="30">
                  <c:v>4.6788701794624105E-2</c:v>
                </c:pt>
                <c:pt idx="31">
                  <c:v>5.8658351886699163E-2</c:v>
                </c:pt>
                <c:pt idx="32">
                  <c:v>5.9052464268274887E-2</c:v>
                </c:pt>
                <c:pt idx="33">
                  <c:v>6.1410345388574566E-2</c:v>
                </c:pt>
                <c:pt idx="34">
                  <c:v>6.2388300849100235E-2</c:v>
                </c:pt>
                <c:pt idx="35">
                  <c:v>6.6554980330300162E-2</c:v>
                </c:pt>
                <c:pt idx="36">
                  <c:v>7.4285461941174621E-2</c:v>
                </c:pt>
                <c:pt idx="37">
                  <c:v>7.7978532303948675E-2</c:v>
                </c:pt>
                <c:pt idx="38">
                  <c:v>7.3996042084024341E-2</c:v>
                </c:pt>
                <c:pt idx="39">
                  <c:v>7.988798686409973E-2</c:v>
                </c:pt>
                <c:pt idx="40">
                  <c:v>7.3548329285150427E-2</c:v>
                </c:pt>
                <c:pt idx="41">
                  <c:v>8.7408978995648798E-2</c:v>
                </c:pt>
                <c:pt idx="42">
                  <c:v>9.1363499038874585E-2</c:v>
                </c:pt>
                <c:pt idx="43">
                  <c:v>8.6080133999399552E-2</c:v>
                </c:pt>
                <c:pt idx="44">
                  <c:v>8.8800700959924136E-2</c:v>
                </c:pt>
                <c:pt idx="45">
                  <c:v>9.2422747239999811E-2</c:v>
                </c:pt>
                <c:pt idx="46">
                  <c:v>9.7468786172298677E-2</c:v>
                </c:pt>
                <c:pt idx="47">
                  <c:v>9.9584557394099646E-2</c:v>
                </c:pt>
                <c:pt idx="48">
                  <c:v>9.3893597495599349E-2</c:v>
                </c:pt>
                <c:pt idx="49">
                  <c:v>9.7254663676048944E-2</c:v>
                </c:pt>
                <c:pt idx="50">
                  <c:v>9.3957383356499127E-2</c:v>
                </c:pt>
                <c:pt idx="51">
                  <c:v>9.2674655568874192E-2</c:v>
                </c:pt>
                <c:pt idx="52">
                  <c:v>9.3574088629025026E-2</c:v>
                </c:pt>
                <c:pt idx="53">
                  <c:v>8.5384856290673272E-2</c:v>
                </c:pt>
                <c:pt idx="54">
                  <c:v>8.8128538130899867E-2</c:v>
                </c:pt>
                <c:pt idx="55">
                  <c:v>8.6720206211724868E-2</c:v>
                </c:pt>
                <c:pt idx="56">
                  <c:v>6.6544856803799124E-2</c:v>
                </c:pt>
                <c:pt idx="57">
                  <c:v>6.4135937384624406E-2</c:v>
                </c:pt>
                <c:pt idx="58">
                  <c:v>6.2265576884624349E-2</c:v>
                </c:pt>
                <c:pt idx="59">
                  <c:v>6.1062934784999016E-2</c:v>
                </c:pt>
                <c:pt idx="60">
                  <c:v>5.9120290685374131E-2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8-D74B-AE55-2C67B5E6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4634576"/>
        <c:axId val="-1084631184"/>
      </c:scatterChart>
      <c:valAx>
        <c:axId val="-10846345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84631184"/>
        <c:crosses val="autoZero"/>
        <c:crossBetween val="midCat"/>
      </c:valAx>
      <c:valAx>
        <c:axId val="-108463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Formation Energy (eV/at)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8463457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'800K'!$P$3:$P$69</c:f>
              <c:numCache>
                <c:formatCode>General</c:formatCode>
                <c:ptCount val="67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0.109</c:v>
                </c:pt>
                <c:pt idx="7">
                  <c:v>0.1115</c:v>
                </c:pt>
                <c:pt idx="8">
                  <c:v>0.1115</c:v>
                </c:pt>
                <c:pt idx="9">
                  <c:v>0.1115</c:v>
                </c:pt>
                <c:pt idx="10">
                  <c:v>0.1135</c:v>
                </c:pt>
                <c:pt idx="11">
                  <c:v>0.11700000000000001</c:v>
                </c:pt>
                <c:pt idx="12">
                  <c:v>0.11849999999999999</c:v>
                </c:pt>
                <c:pt idx="13">
                  <c:v>0.11899999999999999</c:v>
                </c:pt>
                <c:pt idx="14">
                  <c:v>0.12</c:v>
                </c:pt>
                <c:pt idx="15">
                  <c:v>0.13950000000000001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0.28899999999999998</c:v>
                </c:pt>
                <c:pt idx="27">
                  <c:v>0.28949999999999998</c:v>
                </c:pt>
                <c:pt idx="28">
                  <c:v>0.29649999999999999</c:v>
                </c:pt>
                <c:pt idx="29">
                  <c:v>0.29699999999999999</c:v>
                </c:pt>
                <c:pt idx="30">
                  <c:v>0.30399999999999999</c:v>
                </c:pt>
                <c:pt idx="31">
                  <c:v>0.30599999999999999</c:v>
                </c:pt>
                <c:pt idx="32">
                  <c:v>0.30649999999999999</c:v>
                </c:pt>
                <c:pt idx="33">
                  <c:v>0.3125</c:v>
                </c:pt>
                <c:pt idx="34">
                  <c:v>0.3135</c:v>
                </c:pt>
                <c:pt idx="35">
                  <c:v>0.3135</c:v>
                </c:pt>
                <c:pt idx="36">
                  <c:v>0.378</c:v>
                </c:pt>
                <c:pt idx="37">
                  <c:v>0.38850000000000001</c:v>
                </c:pt>
                <c:pt idx="38">
                  <c:v>0.39050000000000001</c:v>
                </c:pt>
                <c:pt idx="39">
                  <c:v>0.39400000000000002</c:v>
                </c:pt>
                <c:pt idx="40">
                  <c:v>0.40200000000000002</c:v>
                </c:pt>
                <c:pt idx="41">
                  <c:v>0.47449999999999998</c:v>
                </c:pt>
                <c:pt idx="42">
                  <c:v>0.49299999999999999</c:v>
                </c:pt>
                <c:pt idx="43">
                  <c:v>0.49349999999999999</c:v>
                </c:pt>
                <c:pt idx="44">
                  <c:v>0.49399999999999999</c:v>
                </c:pt>
                <c:pt idx="45">
                  <c:v>0.501</c:v>
                </c:pt>
                <c:pt idx="46">
                  <c:v>0.57099999999999995</c:v>
                </c:pt>
                <c:pt idx="47">
                  <c:v>0.59250000000000003</c:v>
                </c:pt>
                <c:pt idx="48">
                  <c:v>0.59599999999999997</c:v>
                </c:pt>
                <c:pt idx="49">
                  <c:v>0.59950000000000003</c:v>
                </c:pt>
                <c:pt idx="50">
                  <c:v>0.6</c:v>
                </c:pt>
                <c:pt idx="51">
                  <c:v>0.68200000000000005</c:v>
                </c:pt>
                <c:pt idx="52">
                  <c:v>0.69399999999999995</c:v>
                </c:pt>
                <c:pt idx="53">
                  <c:v>0.70399999999999996</c:v>
                </c:pt>
                <c:pt idx="54">
                  <c:v>0.70699999999999996</c:v>
                </c:pt>
                <c:pt idx="55">
                  <c:v>0.71</c:v>
                </c:pt>
                <c:pt idx="56">
                  <c:v>0.79249999999999998</c:v>
                </c:pt>
                <c:pt idx="57">
                  <c:v>0.79349999999999998</c:v>
                </c:pt>
                <c:pt idx="58">
                  <c:v>0.80449999999999999</c:v>
                </c:pt>
                <c:pt idx="59">
                  <c:v>0.80600000000000005</c:v>
                </c:pt>
                <c:pt idx="60">
                  <c:v>0.8115</c:v>
                </c:pt>
                <c:pt idx="61">
                  <c:v>0.89200000000000002</c:v>
                </c:pt>
                <c:pt idx="62">
                  <c:v>0.89749999999999996</c:v>
                </c:pt>
                <c:pt idx="63">
                  <c:v>0.89749999999999996</c:v>
                </c:pt>
                <c:pt idx="64">
                  <c:v>0.9</c:v>
                </c:pt>
                <c:pt idx="65">
                  <c:v>0.90249999999999997</c:v>
                </c:pt>
                <c:pt idx="66">
                  <c:v>1</c:v>
                </c:pt>
              </c:numCache>
            </c:numRef>
          </c:xVal>
          <c:yVal>
            <c:numRef>
              <c:f>'800K'!$O$3:$O$69</c:f>
              <c:numCache>
                <c:formatCode>General</c:formatCode>
                <c:ptCount val="67"/>
                <c:pt idx="0">
                  <c:v>0</c:v>
                </c:pt>
                <c:pt idx="1">
                  <c:v>1.0720154470375746E-2</c:v>
                </c:pt>
                <c:pt idx="2">
                  <c:v>1.0864473055125017E-2</c:v>
                </c:pt>
                <c:pt idx="3">
                  <c:v>1.3152454380549898E-2</c:v>
                </c:pt>
                <c:pt idx="4">
                  <c:v>1.1518037097501292E-2</c:v>
                </c:pt>
                <c:pt idx="5">
                  <c:v>1.2661519356825921E-2</c:v>
                </c:pt>
                <c:pt idx="6">
                  <c:v>2.1736135897550413E-2</c:v>
                </c:pt>
                <c:pt idx="7">
                  <c:v>2.2300555439926029E-2</c:v>
                </c:pt>
                <c:pt idx="8">
                  <c:v>2.092621243992562E-2</c:v>
                </c:pt>
                <c:pt idx="9">
                  <c:v>2.2622390939925935E-2</c:v>
                </c:pt>
                <c:pt idx="10">
                  <c:v>2.1877612373824375E-2</c:v>
                </c:pt>
                <c:pt idx="11">
                  <c:v>2.3173451633149853E-2</c:v>
                </c:pt>
                <c:pt idx="12">
                  <c:v>2.386320395857456E-2</c:v>
                </c:pt>
                <c:pt idx="13">
                  <c:v>2.3512657067050895E-2</c:v>
                </c:pt>
                <c:pt idx="14">
                  <c:v>2.4348793784000917E-2</c:v>
                </c:pt>
                <c:pt idx="15">
                  <c:v>2.5858798014525747E-2</c:v>
                </c:pt>
                <c:pt idx="16">
                  <c:v>3.5117870460350788E-2</c:v>
                </c:pt>
                <c:pt idx="17">
                  <c:v>3.6888865611200347E-2</c:v>
                </c:pt>
                <c:pt idx="18">
                  <c:v>3.7132747087475763E-2</c:v>
                </c:pt>
                <c:pt idx="19">
                  <c:v>3.6300050195951374E-2</c:v>
                </c:pt>
                <c:pt idx="20">
                  <c:v>3.6990384521375742E-2</c:v>
                </c:pt>
                <c:pt idx="21">
                  <c:v>3.8405430238325607E-2</c:v>
                </c:pt>
                <c:pt idx="22">
                  <c:v>3.7422163846800686E-2</c:v>
                </c:pt>
                <c:pt idx="23">
                  <c:v>3.8603179606125193E-2</c:v>
                </c:pt>
                <c:pt idx="24">
                  <c:v>4.0119624365451273E-2</c:v>
                </c:pt>
                <c:pt idx="25">
                  <c:v>3.9150183968850796E-2</c:v>
                </c:pt>
                <c:pt idx="26">
                  <c:v>4.5631490448550721E-2</c:v>
                </c:pt>
                <c:pt idx="27">
                  <c:v>4.792087155702484E-2</c:v>
                </c:pt>
                <c:pt idx="28">
                  <c:v>4.7722376575676205E-2</c:v>
                </c:pt>
                <c:pt idx="29">
                  <c:v>4.6101746184150215E-2</c:v>
                </c:pt>
                <c:pt idx="30">
                  <c:v>4.7236556202800782E-2</c:v>
                </c:pt>
                <c:pt idx="31">
                  <c:v>4.8839696136699785E-2</c:v>
                </c:pt>
                <c:pt idx="32">
                  <c:v>4.956115024517567E-2</c:v>
                </c:pt>
                <c:pt idx="33">
                  <c:v>4.9414325046875089E-2</c:v>
                </c:pt>
                <c:pt idx="34">
                  <c:v>5.2089090263825709E-2</c:v>
                </c:pt>
                <c:pt idx="35">
                  <c:v>5.2131286763825301E-2</c:v>
                </c:pt>
                <c:pt idx="36">
                  <c:v>5.9066127757099823E-2</c:v>
                </c:pt>
                <c:pt idx="37">
                  <c:v>5.830454103507509E-2</c:v>
                </c:pt>
                <c:pt idx="38">
                  <c:v>6.0943562968975129E-2</c:v>
                </c:pt>
                <c:pt idx="39">
                  <c:v>6.2047716228300485E-2</c:v>
                </c:pt>
                <c:pt idx="40">
                  <c:v>6.6317424963899613E-2</c:v>
                </c:pt>
                <c:pt idx="41">
                  <c:v>7.3890296192775165E-2</c:v>
                </c:pt>
                <c:pt idx="42">
                  <c:v>7.7604901206351315E-2</c:v>
                </c:pt>
                <c:pt idx="43">
                  <c:v>7.3522895814825462E-2</c:v>
                </c:pt>
                <c:pt idx="44">
                  <c:v>7.8406991923299751E-2</c:v>
                </c:pt>
                <c:pt idx="45">
                  <c:v>7.3130294441949448E-2</c:v>
                </c:pt>
                <c:pt idx="46">
                  <c:v>8.7271750128450551E-2</c:v>
                </c:pt>
                <c:pt idx="47">
                  <c:v>9.0273213292874965E-2</c:v>
                </c:pt>
                <c:pt idx="48">
                  <c:v>8.587057505220036E-2</c:v>
                </c:pt>
                <c:pt idx="49">
                  <c:v>8.8899416311525786E-2</c:v>
                </c:pt>
                <c:pt idx="50">
                  <c:v>9.1279537419999543E-2</c:v>
                </c:pt>
                <c:pt idx="51">
                  <c:v>9.6409307709899625E-2</c:v>
                </c:pt>
                <c:pt idx="52">
                  <c:v>9.8456313813299862E-2</c:v>
                </c:pt>
                <c:pt idx="53">
                  <c:v>9.3216322982799277E-2</c:v>
                </c:pt>
                <c:pt idx="54">
                  <c:v>9.6225034133649384E-2</c:v>
                </c:pt>
                <c:pt idx="55">
                  <c:v>9.3703793284500528E-2</c:v>
                </c:pt>
                <c:pt idx="56">
                  <c:v>9.2322756682875484E-2</c:v>
                </c:pt>
                <c:pt idx="57">
                  <c:v>9.2683425399824951E-2</c:v>
                </c:pt>
                <c:pt idx="58">
                  <c:v>8.490330228627499E-2</c:v>
                </c:pt>
                <c:pt idx="59">
                  <c:v>8.7383111111699691E-2</c:v>
                </c:pt>
                <c:pt idx="60">
                  <c:v>8.5944882304926071E-2</c:v>
                </c:pt>
                <c:pt idx="61">
                  <c:v>6.6213633269398997E-2</c:v>
                </c:pt>
                <c:pt idx="62">
                  <c:v>6.4197224462624033E-2</c:v>
                </c:pt>
                <c:pt idx="63">
                  <c:v>6.2289335462624877E-2</c:v>
                </c:pt>
                <c:pt idx="64">
                  <c:v>6.0238788505000231E-2</c:v>
                </c:pt>
                <c:pt idx="65">
                  <c:v>5.9142255547374588E-2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1-4443-882C-DAEEC810D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3733888"/>
        <c:axId val="-1323731568"/>
      </c:scatterChart>
      <c:valAx>
        <c:axId val="-132373388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1323731568"/>
        <c:crosses val="autoZero"/>
        <c:crossBetween val="midCat"/>
      </c:valAx>
      <c:valAx>
        <c:axId val="-132373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2373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600</c:v>
          </c:tx>
          <c:spPr>
            <a:ln w="47625">
              <a:noFill/>
            </a:ln>
          </c:spPr>
          <c:xVal>
            <c:numRef>
              <c:f>'600'!$Q$3:$Q$59</c:f>
              <c:numCache>
                <c:formatCode>General</c:formatCode>
                <c:ptCount val="57"/>
                <c:pt idx="0">
                  <c:v>0</c:v>
                </c:pt>
                <c:pt idx="1">
                  <c:v>5.1499999999999997E-2</c:v>
                </c:pt>
                <c:pt idx="2">
                  <c:v>5.0999999999999997E-2</c:v>
                </c:pt>
                <c:pt idx="3">
                  <c:v>5.7000000000000002E-2</c:v>
                </c:pt>
                <c:pt idx="4">
                  <c:v>3.85E-2</c:v>
                </c:pt>
                <c:pt idx="5">
                  <c:v>4.4999999999999998E-2</c:v>
                </c:pt>
                <c:pt idx="6">
                  <c:v>9.35E-2</c:v>
                </c:pt>
                <c:pt idx="7">
                  <c:v>9.2499999999999999E-2</c:v>
                </c:pt>
                <c:pt idx="8">
                  <c:v>9.7500000000000003E-2</c:v>
                </c:pt>
                <c:pt idx="9">
                  <c:v>9.8500000000000004E-2</c:v>
                </c:pt>
                <c:pt idx="10">
                  <c:v>9.1499999999999998E-2</c:v>
                </c:pt>
                <c:pt idx="11">
                  <c:v>0.14050000000000001</c:v>
                </c:pt>
                <c:pt idx="12">
                  <c:v>0.14149999999999999</c:v>
                </c:pt>
                <c:pt idx="13">
                  <c:v>0.15049999999999999</c:v>
                </c:pt>
                <c:pt idx="14">
                  <c:v>0.1565</c:v>
                </c:pt>
                <c:pt idx="15">
                  <c:v>0.14599999999999999</c:v>
                </c:pt>
                <c:pt idx="16">
                  <c:v>0.219</c:v>
                </c:pt>
                <c:pt idx="17">
                  <c:v>0.2185</c:v>
                </c:pt>
                <c:pt idx="18">
                  <c:v>0.22</c:v>
                </c:pt>
                <c:pt idx="19">
                  <c:v>0.23400000000000001</c:v>
                </c:pt>
                <c:pt idx="20">
                  <c:v>0.221</c:v>
                </c:pt>
                <c:pt idx="21">
                  <c:v>0.28499999999999998</c:v>
                </c:pt>
                <c:pt idx="22">
                  <c:v>0.29149999999999998</c:v>
                </c:pt>
                <c:pt idx="23">
                  <c:v>0.28499999999999998</c:v>
                </c:pt>
                <c:pt idx="24">
                  <c:v>0.29549999999999998</c:v>
                </c:pt>
                <c:pt idx="25">
                  <c:v>0.28849999999999998</c:v>
                </c:pt>
                <c:pt idx="26">
                  <c:v>0.39700000000000002</c:v>
                </c:pt>
                <c:pt idx="27">
                  <c:v>0.38900000000000001</c:v>
                </c:pt>
                <c:pt idx="28">
                  <c:v>0.3755</c:v>
                </c:pt>
                <c:pt idx="29">
                  <c:v>0.39150000000000001</c:v>
                </c:pt>
                <c:pt idx="30">
                  <c:v>0.39200000000000002</c:v>
                </c:pt>
                <c:pt idx="31">
                  <c:v>0.50800000000000001</c:v>
                </c:pt>
                <c:pt idx="32">
                  <c:v>0.49299999999999999</c:v>
                </c:pt>
                <c:pt idx="33">
                  <c:v>0.46949999999999997</c:v>
                </c:pt>
                <c:pt idx="34">
                  <c:v>0.4955</c:v>
                </c:pt>
                <c:pt idx="35">
                  <c:v>0.48449999999999999</c:v>
                </c:pt>
                <c:pt idx="36">
                  <c:v>0.60350000000000004</c:v>
                </c:pt>
                <c:pt idx="37">
                  <c:v>0.60199999999999998</c:v>
                </c:pt>
                <c:pt idx="38">
                  <c:v>0.57599999999999996</c:v>
                </c:pt>
                <c:pt idx="39">
                  <c:v>0.60150000000000003</c:v>
                </c:pt>
                <c:pt idx="40">
                  <c:v>0.59099999999999997</c:v>
                </c:pt>
                <c:pt idx="41">
                  <c:v>0.70599999999999996</c:v>
                </c:pt>
                <c:pt idx="42">
                  <c:v>0.70950000000000002</c:v>
                </c:pt>
                <c:pt idx="43">
                  <c:v>0.68049999999999999</c:v>
                </c:pt>
                <c:pt idx="44">
                  <c:v>0.70750000000000002</c:v>
                </c:pt>
                <c:pt idx="45">
                  <c:v>0.68500000000000005</c:v>
                </c:pt>
                <c:pt idx="46">
                  <c:v>0.80900000000000005</c:v>
                </c:pt>
                <c:pt idx="47">
                  <c:v>0.80600000000000005</c:v>
                </c:pt>
                <c:pt idx="48">
                  <c:v>0.78749999999999998</c:v>
                </c:pt>
                <c:pt idx="49">
                  <c:v>0.8085</c:v>
                </c:pt>
                <c:pt idx="50">
                  <c:v>0.78900000000000003</c:v>
                </c:pt>
                <c:pt idx="51">
                  <c:v>0.90900000000000003</c:v>
                </c:pt>
                <c:pt idx="52">
                  <c:v>0.89700000000000002</c:v>
                </c:pt>
                <c:pt idx="53">
                  <c:v>0.89649999999999996</c:v>
                </c:pt>
                <c:pt idx="54">
                  <c:v>0.89649999999999996</c:v>
                </c:pt>
                <c:pt idx="55">
                  <c:v>0.89700000000000002</c:v>
                </c:pt>
                <c:pt idx="56">
                  <c:v>1</c:v>
                </c:pt>
              </c:numCache>
            </c:numRef>
          </c:xVal>
          <c:yVal>
            <c:numRef>
              <c:f>'600'!$P$3:$P$59</c:f>
              <c:numCache>
                <c:formatCode>General</c:formatCode>
                <c:ptCount val="57"/>
                <c:pt idx="0">
                  <c:v>0</c:v>
                </c:pt>
                <c:pt idx="1">
                  <c:v>1.1673678548399949E-2</c:v>
                </c:pt>
                <c:pt idx="2">
                  <c:v>1.2329194725601155E-2</c:v>
                </c:pt>
                <c:pt idx="3">
                  <c:v>1.3421549099200092E-2</c:v>
                </c:pt>
                <c:pt idx="4">
                  <c:v>9.6395231556016363E-3</c:v>
                </c:pt>
                <c:pt idx="5">
                  <c:v>1.1049630852000518E-2</c:v>
                </c:pt>
                <c:pt idx="6">
                  <c:v>1.8937695163599527E-2</c:v>
                </c:pt>
                <c:pt idx="7">
                  <c:v>1.905561201800083E-2</c:v>
                </c:pt>
                <c:pt idx="8">
                  <c:v>2.0414720746000967E-2</c:v>
                </c:pt>
                <c:pt idx="9">
                  <c:v>2.0698633891601276E-2</c:v>
                </c:pt>
                <c:pt idx="10">
                  <c:v>1.9401886872399701E-2</c:v>
                </c:pt>
                <c:pt idx="11">
                  <c:v>2.5711009506800109E-2</c:v>
                </c:pt>
                <c:pt idx="12">
                  <c:v>2.6649216652400356E-2</c:v>
                </c:pt>
                <c:pt idx="13">
                  <c:v>2.6264105462800218E-2</c:v>
                </c:pt>
                <c:pt idx="14">
                  <c:v>2.896149483640147E-2</c:v>
                </c:pt>
                <c:pt idx="15">
                  <c:v>2.6930532057600431E-2</c:v>
                </c:pt>
                <c:pt idx="16">
                  <c:v>3.5584625186399536E-2</c:v>
                </c:pt>
                <c:pt idx="17">
                  <c:v>3.5236035863600593E-2</c:v>
                </c:pt>
                <c:pt idx="18">
                  <c:v>3.4901312332000091E-2</c:v>
                </c:pt>
                <c:pt idx="19">
                  <c:v>3.9176331870400642E-2</c:v>
                </c:pt>
                <c:pt idx="20">
                  <c:v>3.6862351977600155E-2</c:v>
                </c:pt>
                <c:pt idx="21">
                  <c:v>4.4249149296000725E-2</c:v>
                </c:pt>
                <c:pt idx="22">
                  <c:v>4.6025263992400138E-2</c:v>
                </c:pt>
                <c:pt idx="23">
                  <c:v>4.2097898796000663E-2</c:v>
                </c:pt>
                <c:pt idx="24">
                  <c:v>4.7217523074800739E-2</c:v>
                </c:pt>
                <c:pt idx="25">
                  <c:v>4.4707089555599849E-2</c:v>
                </c:pt>
                <c:pt idx="26">
                  <c:v>5.9763040603200354E-2</c:v>
                </c:pt>
                <c:pt idx="27">
                  <c:v>5.7998903938400875E-2</c:v>
                </c:pt>
                <c:pt idx="28">
                  <c:v>5.7328178722799751E-2</c:v>
                </c:pt>
                <c:pt idx="29">
                  <c:v>6.3620969552399403E-2</c:v>
                </c:pt>
                <c:pt idx="30">
                  <c:v>6.0519463375198937E-2</c:v>
                </c:pt>
                <c:pt idx="31">
                  <c:v>7.6858075264800388E-2</c:v>
                </c:pt>
                <c:pt idx="32">
                  <c:v>7.5114952580799588E-2</c:v>
                </c:pt>
                <c:pt idx="33">
                  <c:v>7.4558359909199678E-2</c:v>
                </c:pt>
                <c:pt idx="34">
                  <c:v>7.7438508694799568E-2</c:v>
                </c:pt>
                <c:pt idx="35">
                  <c:v>7.4440812593200456E-2</c:v>
                </c:pt>
                <c:pt idx="36">
                  <c:v>9.1097245919600028E-2</c:v>
                </c:pt>
                <c:pt idx="37">
                  <c:v>8.9487751451199984E-2</c:v>
                </c:pt>
                <c:pt idx="38">
                  <c:v>8.4957917665600693E-2</c:v>
                </c:pt>
                <c:pt idx="39">
                  <c:v>9.1084431128400867E-2</c:v>
                </c:pt>
                <c:pt idx="40">
                  <c:v>8.6880927349599915E-2</c:v>
                </c:pt>
                <c:pt idx="41">
                  <c:v>9.5981510593599523E-2</c:v>
                </c:pt>
                <c:pt idx="42">
                  <c:v>9.6344950853199413E-2</c:v>
                </c:pt>
                <c:pt idx="43">
                  <c:v>9.4659910130801106E-2</c:v>
                </c:pt>
                <c:pt idx="44">
                  <c:v>9.6309282562000595E-2</c:v>
                </c:pt>
                <c:pt idx="45">
                  <c:v>9.3322860536000002E-2</c:v>
                </c:pt>
                <c:pt idx="46">
                  <c:v>8.5524425590399911E-2</c:v>
                </c:pt>
                <c:pt idx="47">
                  <c:v>8.9106811153600571E-2</c:v>
                </c:pt>
                <c:pt idx="48">
                  <c:v>9.4629543709999778E-2</c:v>
                </c:pt>
                <c:pt idx="49">
                  <c:v>8.6228653267599834E-2</c:v>
                </c:pt>
                <c:pt idx="50">
                  <c:v>8.9295152178398896E-2</c:v>
                </c:pt>
                <c:pt idx="51">
                  <c:v>5.7629189150400634E-2</c:v>
                </c:pt>
                <c:pt idx="52">
                  <c:v>6.2979910903200112E-2</c:v>
                </c:pt>
                <c:pt idx="53">
                  <c:v>6.3723616580399725E-2</c:v>
                </c:pt>
                <c:pt idx="54">
                  <c:v>6.0961736580399703E-2</c:v>
                </c:pt>
                <c:pt idx="55">
                  <c:v>6.4074606403200049E-2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E-E14B-A38A-7EE0C502A6D8}"/>
            </c:ext>
          </c:extLst>
        </c:ser>
        <c:ser>
          <c:idx val="1"/>
          <c:order val="1"/>
          <c:tx>
            <c:v>1000</c:v>
          </c:tx>
          <c:spPr>
            <a:ln w="47625">
              <a:noFill/>
            </a:ln>
          </c:spPr>
          <c:xVal>
            <c:numRef>
              <c:f>'1000 K'!$Q$6:$Q$67</c:f>
              <c:numCache>
                <c:formatCode>General</c:formatCode>
                <c:ptCount val="62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8.9499999999999996E-2</c:v>
                </c:pt>
                <c:pt idx="7">
                  <c:v>9.35E-2</c:v>
                </c:pt>
                <c:pt idx="8">
                  <c:v>9.5500000000000002E-2</c:v>
                </c:pt>
                <c:pt idx="9">
                  <c:v>9.7000000000000003E-2</c:v>
                </c:pt>
                <c:pt idx="10">
                  <c:v>9.7500000000000003E-2</c:v>
                </c:pt>
                <c:pt idx="11">
                  <c:v>0.14050000000000001</c:v>
                </c:pt>
                <c:pt idx="12">
                  <c:v>0.14649999999999999</c:v>
                </c:pt>
                <c:pt idx="13">
                  <c:v>0.14849999999999999</c:v>
                </c:pt>
                <c:pt idx="14">
                  <c:v>0.14949999999999999</c:v>
                </c:pt>
                <c:pt idx="15">
                  <c:v>0.15049999999999999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0.27750000000000002</c:v>
                </c:pt>
                <c:pt idx="27">
                  <c:v>0.28100000000000003</c:v>
                </c:pt>
                <c:pt idx="28">
                  <c:v>0.28599999999999998</c:v>
                </c:pt>
                <c:pt idx="29">
                  <c:v>0.29749999999999999</c:v>
                </c:pt>
                <c:pt idx="30">
                  <c:v>0.29749999999999999</c:v>
                </c:pt>
                <c:pt idx="31">
                  <c:v>0.378</c:v>
                </c:pt>
                <c:pt idx="32">
                  <c:v>0.38850000000000001</c:v>
                </c:pt>
                <c:pt idx="33">
                  <c:v>0.39050000000000001</c:v>
                </c:pt>
                <c:pt idx="34">
                  <c:v>0.39400000000000002</c:v>
                </c:pt>
                <c:pt idx="35">
                  <c:v>0.40200000000000002</c:v>
                </c:pt>
                <c:pt idx="36">
                  <c:v>0.47449999999999998</c:v>
                </c:pt>
                <c:pt idx="37">
                  <c:v>0.49299999999999999</c:v>
                </c:pt>
                <c:pt idx="38">
                  <c:v>0.49349999999999999</c:v>
                </c:pt>
                <c:pt idx="39">
                  <c:v>0.49399999999999999</c:v>
                </c:pt>
                <c:pt idx="40">
                  <c:v>0.501</c:v>
                </c:pt>
                <c:pt idx="41">
                  <c:v>0.57099999999999995</c:v>
                </c:pt>
                <c:pt idx="42">
                  <c:v>0.59250000000000003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</c:v>
                </c:pt>
                <c:pt idx="46">
                  <c:v>0.68200000000000005</c:v>
                </c:pt>
                <c:pt idx="47">
                  <c:v>0.69399999999999995</c:v>
                </c:pt>
                <c:pt idx="48">
                  <c:v>0.70399999999999996</c:v>
                </c:pt>
                <c:pt idx="49">
                  <c:v>0.70699999999999996</c:v>
                </c:pt>
                <c:pt idx="50">
                  <c:v>0.71</c:v>
                </c:pt>
                <c:pt idx="51">
                  <c:v>0.79249999999999998</c:v>
                </c:pt>
                <c:pt idx="52">
                  <c:v>0.79349999999999998</c:v>
                </c:pt>
                <c:pt idx="53">
                  <c:v>0.80449999999999999</c:v>
                </c:pt>
                <c:pt idx="54">
                  <c:v>0.80600000000000005</c:v>
                </c:pt>
                <c:pt idx="55">
                  <c:v>0.8115</c:v>
                </c:pt>
                <c:pt idx="56">
                  <c:v>0.89200000000000002</c:v>
                </c:pt>
                <c:pt idx="57">
                  <c:v>0.89749999999999996</c:v>
                </c:pt>
                <c:pt idx="58">
                  <c:v>0.89749999999999996</c:v>
                </c:pt>
                <c:pt idx="59">
                  <c:v>0.9</c:v>
                </c:pt>
                <c:pt idx="60">
                  <c:v>0.90249999999999997</c:v>
                </c:pt>
                <c:pt idx="61">
                  <c:v>1</c:v>
                </c:pt>
              </c:numCache>
            </c:numRef>
          </c:xVal>
          <c:yVal>
            <c:numRef>
              <c:f>'1000 K'!$P$6:$P$67</c:f>
              <c:numCache>
                <c:formatCode>General</c:formatCode>
                <c:ptCount val="62"/>
                <c:pt idx="0">
                  <c:v>0</c:v>
                </c:pt>
                <c:pt idx="1">
                  <c:v>8.6289134563739944E-3</c:v>
                </c:pt>
                <c:pt idx="2">
                  <c:v>1.0193001757123966E-2</c:v>
                </c:pt>
                <c:pt idx="3">
                  <c:v>1.057411659734862E-2</c:v>
                </c:pt>
                <c:pt idx="4">
                  <c:v>1.1537852157499402E-2</c:v>
                </c:pt>
                <c:pt idx="5">
                  <c:v>1.0570209618024819E-2</c:v>
                </c:pt>
                <c:pt idx="6">
                  <c:v>1.7515415783424033E-2</c:v>
                </c:pt>
                <c:pt idx="7">
                  <c:v>1.8837347524024155E-2</c:v>
                </c:pt>
                <c:pt idx="8">
                  <c:v>1.8379062644324221E-2</c:v>
                </c:pt>
                <c:pt idx="9">
                  <c:v>1.8004586484548783E-2</c:v>
                </c:pt>
                <c:pt idx="10">
                  <c:v>1.9328300264624888E-2</c:v>
                </c:pt>
                <c:pt idx="11">
                  <c:v>2.4569774851073818E-2</c:v>
                </c:pt>
                <c:pt idx="12">
                  <c:v>2.4868247211974448E-2</c:v>
                </c:pt>
                <c:pt idx="13">
                  <c:v>2.6079124332274658E-2</c:v>
                </c:pt>
                <c:pt idx="14">
                  <c:v>2.6800864392424045E-2</c:v>
                </c:pt>
                <c:pt idx="15">
                  <c:v>2.5463898452574539E-2</c:v>
                </c:pt>
                <c:pt idx="16">
                  <c:v>3.3442291461949027E-2</c:v>
                </c:pt>
                <c:pt idx="17">
                  <c:v>3.5970143142400046E-2</c:v>
                </c:pt>
                <c:pt idx="18">
                  <c:v>3.6471605663074114E-2</c:v>
                </c:pt>
                <c:pt idx="19">
                  <c:v>3.4312134943150344E-2</c:v>
                </c:pt>
                <c:pt idx="20">
                  <c:v>3.5767037783373777E-2</c:v>
                </c:pt>
                <c:pt idx="21">
                  <c:v>3.7842228843524027E-2</c:v>
                </c:pt>
                <c:pt idx="22">
                  <c:v>3.6775843123598863E-2</c:v>
                </c:pt>
                <c:pt idx="23">
                  <c:v>3.7050750084123139E-2</c:v>
                </c:pt>
                <c:pt idx="24">
                  <c:v>3.9830774044648937E-2</c:v>
                </c:pt>
                <c:pt idx="25">
                  <c:v>3.745815076644976E-2</c:v>
                </c:pt>
                <c:pt idx="26">
                  <c:v>4.356325009162447E-2</c:v>
                </c:pt>
                <c:pt idx="27">
                  <c:v>4.6547572052149919E-2</c:v>
                </c:pt>
                <c:pt idx="28">
                  <c:v>4.518784885289915E-2</c:v>
                </c:pt>
                <c:pt idx="29">
                  <c:v>4.7140841794624064E-2</c:v>
                </c:pt>
                <c:pt idx="30">
                  <c:v>4.6788701794624105E-2</c:v>
                </c:pt>
                <c:pt idx="31">
                  <c:v>5.8658351886699163E-2</c:v>
                </c:pt>
                <c:pt idx="32">
                  <c:v>5.9052464268274887E-2</c:v>
                </c:pt>
                <c:pt idx="33">
                  <c:v>6.1410345388574566E-2</c:v>
                </c:pt>
                <c:pt idx="34">
                  <c:v>6.2388300849100235E-2</c:v>
                </c:pt>
                <c:pt idx="35">
                  <c:v>6.6554980330300162E-2</c:v>
                </c:pt>
                <c:pt idx="36">
                  <c:v>7.4285461941174621E-2</c:v>
                </c:pt>
                <c:pt idx="37">
                  <c:v>7.7978532303948675E-2</c:v>
                </c:pt>
                <c:pt idx="38">
                  <c:v>7.3996042084024341E-2</c:v>
                </c:pt>
                <c:pt idx="39">
                  <c:v>7.988798686409973E-2</c:v>
                </c:pt>
                <c:pt idx="40">
                  <c:v>7.3548329285150427E-2</c:v>
                </c:pt>
                <c:pt idx="41">
                  <c:v>8.7408978995648798E-2</c:v>
                </c:pt>
                <c:pt idx="42">
                  <c:v>9.1363499038874585E-2</c:v>
                </c:pt>
                <c:pt idx="43">
                  <c:v>8.6080133999399552E-2</c:v>
                </c:pt>
                <c:pt idx="44">
                  <c:v>8.8800700959924136E-2</c:v>
                </c:pt>
                <c:pt idx="45">
                  <c:v>9.2422747239999811E-2</c:v>
                </c:pt>
                <c:pt idx="46">
                  <c:v>9.7468786172298677E-2</c:v>
                </c:pt>
                <c:pt idx="47">
                  <c:v>9.9584557394099646E-2</c:v>
                </c:pt>
                <c:pt idx="48">
                  <c:v>9.3893597495599349E-2</c:v>
                </c:pt>
                <c:pt idx="49">
                  <c:v>9.7254663676048944E-2</c:v>
                </c:pt>
                <c:pt idx="50">
                  <c:v>9.3957383356499127E-2</c:v>
                </c:pt>
                <c:pt idx="51">
                  <c:v>9.2674655568874192E-2</c:v>
                </c:pt>
                <c:pt idx="52">
                  <c:v>9.3574088629025026E-2</c:v>
                </c:pt>
                <c:pt idx="53">
                  <c:v>8.5384856290673272E-2</c:v>
                </c:pt>
                <c:pt idx="54">
                  <c:v>8.8128538130899867E-2</c:v>
                </c:pt>
                <c:pt idx="55">
                  <c:v>8.6720206211724868E-2</c:v>
                </c:pt>
                <c:pt idx="56">
                  <c:v>6.6544856803799124E-2</c:v>
                </c:pt>
                <c:pt idx="57">
                  <c:v>6.4135937384624406E-2</c:v>
                </c:pt>
                <c:pt idx="58">
                  <c:v>6.2265576884624349E-2</c:v>
                </c:pt>
                <c:pt idx="59">
                  <c:v>6.1062934784999016E-2</c:v>
                </c:pt>
                <c:pt idx="60">
                  <c:v>5.9120290685374131E-2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E-E14B-A38A-7EE0C502A6D8}"/>
            </c:ext>
          </c:extLst>
        </c:ser>
        <c:ser>
          <c:idx val="2"/>
          <c:order val="2"/>
          <c:tx>
            <c:v>800</c:v>
          </c:tx>
          <c:spPr>
            <a:ln w="47625">
              <a:noFill/>
            </a:ln>
          </c:spPr>
          <c:xVal>
            <c:numRef>
              <c:f>'800K'!$P$3:$P$69</c:f>
              <c:numCache>
                <c:formatCode>General</c:formatCode>
                <c:ptCount val="67"/>
                <c:pt idx="0">
                  <c:v>0</c:v>
                </c:pt>
                <c:pt idx="1">
                  <c:v>4.2500000000000003E-2</c:v>
                </c:pt>
                <c:pt idx="2">
                  <c:v>4.7500000000000001E-2</c:v>
                </c:pt>
                <c:pt idx="3">
                  <c:v>4.9000000000000002E-2</c:v>
                </c:pt>
                <c:pt idx="4">
                  <c:v>0.05</c:v>
                </c:pt>
                <c:pt idx="5">
                  <c:v>5.3499999999999999E-2</c:v>
                </c:pt>
                <c:pt idx="6">
                  <c:v>0.109</c:v>
                </c:pt>
                <c:pt idx="7">
                  <c:v>0.1115</c:v>
                </c:pt>
                <c:pt idx="8">
                  <c:v>0.1115</c:v>
                </c:pt>
                <c:pt idx="9">
                  <c:v>0.1115</c:v>
                </c:pt>
                <c:pt idx="10">
                  <c:v>0.1135</c:v>
                </c:pt>
                <c:pt idx="11">
                  <c:v>0.11700000000000001</c:v>
                </c:pt>
                <c:pt idx="12">
                  <c:v>0.11849999999999999</c:v>
                </c:pt>
                <c:pt idx="13">
                  <c:v>0.11899999999999999</c:v>
                </c:pt>
                <c:pt idx="14">
                  <c:v>0.12</c:v>
                </c:pt>
                <c:pt idx="15">
                  <c:v>0.13950000000000001</c:v>
                </c:pt>
                <c:pt idx="16">
                  <c:v>0.21299999999999999</c:v>
                </c:pt>
                <c:pt idx="17">
                  <c:v>0.216</c:v>
                </c:pt>
                <c:pt idx="18">
                  <c:v>0.2205</c:v>
                </c:pt>
                <c:pt idx="19">
                  <c:v>0.221</c:v>
                </c:pt>
                <c:pt idx="20">
                  <c:v>0.2225</c:v>
                </c:pt>
                <c:pt idx="21">
                  <c:v>0.2235</c:v>
                </c:pt>
                <c:pt idx="22">
                  <c:v>0.224</c:v>
                </c:pt>
                <c:pt idx="23">
                  <c:v>0.22750000000000001</c:v>
                </c:pt>
                <c:pt idx="24">
                  <c:v>0.23100000000000001</c:v>
                </c:pt>
                <c:pt idx="25">
                  <c:v>0.24299999999999999</c:v>
                </c:pt>
                <c:pt idx="26">
                  <c:v>0.28899999999999998</c:v>
                </c:pt>
                <c:pt idx="27">
                  <c:v>0.28949999999999998</c:v>
                </c:pt>
                <c:pt idx="28">
                  <c:v>0.29649999999999999</c:v>
                </c:pt>
                <c:pt idx="29">
                  <c:v>0.29699999999999999</c:v>
                </c:pt>
                <c:pt idx="30">
                  <c:v>0.30399999999999999</c:v>
                </c:pt>
                <c:pt idx="31">
                  <c:v>0.30599999999999999</c:v>
                </c:pt>
                <c:pt idx="32">
                  <c:v>0.30649999999999999</c:v>
                </c:pt>
                <c:pt idx="33">
                  <c:v>0.3125</c:v>
                </c:pt>
                <c:pt idx="34">
                  <c:v>0.3135</c:v>
                </c:pt>
                <c:pt idx="35">
                  <c:v>0.3135</c:v>
                </c:pt>
                <c:pt idx="36">
                  <c:v>0.378</c:v>
                </c:pt>
                <c:pt idx="37">
                  <c:v>0.38850000000000001</c:v>
                </c:pt>
                <c:pt idx="38">
                  <c:v>0.39050000000000001</c:v>
                </c:pt>
                <c:pt idx="39">
                  <c:v>0.39400000000000002</c:v>
                </c:pt>
                <c:pt idx="40">
                  <c:v>0.40200000000000002</c:v>
                </c:pt>
                <c:pt idx="41">
                  <c:v>0.47449999999999998</c:v>
                </c:pt>
                <c:pt idx="42">
                  <c:v>0.49299999999999999</c:v>
                </c:pt>
                <c:pt idx="43">
                  <c:v>0.49349999999999999</c:v>
                </c:pt>
                <c:pt idx="44">
                  <c:v>0.49399999999999999</c:v>
                </c:pt>
                <c:pt idx="45">
                  <c:v>0.501</c:v>
                </c:pt>
                <c:pt idx="46">
                  <c:v>0.57099999999999995</c:v>
                </c:pt>
                <c:pt idx="47">
                  <c:v>0.59250000000000003</c:v>
                </c:pt>
                <c:pt idx="48">
                  <c:v>0.59599999999999997</c:v>
                </c:pt>
                <c:pt idx="49">
                  <c:v>0.59950000000000003</c:v>
                </c:pt>
                <c:pt idx="50">
                  <c:v>0.6</c:v>
                </c:pt>
                <c:pt idx="51">
                  <c:v>0.68200000000000005</c:v>
                </c:pt>
                <c:pt idx="52">
                  <c:v>0.69399999999999995</c:v>
                </c:pt>
                <c:pt idx="53">
                  <c:v>0.70399999999999996</c:v>
                </c:pt>
                <c:pt idx="54">
                  <c:v>0.70699999999999996</c:v>
                </c:pt>
                <c:pt idx="55">
                  <c:v>0.71</c:v>
                </c:pt>
                <c:pt idx="56">
                  <c:v>0.79249999999999998</c:v>
                </c:pt>
                <c:pt idx="57">
                  <c:v>0.79349999999999998</c:v>
                </c:pt>
                <c:pt idx="58">
                  <c:v>0.80449999999999999</c:v>
                </c:pt>
                <c:pt idx="59">
                  <c:v>0.80600000000000005</c:v>
                </c:pt>
                <c:pt idx="60">
                  <c:v>0.8115</c:v>
                </c:pt>
                <c:pt idx="61">
                  <c:v>0.89200000000000002</c:v>
                </c:pt>
                <c:pt idx="62">
                  <c:v>0.89749999999999996</c:v>
                </c:pt>
                <c:pt idx="63">
                  <c:v>0.89749999999999996</c:v>
                </c:pt>
                <c:pt idx="64">
                  <c:v>0.9</c:v>
                </c:pt>
                <c:pt idx="65">
                  <c:v>0.90249999999999997</c:v>
                </c:pt>
                <c:pt idx="66">
                  <c:v>1</c:v>
                </c:pt>
              </c:numCache>
            </c:numRef>
          </c:xVal>
          <c:yVal>
            <c:numRef>
              <c:f>'800K'!$O$3:$O$69</c:f>
              <c:numCache>
                <c:formatCode>General</c:formatCode>
                <c:ptCount val="67"/>
                <c:pt idx="0">
                  <c:v>0</c:v>
                </c:pt>
                <c:pt idx="1">
                  <c:v>1.0720154470375746E-2</c:v>
                </c:pt>
                <c:pt idx="2">
                  <c:v>1.0864473055125017E-2</c:v>
                </c:pt>
                <c:pt idx="3">
                  <c:v>1.3152454380549898E-2</c:v>
                </c:pt>
                <c:pt idx="4">
                  <c:v>1.1518037097501292E-2</c:v>
                </c:pt>
                <c:pt idx="5">
                  <c:v>1.2661519356825921E-2</c:v>
                </c:pt>
                <c:pt idx="6">
                  <c:v>2.1736135897550413E-2</c:v>
                </c:pt>
                <c:pt idx="7">
                  <c:v>2.2300555439926029E-2</c:v>
                </c:pt>
                <c:pt idx="8">
                  <c:v>2.092621243992562E-2</c:v>
                </c:pt>
                <c:pt idx="9">
                  <c:v>2.2622390939925935E-2</c:v>
                </c:pt>
                <c:pt idx="10">
                  <c:v>2.1877612373824375E-2</c:v>
                </c:pt>
                <c:pt idx="11">
                  <c:v>2.3173451633149853E-2</c:v>
                </c:pt>
                <c:pt idx="12">
                  <c:v>2.386320395857456E-2</c:v>
                </c:pt>
                <c:pt idx="13">
                  <c:v>2.3512657067050895E-2</c:v>
                </c:pt>
                <c:pt idx="14">
                  <c:v>2.4348793784000917E-2</c:v>
                </c:pt>
                <c:pt idx="15">
                  <c:v>2.5858798014525747E-2</c:v>
                </c:pt>
                <c:pt idx="16">
                  <c:v>3.5117870460350788E-2</c:v>
                </c:pt>
                <c:pt idx="17">
                  <c:v>3.6888865611200347E-2</c:v>
                </c:pt>
                <c:pt idx="18">
                  <c:v>3.7132747087475763E-2</c:v>
                </c:pt>
                <c:pt idx="19">
                  <c:v>3.6300050195951374E-2</c:v>
                </c:pt>
                <c:pt idx="20">
                  <c:v>3.6990384521375742E-2</c:v>
                </c:pt>
                <c:pt idx="21">
                  <c:v>3.8405430238325607E-2</c:v>
                </c:pt>
                <c:pt idx="22">
                  <c:v>3.7422163846800686E-2</c:v>
                </c:pt>
                <c:pt idx="23">
                  <c:v>3.8603179606125193E-2</c:v>
                </c:pt>
                <c:pt idx="24">
                  <c:v>4.0119624365451273E-2</c:v>
                </c:pt>
                <c:pt idx="25">
                  <c:v>3.9150183968850796E-2</c:v>
                </c:pt>
                <c:pt idx="26">
                  <c:v>4.5631490448550721E-2</c:v>
                </c:pt>
                <c:pt idx="27">
                  <c:v>4.792087155702484E-2</c:v>
                </c:pt>
                <c:pt idx="28">
                  <c:v>4.7722376575676205E-2</c:v>
                </c:pt>
                <c:pt idx="29">
                  <c:v>4.6101746184150215E-2</c:v>
                </c:pt>
                <c:pt idx="30">
                  <c:v>4.7236556202800782E-2</c:v>
                </c:pt>
                <c:pt idx="31">
                  <c:v>4.8839696136699785E-2</c:v>
                </c:pt>
                <c:pt idx="32">
                  <c:v>4.956115024517567E-2</c:v>
                </c:pt>
                <c:pt idx="33">
                  <c:v>4.9414325046875089E-2</c:v>
                </c:pt>
                <c:pt idx="34">
                  <c:v>5.2089090263825709E-2</c:v>
                </c:pt>
                <c:pt idx="35">
                  <c:v>5.2131286763825301E-2</c:v>
                </c:pt>
                <c:pt idx="36">
                  <c:v>5.9066127757099823E-2</c:v>
                </c:pt>
                <c:pt idx="37">
                  <c:v>5.830454103507509E-2</c:v>
                </c:pt>
                <c:pt idx="38">
                  <c:v>6.0943562968975129E-2</c:v>
                </c:pt>
                <c:pt idx="39">
                  <c:v>6.2047716228300485E-2</c:v>
                </c:pt>
                <c:pt idx="40">
                  <c:v>6.6317424963899613E-2</c:v>
                </c:pt>
                <c:pt idx="41">
                  <c:v>7.3890296192775165E-2</c:v>
                </c:pt>
                <c:pt idx="42">
                  <c:v>7.7604901206351315E-2</c:v>
                </c:pt>
                <c:pt idx="43">
                  <c:v>7.3522895814825462E-2</c:v>
                </c:pt>
                <c:pt idx="44">
                  <c:v>7.8406991923299751E-2</c:v>
                </c:pt>
                <c:pt idx="45">
                  <c:v>7.3130294441949448E-2</c:v>
                </c:pt>
                <c:pt idx="46">
                  <c:v>8.7271750128450551E-2</c:v>
                </c:pt>
                <c:pt idx="47">
                  <c:v>9.0273213292874965E-2</c:v>
                </c:pt>
                <c:pt idx="48">
                  <c:v>8.587057505220036E-2</c:v>
                </c:pt>
                <c:pt idx="49">
                  <c:v>8.8899416311525786E-2</c:v>
                </c:pt>
                <c:pt idx="50">
                  <c:v>9.1279537419999543E-2</c:v>
                </c:pt>
                <c:pt idx="51">
                  <c:v>9.6409307709899625E-2</c:v>
                </c:pt>
                <c:pt idx="52">
                  <c:v>9.8456313813299862E-2</c:v>
                </c:pt>
                <c:pt idx="53">
                  <c:v>9.3216322982799277E-2</c:v>
                </c:pt>
                <c:pt idx="54">
                  <c:v>9.6225034133649384E-2</c:v>
                </c:pt>
                <c:pt idx="55">
                  <c:v>9.3703793284500528E-2</c:v>
                </c:pt>
                <c:pt idx="56">
                  <c:v>9.2322756682875484E-2</c:v>
                </c:pt>
                <c:pt idx="57">
                  <c:v>9.2683425399824951E-2</c:v>
                </c:pt>
                <c:pt idx="58">
                  <c:v>8.490330228627499E-2</c:v>
                </c:pt>
                <c:pt idx="59">
                  <c:v>8.7383111111699691E-2</c:v>
                </c:pt>
                <c:pt idx="60">
                  <c:v>8.5944882304926071E-2</c:v>
                </c:pt>
                <c:pt idx="61">
                  <c:v>6.6213633269398997E-2</c:v>
                </c:pt>
                <c:pt idx="62">
                  <c:v>6.4197224462624033E-2</c:v>
                </c:pt>
                <c:pt idx="63">
                  <c:v>6.2289335462624877E-2</c:v>
                </c:pt>
                <c:pt idx="64">
                  <c:v>6.0238788505000231E-2</c:v>
                </c:pt>
                <c:pt idx="65">
                  <c:v>5.9142255547374588E-2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E-E14B-A38A-7EE0C502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2870752"/>
        <c:axId val="-1312868432"/>
      </c:scatterChart>
      <c:valAx>
        <c:axId val="-131287075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312868432"/>
        <c:crosses val="autoZero"/>
        <c:crossBetween val="midCat"/>
      </c:valAx>
      <c:valAx>
        <c:axId val="-1312868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12870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983923884514403"/>
          <c:y val="0.53646106736657895"/>
          <c:w val="0.10904965004374501"/>
          <c:h val="0.27892935258092699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600</c:v>
          </c:tx>
          <c:spPr>
            <a:ln w="47625">
              <a:noFill/>
            </a:ln>
            <a:effectLst/>
          </c:spPr>
          <c:marker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5"/>
            <c:dispRSqr val="0"/>
            <c:dispEq val="0"/>
          </c:trendline>
          <c:xVal>
            <c:numRef>
              <c:f>'600'!$Q$3:$Q$59</c:f>
              <c:numCache>
                <c:formatCode>General</c:formatCode>
                <c:ptCount val="57"/>
                <c:pt idx="0">
                  <c:v>0</c:v>
                </c:pt>
                <c:pt idx="1">
                  <c:v>5.1499999999999997E-2</c:v>
                </c:pt>
                <c:pt idx="2">
                  <c:v>5.0999999999999997E-2</c:v>
                </c:pt>
                <c:pt idx="3">
                  <c:v>5.7000000000000002E-2</c:v>
                </c:pt>
                <c:pt idx="4">
                  <c:v>3.85E-2</c:v>
                </c:pt>
                <c:pt idx="5">
                  <c:v>4.4999999999999998E-2</c:v>
                </c:pt>
                <c:pt idx="6">
                  <c:v>9.35E-2</c:v>
                </c:pt>
                <c:pt idx="7">
                  <c:v>9.2499999999999999E-2</c:v>
                </c:pt>
                <c:pt idx="8">
                  <c:v>9.7500000000000003E-2</c:v>
                </c:pt>
                <c:pt idx="9">
                  <c:v>9.8500000000000004E-2</c:v>
                </c:pt>
                <c:pt idx="10">
                  <c:v>9.1499999999999998E-2</c:v>
                </c:pt>
                <c:pt idx="11">
                  <c:v>0.14050000000000001</c:v>
                </c:pt>
                <c:pt idx="12">
                  <c:v>0.14149999999999999</c:v>
                </c:pt>
                <c:pt idx="13">
                  <c:v>0.15049999999999999</c:v>
                </c:pt>
                <c:pt idx="14">
                  <c:v>0.1565</c:v>
                </c:pt>
                <c:pt idx="15">
                  <c:v>0.14599999999999999</c:v>
                </c:pt>
                <c:pt idx="16">
                  <c:v>0.219</c:v>
                </c:pt>
                <c:pt idx="17">
                  <c:v>0.2185</c:v>
                </c:pt>
                <c:pt idx="18">
                  <c:v>0.22</c:v>
                </c:pt>
                <c:pt idx="19">
                  <c:v>0.23400000000000001</c:v>
                </c:pt>
                <c:pt idx="20">
                  <c:v>0.221</c:v>
                </c:pt>
                <c:pt idx="21">
                  <c:v>0.28499999999999998</c:v>
                </c:pt>
                <c:pt idx="22">
                  <c:v>0.29149999999999998</c:v>
                </c:pt>
                <c:pt idx="23">
                  <c:v>0.28499999999999998</c:v>
                </c:pt>
                <c:pt idx="24">
                  <c:v>0.29549999999999998</c:v>
                </c:pt>
                <c:pt idx="25">
                  <c:v>0.28849999999999998</c:v>
                </c:pt>
                <c:pt idx="26">
                  <c:v>0.39700000000000002</c:v>
                </c:pt>
                <c:pt idx="27">
                  <c:v>0.38900000000000001</c:v>
                </c:pt>
                <c:pt idx="28">
                  <c:v>0.3755</c:v>
                </c:pt>
                <c:pt idx="29">
                  <c:v>0.39150000000000001</c:v>
                </c:pt>
                <c:pt idx="30">
                  <c:v>0.39200000000000002</c:v>
                </c:pt>
                <c:pt idx="31">
                  <c:v>0.50800000000000001</c:v>
                </c:pt>
                <c:pt idx="32">
                  <c:v>0.49299999999999999</c:v>
                </c:pt>
                <c:pt idx="33">
                  <c:v>0.46949999999999997</c:v>
                </c:pt>
                <c:pt idx="34">
                  <c:v>0.4955</c:v>
                </c:pt>
                <c:pt idx="35">
                  <c:v>0.48449999999999999</c:v>
                </c:pt>
                <c:pt idx="36">
                  <c:v>0.60350000000000004</c:v>
                </c:pt>
                <c:pt idx="37">
                  <c:v>0.60199999999999998</c:v>
                </c:pt>
                <c:pt idx="38">
                  <c:v>0.57599999999999996</c:v>
                </c:pt>
                <c:pt idx="39">
                  <c:v>0.60150000000000003</c:v>
                </c:pt>
                <c:pt idx="40">
                  <c:v>0.59099999999999997</c:v>
                </c:pt>
                <c:pt idx="41">
                  <c:v>0.70599999999999996</c:v>
                </c:pt>
                <c:pt idx="42">
                  <c:v>0.70950000000000002</c:v>
                </c:pt>
                <c:pt idx="43">
                  <c:v>0.68049999999999999</c:v>
                </c:pt>
                <c:pt idx="44">
                  <c:v>0.70750000000000002</c:v>
                </c:pt>
                <c:pt idx="45">
                  <c:v>0.68500000000000005</c:v>
                </c:pt>
                <c:pt idx="46">
                  <c:v>0.80900000000000005</c:v>
                </c:pt>
                <c:pt idx="47">
                  <c:v>0.80600000000000005</c:v>
                </c:pt>
                <c:pt idx="48">
                  <c:v>0.78749999999999998</c:v>
                </c:pt>
                <c:pt idx="49">
                  <c:v>0.8085</c:v>
                </c:pt>
                <c:pt idx="50">
                  <c:v>0.78900000000000003</c:v>
                </c:pt>
                <c:pt idx="51">
                  <c:v>0.90900000000000003</c:v>
                </c:pt>
                <c:pt idx="52">
                  <c:v>0.89700000000000002</c:v>
                </c:pt>
                <c:pt idx="53">
                  <c:v>0.89649999999999996</c:v>
                </c:pt>
                <c:pt idx="54">
                  <c:v>0.89649999999999996</c:v>
                </c:pt>
                <c:pt idx="55">
                  <c:v>0.89700000000000002</c:v>
                </c:pt>
                <c:pt idx="56">
                  <c:v>1</c:v>
                </c:pt>
              </c:numCache>
            </c:numRef>
          </c:xVal>
          <c:yVal>
            <c:numRef>
              <c:f>'600'!$P$3:$P$59</c:f>
              <c:numCache>
                <c:formatCode>General</c:formatCode>
                <c:ptCount val="57"/>
                <c:pt idx="0">
                  <c:v>0</c:v>
                </c:pt>
                <c:pt idx="1">
                  <c:v>1.1673678548399949E-2</c:v>
                </c:pt>
                <c:pt idx="2">
                  <c:v>1.2329194725601155E-2</c:v>
                </c:pt>
                <c:pt idx="3">
                  <c:v>1.3421549099200092E-2</c:v>
                </c:pt>
                <c:pt idx="4">
                  <c:v>9.6395231556016363E-3</c:v>
                </c:pt>
                <c:pt idx="5">
                  <c:v>1.1049630852000518E-2</c:v>
                </c:pt>
                <c:pt idx="6">
                  <c:v>1.8937695163599527E-2</c:v>
                </c:pt>
                <c:pt idx="7">
                  <c:v>1.905561201800083E-2</c:v>
                </c:pt>
                <c:pt idx="8">
                  <c:v>2.0414720746000967E-2</c:v>
                </c:pt>
                <c:pt idx="9">
                  <c:v>2.0698633891601276E-2</c:v>
                </c:pt>
                <c:pt idx="10">
                  <c:v>1.9401886872399701E-2</c:v>
                </c:pt>
                <c:pt idx="11">
                  <c:v>2.5711009506800109E-2</c:v>
                </c:pt>
                <c:pt idx="12">
                  <c:v>2.6649216652400356E-2</c:v>
                </c:pt>
                <c:pt idx="13">
                  <c:v>2.6264105462800218E-2</c:v>
                </c:pt>
                <c:pt idx="14">
                  <c:v>2.896149483640147E-2</c:v>
                </c:pt>
                <c:pt idx="15">
                  <c:v>2.6930532057600431E-2</c:v>
                </c:pt>
                <c:pt idx="16">
                  <c:v>3.5584625186399536E-2</c:v>
                </c:pt>
                <c:pt idx="17">
                  <c:v>3.5236035863600593E-2</c:v>
                </c:pt>
                <c:pt idx="18">
                  <c:v>3.4901312332000091E-2</c:v>
                </c:pt>
                <c:pt idx="19">
                  <c:v>3.9176331870400642E-2</c:v>
                </c:pt>
                <c:pt idx="20">
                  <c:v>3.6862351977600155E-2</c:v>
                </c:pt>
                <c:pt idx="21">
                  <c:v>4.4249149296000725E-2</c:v>
                </c:pt>
                <c:pt idx="22">
                  <c:v>4.6025263992400138E-2</c:v>
                </c:pt>
                <c:pt idx="23">
                  <c:v>4.2097898796000663E-2</c:v>
                </c:pt>
                <c:pt idx="24">
                  <c:v>4.7217523074800739E-2</c:v>
                </c:pt>
                <c:pt idx="25">
                  <c:v>4.4707089555599849E-2</c:v>
                </c:pt>
                <c:pt idx="26">
                  <c:v>5.9763040603200354E-2</c:v>
                </c:pt>
                <c:pt idx="27">
                  <c:v>5.7998903938400875E-2</c:v>
                </c:pt>
                <c:pt idx="28">
                  <c:v>5.7328178722799751E-2</c:v>
                </c:pt>
                <c:pt idx="29">
                  <c:v>6.3620969552399403E-2</c:v>
                </c:pt>
                <c:pt idx="30">
                  <c:v>6.0519463375198937E-2</c:v>
                </c:pt>
                <c:pt idx="31">
                  <c:v>7.6858075264800388E-2</c:v>
                </c:pt>
                <c:pt idx="32">
                  <c:v>7.5114952580799588E-2</c:v>
                </c:pt>
                <c:pt idx="33">
                  <c:v>7.4558359909199678E-2</c:v>
                </c:pt>
                <c:pt idx="34">
                  <c:v>7.7438508694799568E-2</c:v>
                </c:pt>
                <c:pt idx="35">
                  <c:v>7.4440812593200456E-2</c:v>
                </c:pt>
                <c:pt idx="36">
                  <c:v>9.1097245919600028E-2</c:v>
                </c:pt>
                <c:pt idx="37">
                  <c:v>8.9487751451199984E-2</c:v>
                </c:pt>
                <c:pt idx="38">
                  <c:v>8.4957917665600693E-2</c:v>
                </c:pt>
                <c:pt idx="39">
                  <c:v>9.1084431128400867E-2</c:v>
                </c:pt>
                <c:pt idx="40">
                  <c:v>8.6880927349599915E-2</c:v>
                </c:pt>
                <c:pt idx="41">
                  <c:v>9.5981510593599523E-2</c:v>
                </c:pt>
                <c:pt idx="42">
                  <c:v>9.6344950853199413E-2</c:v>
                </c:pt>
                <c:pt idx="43">
                  <c:v>9.4659910130801106E-2</c:v>
                </c:pt>
                <c:pt idx="44">
                  <c:v>9.6309282562000595E-2</c:v>
                </c:pt>
                <c:pt idx="45">
                  <c:v>9.3322860536000002E-2</c:v>
                </c:pt>
                <c:pt idx="46">
                  <c:v>8.5524425590399911E-2</c:v>
                </c:pt>
                <c:pt idx="47">
                  <c:v>8.9106811153600571E-2</c:v>
                </c:pt>
                <c:pt idx="48">
                  <c:v>9.4629543709999778E-2</c:v>
                </c:pt>
                <c:pt idx="49">
                  <c:v>8.6228653267599834E-2</c:v>
                </c:pt>
                <c:pt idx="50">
                  <c:v>8.9295152178398896E-2</c:v>
                </c:pt>
                <c:pt idx="51">
                  <c:v>5.7629189150400634E-2</c:v>
                </c:pt>
                <c:pt idx="52">
                  <c:v>6.2979910903200112E-2</c:v>
                </c:pt>
                <c:pt idx="53">
                  <c:v>6.3723616580399725E-2</c:v>
                </c:pt>
                <c:pt idx="54">
                  <c:v>6.0961736580399703E-2</c:v>
                </c:pt>
                <c:pt idx="55">
                  <c:v>6.4074606403200049E-2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7-D64F-8DF4-86989074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2844912"/>
        <c:axId val="-1312841520"/>
      </c:scatterChart>
      <c:valAx>
        <c:axId val="-13128449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12841520"/>
        <c:crosses val="autoZero"/>
        <c:crossBetween val="midCat"/>
      </c:valAx>
      <c:valAx>
        <c:axId val="-131284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Formation Energy (eV/at)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128449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4</xdr:row>
      <xdr:rowOff>139700</xdr:rowOff>
    </xdr:from>
    <xdr:to>
      <xdr:col>23</xdr:col>
      <xdr:colOff>736600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177800</xdr:colOff>
      <xdr:row>4</xdr:row>
      <xdr:rowOff>152400</xdr:rowOff>
    </xdr:from>
    <xdr:to>
      <xdr:col>28</xdr:col>
      <xdr:colOff>590550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368300</xdr:colOff>
      <xdr:row>22</xdr:row>
      <xdr:rowOff>38100</xdr:rowOff>
    </xdr:from>
    <xdr:to>
      <xdr:col>23</xdr:col>
      <xdr:colOff>781050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203200</xdr:colOff>
      <xdr:row>21</xdr:row>
      <xdr:rowOff>127000</xdr:rowOff>
    </xdr:from>
    <xdr:to>
      <xdr:col>28</xdr:col>
      <xdr:colOff>615950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444500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450850</xdr:colOff>
      <xdr:row>2</xdr:row>
      <xdr:rowOff>25400</xdr:rowOff>
    </xdr:from>
    <xdr:to>
      <xdr:col>23</xdr:col>
      <xdr:colOff>69850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628650</xdr:colOff>
      <xdr:row>5</xdr:row>
      <xdr:rowOff>139700</xdr:rowOff>
    </xdr:from>
    <xdr:to>
      <xdr:col>26</xdr:col>
      <xdr:colOff>247650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444500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67"/>
  <sheetViews>
    <sheetView tabSelected="1" topLeftCell="F18" workbookViewId="0">
      <selection activeCell="J17" sqref="J17"/>
    </sheetView>
  </sheetViews>
  <sheetFormatPr baseColWidth="10" defaultRowHeight="16" x14ac:dyDescent="0.2"/>
  <sheetData>
    <row r="3" spans="2:18" x14ac:dyDescent="0.2">
      <c r="C3" t="s">
        <v>8</v>
      </c>
    </row>
    <row r="4" spans="2:18" x14ac:dyDescent="0.2">
      <c r="C4" t="s">
        <v>9</v>
      </c>
      <c r="K4" t="s">
        <v>0</v>
      </c>
    </row>
    <row r="5" spans="2:18" x14ac:dyDescent="0.2">
      <c r="C5" t="s">
        <v>1</v>
      </c>
      <c r="D5" t="s">
        <v>2</v>
      </c>
      <c r="E5" t="s">
        <v>3</v>
      </c>
      <c r="F5" t="s">
        <v>4</v>
      </c>
      <c r="G5" t="s">
        <v>11</v>
      </c>
      <c r="J5">
        <v>1000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t="s">
        <v>6</v>
      </c>
      <c r="Q5" t="s">
        <v>7</v>
      </c>
    </row>
    <row r="6" spans="2:18" x14ac:dyDescent="0.2">
      <c r="B6">
        <v>1000</v>
      </c>
      <c r="C6">
        <v>-8133.3142980000002</v>
      </c>
      <c r="D6">
        <v>43635.130314000002</v>
      </c>
      <c r="E6">
        <f>C6/2000</f>
        <v>-4.0666571490000001</v>
      </c>
      <c r="F6">
        <f>D6/2000</f>
        <v>21.817565157000001</v>
      </c>
      <c r="G6">
        <f>(F6*2)^(1/3)</f>
        <v>3.5205627735806444</v>
      </c>
      <c r="K6">
        <v>-8134.1814983000004</v>
      </c>
      <c r="L6">
        <v>43638.312139900001</v>
      </c>
      <c r="M6">
        <f t="shared" ref="M6:M37" si="0">K6/2000</f>
        <v>-4.0670907491500001</v>
      </c>
      <c r="N6">
        <f t="shared" ref="N6:N37" si="1">L6/2000</f>
        <v>21.819156069950001</v>
      </c>
      <c r="O6">
        <f t="shared" ref="O6:O37" si="2">K6-2000*(Q6*$E$30+(1-Q6)*$E$16)</f>
        <v>0</v>
      </c>
      <c r="P6">
        <f t="shared" ref="P6:P37" si="3">O6/2000</f>
        <v>0</v>
      </c>
      <c r="Q6">
        <v>0</v>
      </c>
      <c r="R6">
        <f t="shared" ref="R6:R37" si="4">P6*96.5</f>
        <v>0</v>
      </c>
    </row>
    <row r="7" spans="2:18" x14ac:dyDescent="0.2">
      <c r="C7">
        <v>-8137.1549400000004</v>
      </c>
      <c r="D7">
        <v>43641.320051000002</v>
      </c>
      <c r="E7">
        <f t="shared" ref="E7:F15" si="5">C7/2000</f>
        <v>-4.0685774700000001</v>
      </c>
      <c r="F7">
        <f t="shared" si="5"/>
        <v>21.820660025500001</v>
      </c>
      <c r="G7">
        <f>(F7*2)^(1/3)</f>
        <v>3.5207292321749093</v>
      </c>
      <c r="K7">
        <v>-8345.4320239999997</v>
      </c>
      <c r="L7">
        <v>42839.967639000002</v>
      </c>
      <c r="M7">
        <f t="shared" si="0"/>
        <v>-4.1727160119999995</v>
      </c>
      <c r="N7">
        <f t="shared" si="1"/>
        <v>21.419983819500001</v>
      </c>
      <c r="O7">
        <f t="shared" si="2"/>
        <v>17.257826912747987</v>
      </c>
      <c r="P7">
        <f t="shared" si="3"/>
        <v>8.6289134563739944E-3</v>
      </c>
      <c r="Q7">
        <f>85/2000</f>
        <v>4.2500000000000003E-2</v>
      </c>
      <c r="R7">
        <f t="shared" si="4"/>
        <v>0.83269014854009049</v>
      </c>
    </row>
    <row r="8" spans="2:18" x14ac:dyDescent="0.2">
      <c r="C8">
        <v>-8134.6456939999998</v>
      </c>
      <c r="D8">
        <v>43643.515658999997</v>
      </c>
      <c r="E8">
        <f t="shared" si="5"/>
        <v>-4.0673228469999998</v>
      </c>
      <c r="F8">
        <f t="shared" si="5"/>
        <v>21.821757829499997</v>
      </c>
      <c r="G8">
        <f>(F8*2)^(1/3)</f>
        <v>3.520788274168654</v>
      </c>
      <c r="K8">
        <v>-8369.187183</v>
      </c>
      <c r="L8">
        <v>42752.142440000003</v>
      </c>
      <c r="M8">
        <f t="shared" si="0"/>
        <v>-4.1845935914999997</v>
      </c>
      <c r="N8">
        <f t="shared" si="1"/>
        <v>21.37607122</v>
      </c>
      <c r="O8">
        <f t="shared" si="2"/>
        <v>20.386003514247932</v>
      </c>
      <c r="P8">
        <f t="shared" si="3"/>
        <v>1.0193001757123966E-2</v>
      </c>
      <c r="Q8">
        <f>95/2000</f>
        <v>4.7500000000000001E-2</v>
      </c>
      <c r="R8">
        <f t="shared" si="4"/>
        <v>0.98362466956246275</v>
      </c>
    </row>
    <row r="9" spans="2:18" x14ac:dyDescent="0.2">
      <c r="C9">
        <v>-8133.7075340000001</v>
      </c>
      <c r="D9">
        <v>43634.020200999999</v>
      </c>
      <c r="E9">
        <f t="shared" si="5"/>
        <v>-4.0668537670000005</v>
      </c>
      <c r="F9">
        <f t="shared" si="5"/>
        <v>21.817010100499999</v>
      </c>
      <c r="G9">
        <f>(F9*2)^(1/3)</f>
        <v>3.5205329180061904</v>
      </c>
      <c r="K9">
        <v>-8376.4899540000006</v>
      </c>
      <c r="L9">
        <v>42719.377296999999</v>
      </c>
      <c r="M9">
        <f t="shared" si="0"/>
        <v>-4.1882449770000001</v>
      </c>
      <c r="N9">
        <f t="shared" si="1"/>
        <v>21.359688648500001</v>
      </c>
      <c r="O9">
        <f t="shared" si="2"/>
        <v>21.148233194697241</v>
      </c>
      <c r="P9">
        <f t="shared" si="3"/>
        <v>1.057411659734862E-2</v>
      </c>
      <c r="Q9">
        <f>98/2000</f>
        <v>4.9000000000000002E-2</v>
      </c>
      <c r="R9">
        <f t="shared" si="4"/>
        <v>1.0204022516441418</v>
      </c>
    </row>
    <row r="10" spans="2:18" x14ac:dyDescent="0.2">
      <c r="C10">
        <v>-8136.5440429999999</v>
      </c>
      <c r="D10">
        <v>43641.597283000003</v>
      </c>
      <c r="E10">
        <f t="shared" si="5"/>
        <v>-4.0682720215000003</v>
      </c>
      <c r="F10">
        <f t="shared" si="5"/>
        <v>21.820798641500001</v>
      </c>
      <c r="G10">
        <f>(F10*2)^(1/3)</f>
        <v>3.5207366873171044</v>
      </c>
      <c r="K10">
        <v>-8379.9391500000002</v>
      </c>
      <c r="L10">
        <v>42699.707296</v>
      </c>
      <c r="M10">
        <f t="shared" si="0"/>
        <v>-4.1899695750000001</v>
      </c>
      <c r="N10">
        <f t="shared" si="1"/>
        <v>21.349853648</v>
      </c>
      <c r="O10">
        <f t="shared" si="2"/>
        <v>23.075704314998802</v>
      </c>
      <c r="P10">
        <f t="shared" si="3"/>
        <v>1.1537852157499402E-2</v>
      </c>
      <c r="Q10">
        <f>100/2000</f>
        <v>0.05</v>
      </c>
      <c r="R10">
        <f t="shared" si="4"/>
        <v>1.1134027331986922</v>
      </c>
    </row>
    <row r="11" spans="2:18" x14ac:dyDescent="0.2">
      <c r="C11">
        <v>-8130.9994980000001</v>
      </c>
      <c r="D11">
        <v>43631.022633</v>
      </c>
      <c r="E11">
        <f t="shared" si="5"/>
        <v>-4.0654997489999998</v>
      </c>
      <c r="F11">
        <f t="shared" si="5"/>
        <v>21.8155113165</v>
      </c>
      <c r="G11">
        <f t="shared" ref="G11:G15" si="6">(F11*2)^(1/3)</f>
        <v>3.5204522983548587</v>
      </c>
      <c r="J11">
        <v>0.05</v>
      </c>
      <c r="K11">
        <v>-8400.6927699999997</v>
      </c>
      <c r="L11">
        <v>42646.405038999997</v>
      </c>
      <c r="M11">
        <f t="shared" si="0"/>
        <v>-4.2003463849999996</v>
      </c>
      <c r="N11">
        <f t="shared" si="1"/>
        <v>21.323202519499997</v>
      </c>
      <c r="O11">
        <f t="shared" si="2"/>
        <v>21.140419236049638</v>
      </c>
      <c r="P11">
        <f t="shared" si="3"/>
        <v>1.0570209618024819E-2</v>
      </c>
      <c r="Q11">
        <f>107/2000</f>
        <v>5.3499999999999999E-2</v>
      </c>
      <c r="R11">
        <f t="shared" si="4"/>
        <v>1.0200252281393951</v>
      </c>
    </row>
    <row r="12" spans="2:18" x14ac:dyDescent="0.2">
      <c r="C12">
        <v>-8133.3288190000003</v>
      </c>
      <c r="D12">
        <v>43635.881696999997</v>
      </c>
      <c r="E12">
        <f t="shared" si="5"/>
        <v>-4.0666644095000004</v>
      </c>
      <c r="F12">
        <f t="shared" si="5"/>
        <v>21.817940848499997</v>
      </c>
      <c r="G12">
        <f t="shared" si="6"/>
        <v>3.5205829811199663</v>
      </c>
      <c r="K12">
        <v>-8580.3623740000003</v>
      </c>
      <c r="L12">
        <v>42028.848854000003</v>
      </c>
      <c r="M12">
        <f t="shared" si="0"/>
        <v>-4.290181187</v>
      </c>
      <c r="N12">
        <f t="shared" si="1"/>
        <v>21.014424427000002</v>
      </c>
      <c r="O12">
        <f t="shared" si="2"/>
        <v>35.030831566848065</v>
      </c>
      <c r="P12">
        <f t="shared" si="3"/>
        <v>1.7515415783424033E-2</v>
      </c>
      <c r="Q12">
        <f>179/2000</f>
        <v>8.9499999999999996E-2</v>
      </c>
      <c r="R12">
        <f t="shared" si="4"/>
        <v>1.6902376231004193</v>
      </c>
    </row>
    <row r="13" spans="2:18" x14ac:dyDescent="0.2">
      <c r="C13">
        <v>-8135.2606310000001</v>
      </c>
      <c r="D13">
        <v>43637.625194</v>
      </c>
      <c r="E13">
        <f t="shared" si="5"/>
        <v>-4.0676303154999998</v>
      </c>
      <c r="F13">
        <f t="shared" si="5"/>
        <v>21.818812597000001</v>
      </c>
      <c r="G13">
        <f t="shared" si="6"/>
        <v>3.520629869474825</v>
      </c>
      <c r="J13">
        <v>0.1</v>
      </c>
      <c r="K13">
        <v>-8599.2251789999991</v>
      </c>
      <c r="L13">
        <v>41959.354910000002</v>
      </c>
      <c r="M13">
        <f t="shared" si="0"/>
        <v>-4.2996125894999997</v>
      </c>
      <c r="N13">
        <f t="shared" si="1"/>
        <v>20.979677455000001</v>
      </c>
      <c r="O13">
        <f t="shared" si="2"/>
        <v>37.674695048048306</v>
      </c>
      <c r="P13">
        <f t="shared" si="3"/>
        <v>1.8837347524024155E-2</v>
      </c>
      <c r="Q13">
        <f>187/2000</f>
        <v>9.35E-2</v>
      </c>
      <c r="R13">
        <f t="shared" si="4"/>
        <v>1.817804036068331</v>
      </c>
    </row>
    <row r="14" spans="2:18" x14ac:dyDescent="0.2">
      <c r="C14">
        <v>-8132.3964480000004</v>
      </c>
      <c r="D14">
        <v>43645.571669999998</v>
      </c>
      <c r="E14">
        <f t="shared" si="5"/>
        <v>-4.0661982239999999</v>
      </c>
      <c r="F14">
        <f t="shared" si="5"/>
        <v>21.822785834999998</v>
      </c>
      <c r="G14">
        <f t="shared" si="6"/>
        <v>3.5208435604705857</v>
      </c>
      <c r="K14">
        <v>-8610.8950829999994</v>
      </c>
      <c r="L14">
        <v>41929.559642</v>
      </c>
      <c r="M14">
        <f t="shared" si="0"/>
        <v>-4.3054475414999995</v>
      </c>
      <c r="N14">
        <f t="shared" si="1"/>
        <v>20.964779821</v>
      </c>
      <c r="O14">
        <f t="shared" si="2"/>
        <v>36.758125288648444</v>
      </c>
      <c r="P14">
        <f t="shared" si="3"/>
        <v>1.8379062644324221E-2</v>
      </c>
      <c r="Q14">
        <f>191/2000</f>
        <v>9.5500000000000002E-2</v>
      </c>
      <c r="R14">
        <f t="shared" si="4"/>
        <v>1.7735795451772873</v>
      </c>
    </row>
    <row r="15" spans="2:18" x14ac:dyDescent="0.2">
      <c r="C15">
        <v>-8134.4630779999998</v>
      </c>
      <c r="D15">
        <v>43637.436696999997</v>
      </c>
      <c r="E15">
        <f t="shared" si="5"/>
        <v>-4.0672315389999998</v>
      </c>
      <c r="F15">
        <f t="shared" si="5"/>
        <v>21.818718348499999</v>
      </c>
      <c r="G15">
        <f t="shared" si="6"/>
        <v>3.5206248002322389</v>
      </c>
      <c r="K15">
        <v>-8619.7090360000002</v>
      </c>
      <c r="L15">
        <v>41896.887028999998</v>
      </c>
      <c r="M15">
        <f t="shared" si="0"/>
        <v>-4.3098545179999999</v>
      </c>
      <c r="N15">
        <f t="shared" si="1"/>
        <v>20.948443514499999</v>
      </c>
      <c r="O15">
        <f t="shared" si="2"/>
        <v>36.009172969097563</v>
      </c>
      <c r="P15">
        <f t="shared" si="3"/>
        <v>1.8004586484548783E-2</v>
      </c>
      <c r="Q15">
        <f>194/2000</f>
        <v>9.7000000000000003E-2</v>
      </c>
      <c r="R15">
        <f t="shared" si="4"/>
        <v>1.7374425957589574</v>
      </c>
    </row>
    <row r="16" spans="2:18" x14ac:dyDescent="0.2">
      <c r="C16">
        <f>AVERAGE(C6:C15)</f>
        <v>-8134.1814983000004</v>
      </c>
      <c r="D16">
        <f t="shared" ref="D16:G16" si="7">AVERAGE(D6:D15)</f>
        <v>43638.312139900001</v>
      </c>
      <c r="E16">
        <f t="shared" si="7"/>
        <v>-4.0670907491499992</v>
      </c>
      <c r="F16">
        <f t="shared" si="7"/>
        <v>21.819156069950001</v>
      </c>
      <c r="G16">
        <f t="shared" si="7"/>
        <v>3.5206483394899974</v>
      </c>
      <c r="K16">
        <v>-8619.7499420000004</v>
      </c>
      <c r="L16">
        <v>41907.307892999997</v>
      </c>
      <c r="M16">
        <f t="shared" si="0"/>
        <v>-4.3098749710000002</v>
      </c>
      <c r="N16">
        <f t="shared" si="1"/>
        <v>20.953653946499998</v>
      </c>
      <c r="O16">
        <f t="shared" si="2"/>
        <v>38.656600529249772</v>
      </c>
      <c r="P16">
        <f t="shared" si="3"/>
        <v>1.9328300264624888E-2</v>
      </c>
      <c r="Q16">
        <f>195/2000</f>
        <v>9.7500000000000003E-2</v>
      </c>
      <c r="R16">
        <f t="shared" si="4"/>
        <v>1.8651809755363016</v>
      </c>
    </row>
    <row r="17" spans="2:18" x14ac:dyDescent="0.2">
      <c r="C17">
        <f>STDEV(C6:C15)/SQRT(COUNT(C6:C15))</f>
        <v>0.58592316667070277</v>
      </c>
      <c r="D17">
        <f>STDEV(D6:D15)/SQRT(COUNT(D6:D15))</f>
        <v>1.4470049401937539</v>
      </c>
      <c r="J17">
        <v>0.15</v>
      </c>
      <c r="K17">
        <v>-8840.4636790000004</v>
      </c>
      <c r="L17">
        <v>41237.052231000001</v>
      </c>
      <c r="M17">
        <f t="shared" si="0"/>
        <v>-4.4202318395000004</v>
      </c>
      <c r="N17">
        <f t="shared" si="1"/>
        <v>20.6185261155</v>
      </c>
      <c r="O17">
        <f t="shared" si="2"/>
        <v>49.139549702147633</v>
      </c>
      <c r="P17">
        <f t="shared" si="3"/>
        <v>2.4569774851073818E-2</v>
      </c>
      <c r="Q17">
        <f>281/2000</f>
        <v>0.14050000000000001</v>
      </c>
      <c r="R17">
        <f t="shared" si="4"/>
        <v>2.3709832731286236</v>
      </c>
    </row>
    <row r="18" spans="2:18" x14ac:dyDescent="0.2">
      <c r="B18" t="s">
        <v>10</v>
      </c>
      <c r="K18">
        <v>-8872.1267370000005</v>
      </c>
      <c r="L18">
        <v>41127.415507999998</v>
      </c>
      <c r="M18">
        <f t="shared" si="0"/>
        <v>-4.4360633685000002</v>
      </c>
      <c r="N18">
        <f t="shared" si="1"/>
        <v>20.563707753999999</v>
      </c>
      <c r="O18">
        <f t="shared" si="2"/>
        <v>49.736494423948898</v>
      </c>
      <c r="P18">
        <f t="shared" si="3"/>
        <v>2.4868247211974448E-2</v>
      </c>
      <c r="Q18">
        <f>293/2000</f>
        <v>0.14649999999999999</v>
      </c>
      <c r="R18">
        <f t="shared" si="4"/>
        <v>2.3997858559555341</v>
      </c>
    </row>
    <row r="19" spans="2:18" x14ac:dyDescent="0.2">
      <c r="C19" t="s">
        <v>1</v>
      </c>
      <c r="D19" t="s">
        <v>2</v>
      </c>
      <c r="E19" t="s">
        <v>3</v>
      </c>
      <c r="F19" t="s">
        <v>4</v>
      </c>
      <c r="G19" t="s">
        <v>11</v>
      </c>
      <c r="K19">
        <v>-8880.4583170000005</v>
      </c>
      <c r="L19">
        <v>41109.492187999997</v>
      </c>
      <c r="M19">
        <f t="shared" si="0"/>
        <v>-4.4402291585000002</v>
      </c>
      <c r="N19">
        <f t="shared" si="1"/>
        <v>20.554746093999999</v>
      </c>
      <c r="O19">
        <f t="shared" si="2"/>
        <v>52.158248664549319</v>
      </c>
      <c r="P19">
        <f t="shared" si="3"/>
        <v>2.6079124332274658E-2</v>
      </c>
      <c r="Q19">
        <f>297/2000</f>
        <v>0.14849999999999999</v>
      </c>
      <c r="R19">
        <f t="shared" si="4"/>
        <v>2.5166354980645043</v>
      </c>
    </row>
    <row r="20" spans="2:18" x14ac:dyDescent="0.2">
      <c r="B20">
        <v>1000</v>
      </c>
      <c r="C20">
        <v>-13510.818913999999</v>
      </c>
      <c r="D20">
        <v>31931.138754</v>
      </c>
      <c r="E20">
        <f>C20/2000</f>
        <v>-6.7554094569999998</v>
      </c>
      <c r="F20">
        <f>D20/2000</f>
        <v>15.965569377</v>
      </c>
      <c r="G20">
        <f>(F20*2)^(1/3)</f>
        <v>3.1725231681638699</v>
      </c>
      <c r="K20">
        <v>-8884.3915039999993</v>
      </c>
      <c r="L20">
        <v>41099.637601000002</v>
      </c>
      <c r="M20">
        <f t="shared" si="0"/>
        <v>-4.4421957519999999</v>
      </c>
      <c r="N20">
        <f t="shared" si="1"/>
        <v>20.549818800500002</v>
      </c>
      <c r="O20">
        <f t="shared" si="2"/>
        <v>53.601728784848092</v>
      </c>
      <c r="P20">
        <f t="shared" si="3"/>
        <v>2.6800864392424045E-2</v>
      </c>
      <c r="Q20">
        <f>299/2000</f>
        <v>0.14949999999999999</v>
      </c>
      <c r="R20">
        <f t="shared" si="4"/>
        <v>2.5862834138689204</v>
      </c>
    </row>
    <row r="21" spans="2:18" x14ac:dyDescent="0.2">
      <c r="C21">
        <v>-13511.488853000001</v>
      </c>
      <c r="D21">
        <v>31929.432395</v>
      </c>
      <c r="E21">
        <f t="shared" ref="E21:F29" si="8">C21/2000</f>
        <v>-6.7557444265000006</v>
      </c>
      <c r="F21">
        <f t="shared" si="8"/>
        <v>15.9647161975</v>
      </c>
      <c r="G21">
        <f>(F21*2)^(1/3)</f>
        <v>3.1724666553041727</v>
      </c>
      <c r="K21">
        <v>-8892.4421029999994</v>
      </c>
      <c r="L21">
        <v>41085.729286000002</v>
      </c>
      <c r="M21">
        <f t="shared" si="0"/>
        <v>-4.4462210514999994</v>
      </c>
      <c r="N21">
        <f t="shared" si="1"/>
        <v>20.542864643000001</v>
      </c>
      <c r="O21">
        <f t="shared" si="2"/>
        <v>50.92779690514908</v>
      </c>
      <c r="P21">
        <f t="shared" si="3"/>
        <v>2.5463898452574539E-2</v>
      </c>
      <c r="Q21">
        <f>301/2000</f>
        <v>0.15049999999999999</v>
      </c>
      <c r="R21">
        <f t="shared" si="4"/>
        <v>2.4572662006734429</v>
      </c>
    </row>
    <row r="22" spans="2:18" x14ac:dyDescent="0.2">
      <c r="C22">
        <v>-13510.801312</v>
      </c>
      <c r="D22">
        <v>31931.229630999998</v>
      </c>
      <c r="E22">
        <f t="shared" si="8"/>
        <v>-6.7554006559999999</v>
      </c>
      <c r="F22">
        <f t="shared" si="8"/>
        <v>15.965614815499999</v>
      </c>
      <c r="G22">
        <f>(F22*2)^(1/3)</f>
        <v>3.1725261778604201</v>
      </c>
      <c r="K22">
        <v>-9212.5270120000005</v>
      </c>
      <c r="L22">
        <v>40204.582240000003</v>
      </c>
      <c r="M22">
        <f t="shared" si="0"/>
        <v>-4.6062635060000003</v>
      </c>
      <c r="N22">
        <f t="shared" si="1"/>
        <v>20.10229112</v>
      </c>
      <c r="O22">
        <f t="shared" si="2"/>
        <v>66.884582923898051</v>
      </c>
      <c r="P22">
        <f t="shared" si="3"/>
        <v>3.3442291461949027E-2</v>
      </c>
      <c r="Q22">
        <f>426/2000</f>
        <v>0.21299999999999999</v>
      </c>
      <c r="R22">
        <f t="shared" si="4"/>
        <v>3.2271811260780812</v>
      </c>
    </row>
    <row r="23" spans="2:18" x14ac:dyDescent="0.2">
      <c r="C23">
        <v>-13510.982823</v>
      </c>
      <c r="D23">
        <v>31930.219955</v>
      </c>
      <c r="E23">
        <f t="shared" si="8"/>
        <v>-6.7554914115000004</v>
      </c>
      <c r="F23">
        <f t="shared" si="8"/>
        <v>15.965109977500001</v>
      </c>
      <c r="G23">
        <f>(F23*2)^(1/3)</f>
        <v>3.1724927387336774</v>
      </c>
      <c r="K23">
        <v>-9223.60131</v>
      </c>
      <c r="L23">
        <v>40197.120758999998</v>
      </c>
      <c r="M23">
        <f t="shared" si="0"/>
        <v>-4.6118006549999997</v>
      </c>
      <c r="N23">
        <f t="shared" si="1"/>
        <v>20.0985603795</v>
      </c>
      <c r="O23">
        <f t="shared" si="2"/>
        <v>71.940286284800095</v>
      </c>
      <c r="P23">
        <f t="shared" si="3"/>
        <v>3.5970143142400046E-2</v>
      </c>
      <c r="Q23">
        <f>432/2000</f>
        <v>0.216</v>
      </c>
      <c r="R23">
        <f t="shared" si="4"/>
        <v>3.4711188132416044</v>
      </c>
    </row>
    <row r="24" spans="2:18" x14ac:dyDescent="0.2">
      <c r="C24">
        <v>-13510.687522</v>
      </c>
      <c r="D24">
        <v>31931.151085000001</v>
      </c>
      <c r="E24">
        <f t="shared" si="8"/>
        <v>-6.7553437609999998</v>
      </c>
      <c r="F24">
        <f t="shared" si="8"/>
        <v>15.9655755425</v>
      </c>
      <c r="G24">
        <f>(F24*2)^(1/3)</f>
        <v>3.1725235765466135</v>
      </c>
      <c r="K24">
        <v>-9246.7933869999997</v>
      </c>
      <c r="L24">
        <v>40114.610837</v>
      </c>
      <c r="M24">
        <f t="shared" si="0"/>
        <v>-4.6233966935000002</v>
      </c>
      <c r="N24">
        <f t="shared" si="1"/>
        <v>20.0573054185</v>
      </c>
      <c r="O24">
        <f t="shared" si="2"/>
        <v>72.94321132614823</v>
      </c>
      <c r="P24">
        <f t="shared" si="3"/>
        <v>3.6471605663074114E-2</v>
      </c>
      <c r="Q24">
        <f>441/2000</f>
        <v>0.2205</v>
      </c>
      <c r="R24">
        <f t="shared" si="4"/>
        <v>3.5195099464866519</v>
      </c>
    </row>
    <row r="25" spans="2:18" x14ac:dyDescent="0.2">
      <c r="C25">
        <v>-13510.560242</v>
      </c>
      <c r="D25">
        <v>31931.627797000001</v>
      </c>
      <c r="E25">
        <f t="shared" si="8"/>
        <v>-6.7552801210000002</v>
      </c>
      <c r="F25">
        <f t="shared" si="8"/>
        <v>15.9658138985</v>
      </c>
      <c r="G25">
        <f t="shared" ref="G25:G29" si="9">(F25*2)^(1/3)</f>
        <v>3.1725393643951731</v>
      </c>
      <c r="J25">
        <v>0.23</v>
      </c>
      <c r="K25">
        <v>-9253.8006619999996</v>
      </c>
      <c r="L25">
        <v>40087.870067999997</v>
      </c>
      <c r="M25">
        <f t="shared" si="0"/>
        <v>-4.6269003309999999</v>
      </c>
      <c r="N25">
        <f t="shared" si="1"/>
        <v>20.043935033999997</v>
      </c>
      <c r="O25">
        <f t="shared" si="2"/>
        <v>68.624269886300681</v>
      </c>
      <c r="P25">
        <f t="shared" si="3"/>
        <v>3.4312134943150344E-2</v>
      </c>
      <c r="Q25">
        <f>442/2000</f>
        <v>0.221</v>
      </c>
      <c r="R25">
        <f t="shared" si="4"/>
        <v>3.3111210220140084</v>
      </c>
    </row>
    <row r="26" spans="2:18" x14ac:dyDescent="0.2">
      <c r="C26">
        <v>-13510.403173000001</v>
      </c>
      <c r="D26">
        <v>31932.054469999999</v>
      </c>
      <c r="E26">
        <f t="shared" si="8"/>
        <v>-6.7552015865000001</v>
      </c>
      <c r="F26">
        <f t="shared" si="8"/>
        <v>15.966027235</v>
      </c>
      <c r="G26">
        <f t="shared" si="9"/>
        <v>3.1725534949083198</v>
      </c>
      <c r="K26">
        <v>-9258.9558570000008</v>
      </c>
      <c r="L26">
        <v>40087.891789000001</v>
      </c>
      <c r="M26">
        <f t="shared" si="0"/>
        <v>-4.6294779285000001</v>
      </c>
      <c r="N26">
        <f t="shared" si="1"/>
        <v>20.043945894500002</v>
      </c>
      <c r="O26">
        <f t="shared" si="2"/>
        <v>71.534075566747561</v>
      </c>
      <c r="P26">
        <f t="shared" si="3"/>
        <v>3.5767037783373777E-2</v>
      </c>
      <c r="Q26">
        <f>445/2000</f>
        <v>0.2225</v>
      </c>
      <c r="R26">
        <f t="shared" si="4"/>
        <v>3.4515191460955696</v>
      </c>
    </row>
    <row r="27" spans="2:18" x14ac:dyDescent="0.2">
      <c r="C27">
        <v>-13510.609227000001</v>
      </c>
      <c r="D27">
        <v>31930.961981</v>
      </c>
      <c r="E27">
        <f t="shared" si="8"/>
        <v>-6.7553046135000008</v>
      </c>
      <c r="F27">
        <f t="shared" si="8"/>
        <v>15.9654809905</v>
      </c>
      <c r="G27">
        <f t="shared" si="9"/>
        <v>3.1725173137169276</v>
      </c>
      <c r="K27">
        <v>-9260.1821419999997</v>
      </c>
      <c r="L27">
        <v>40086.881306000003</v>
      </c>
      <c r="M27">
        <f t="shared" si="0"/>
        <v>-4.6300910709999998</v>
      </c>
      <c r="N27">
        <f t="shared" si="1"/>
        <v>20.043440653000001</v>
      </c>
      <c r="O27">
        <f t="shared" si="2"/>
        <v>75.684457687048052</v>
      </c>
      <c r="P27">
        <f t="shared" si="3"/>
        <v>3.7842228843524027E-2</v>
      </c>
      <c r="Q27">
        <f>447/2000</f>
        <v>0.2235</v>
      </c>
      <c r="R27">
        <f t="shared" si="4"/>
        <v>3.6517750834000684</v>
      </c>
    </row>
    <row r="28" spans="2:18" x14ac:dyDescent="0.2">
      <c r="C28">
        <v>-13511.222025999999</v>
      </c>
      <c r="D28">
        <v>31930.244395000002</v>
      </c>
      <c r="E28">
        <f t="shared" si="8"/>
        <v>-6.7556110129999993</v>
      </c>
      <c r="F28">
        <f t="shared" si="8"/>
        <v>15.965122197500001</v>
      </c>
      <c r="G28">
        <f t="shared" si="9"/>
        <v>3.1724935481623087</v>
      </c>
      <c r="K28">
        <v>-9265.0032470000006</v>
      </c>
      <c r="L28">
        <v>40100.256604000002</v>
      </c>
      <c r="M28">
        <f t="shared" si="0"/>
        <v>-4.6325016235000005</v>
      </c>
      <c r="N28">
        <f t="shared" si="1"/>
        <v>20.050128302000001</v>
      </c>
      <c r="O28">
        <f t="shared" si="2"/>
        <v>73.551686247197722</v>
      </c>
      <c r="P28">
        <f t="shared" si="3"/>
        <v>3.6775843123598863E-2</v>
      </c>
      <c r="Q28">
        <f>448/2000</f>
        <v>0.224</v>
      </c>
      <c r="R28">
        <f t="shared" si="4"/>
        <v>3.5488688614272901</v>
      </c>
    </row>
    <row r="29" spans="2:18" x14ac:dyDescent="0.2">
      <c r="C29">
        <v>-13510.912093999999</v>
      </c>
      <c r="D29">
        <v>31930.665961999999</v>
      </c>
      <c r="E29">
        <f t="shared" si="8"/>
        <v>-6.755456047</v>
      </c>
      <c r="F29">
        <f t="shared" si="8"/>
        <v>15.965332981</v>
      </c>
      <c r="G29">
        <f t="shared" si="9"/>
        <v>3.1725075099794626</v>
      </c>
      <c r="K29">
        <v>-9283.2717680000005</v>
      </c>
      <c r="L29">
        <v>40034.708537999999</v>
      </c>
      <c r="M29">
        <f t="shared" si="0"/>
        <v>-4.6416358840000003</v>
      </c>
      <c r="N29">
        <f t="shared" si="1"/>
        <v>20.017354268999998</v>
      </c>
      <c r="O29">
        <f t="shared" si="2"/>
        <v>74.101500168246275</v>
      </c>
      <c r="P29">
        <f t="shared" si="3"/>
        <v>3.7050750084123139E-2</v>
      </c>
      <c r="Q29">
        <f>455/2000</f>
        <v>0.22750000000000001</v>
      </c>
      <c r="R29">
        <f t="shared" si="4"/>
        <v>3.5753973831178829</v>
      </c>
    </row>
    <row r="30" spans="2:18" x14ac:dyDescent="0.2">
      <c r="C30">
        <f>AVERAGE(C20:C29)</f>
        <v>-13510.848618600003</v>
      </c>
      <c r="D30">
        <f>AVERAGE(D20:D29)</f>
        <v>31930.872642499999</v>
      </c>
      <c r="E30">
        <f t="shared" ref="E30:F30" si="10">AVERAGE(E20:E29)</f>
        <v>-6.7554243092999995</v>
      </c>
      <c r="F30">
        <f t="shared" si="10"/>
        <v>15.965436321249999</v>
      </c>
      <c r="G30">
        <f>AVERAGE(G20:G29)</f>
        <v>3.1725143547770949</v>
      </c>
      <c r="K30">
        <v>-9296.5300549999993</v>
      </c>
      <c r="L30">
        <v>39998.752692000002</v>
      </c>
      <c r="M30">
        <f t="shared" si="0"/>
        <v>-4.6482650274999999</v>
      </c>
      <c r="N30">
        <f t="shared" si="1"/>
        <v>19.999376346000002</v>
      </c>
      <c r="O30">
        <f t="shared" si="2"/>
        <v>79.661548089297867</v>
      </c>
      <c r="P30">
        <f t="shared" si="3"/>
        <v>3.9830774044648937E-2</v>
      </c>
      <c r="Q30">
        <f>462/2000</f>
        <v>0.23100000000000001</v>
      </c>
      <c r="R30">
        <f t="shared" si="4"/>
        <v>3.8436696953086225</v>
      </c>
    </row>
    <row r="31" spans="2:18" x14ac:dyDescent="0.2">
      <c r="C31">
        <f>STDEV(C20:C24)/SQRT(COUNT(C20:C24))</f>
        <v>0.14132464608265952</v>
      </c>
      <c r="D31">
        <f>STDEV(D20:D24)/SQRT(COUNT(D20:D24))</f>
        <v>0.35300261765821528</v>
      </c>
      <c r="K31">
        <v>-9365.7953070000003</v>
      </c>
      <c r="L31">
        <v>39829.181140000001</v>
      </c>
      <c r="M31">
        <f t="shared" si="0"/>
        <v>-4.6828976535000004</v>
      </c>
      <c r="N31">
        <f t="shared" si="1"/>
        <v>19.914590570000001</v>
      </c>
      <c r="O31">
        <f t="shared" si="2"/>
        <v>74.916301532899524</v>
      </c>
      <c r="P31">
        <f t="shared" si="3"/>
        <v>3.745815076644976E-2</v>
      </c>
      <c r="Q31">
        <f>486/2000</f>
        <v>0.24299999999999999</v>
      </c>
      <c r="R31">
        <f t="shared" si="4"/>
        <v>3.614711548962402</v>
      </c>
    </row>
    <row r="32" spans="2:18" x14ac:dyDescent="0.2">
      <c r="J32">
        <v>0.3</v>
      </c>
      <c r="K32">
        <v>-9539.0801240000001</v>
      </c>
      <c r="L32">
        <v>39388.449165999999</v>
      </c>
      <c r="M32">
        <f t="shared" si="0"/>
        <v>-4.7695400619999999</v>
      </c>
      <c r="N32">
        <f t="shared" si="1"/>
        <v>19.694224583</v>
      </c>
      <c r="O32">
        <f t="shared" si="2"/>
        <v>87.126500183248936</v>
      </c>
      <c r="P32">
        <f t="shared" si="3"/>
        <v>4.356325009162447E-2</v>
      </c>
      <c r="Q32">
        <f>555/2000</f>
        <v>0.27750000000000002</v>
      </c>
      <c r="R32">
        <f t="shared" si="4"/>
        <v>4.2038536338417609</v>
      </c>
    </row>
    <row r="33" spans="6:18" x14ac:dyDescent="0.2">
      <c r="K33">
        <v>-9551.9298149999995</v>
      </c>
      <c r="L33">
        <v>39389.459866999998</v>
      </c>
      <c r="M33">
        <f t="shared" si="0"/>
        <v>-4.7759649074999997</v>
      </c>
      <c r="N33">
        <f t="shared" si="1"/>
        <v>19.6947299335</v>
      </c>
      <c r="O33">
        <f t="shared" si="2"/>
        <v>93.095144104299834</v>
      </c>
      <c r="P33">
        <f t="shared" si="3"/>
        <v>4.6547572052149919E-2</v>
      </c>
      <c r="Q33">
        <f>562/2000</f>
        <v>0.28100000000000003</v>
      </c>
      <c r="R33">
        <f t="shared" si="4"/>
        <v>4.4918407030324667</v>
      </c>
    </row>
    <row r="34" spans="6:18" x14ac:dyDescent="0.2">
      <c r="G34">
        <v>20.043935033999997</v>
      </c>
      <c r="K34">
        <v>-9581.5325969999994</v>
      </c>
      <c r="L34">
        <v>39316.306591</v>
      </c>
      <c r="M34">
        <f t="shared" si="0"/>
        <v>-4.7907662984999995</v>
      </c>
      <c r="N34">
        <f t="shared" si="1"/>
        <v>19.6581532955</v>
      </c>
      <c r="O34">
        <f t="shared" si="2"/>
        <v>90.375697705798302</v>
      </c>
      <c r="P34">
        <f t="shared" si="3"/>
        <v>4.518784885289915E-2</v>
      </c>
      <c r="Q34">
        <f>572/2000</f>
        <v>0.28599999999999998</v>
      </c>
      <c r="R34">
        <f t="shared" si="4"/>
        <v>4.3606274143047683</v>
      </c>
    </row>
    <row r="35" spans="6:18" x14ac:dyDescent="0.2">
      <c r="G35">
        <v>20.043945894500002</v>
      </c>
      <c r="K35">
        <v>-9639.4582829999999</v>
      </c>
      <c r="L35">
        <v>39175.942846999998</v>
      </c>
      <c r="M35">
        <f t="shared" si="0"/>
        <v>-4.8197291414999999</v>
      </c>
      <c r="N35">
        <f t="shared" si="1"/>
        <v>19.587971423500001</v>
      </c>
      <c r="O35">
        <f t="shared" si="2"/>
        <v>94.281683589248132</v>
      </c>
      <c r="P35">
        <f t="shared" si="3"/>
        <v>4.7140841794624064E-2</v>
      </c>
      <c r="Q35">
        <f>595/2000</f>
        <v>0.29749999999999999</v>
      </c>
      <c r="R35">
        <f t="shared" si="4"/>
        <v>4.5490912331812225</v>
      </c>
    </row>
    <row r="36" spans="6:18" x14ac:dyDescent="0.2">
      <c r="G36">
        <v>20.043440653000001</v>
      </c>
      <c r="K36">
        <v>-9640.1625629999999</v>
      </c>
      <c r="L36">
        <v>39174.878933</v>
      </c>
      <c r="M36">
        <f t="shared" si="0"/>
        <v>-4.8200812815000003</v>
      </c>
      <c r="N36">
        <f t="shared" si="1"/>
        <v>19.587439466500001</v>
      </c>
      <c r="O36">
        <f t="shared" si="2"/>
        <v>93.577403589248206</v>
      </c>
      <c r="P36">
        <f t="shared" si="3"/>
        <v>4.6788701794624105E-2</v>
      </c>
      <c r="Q36">
        <f>595/2000</f>
        <v>0.29749999999999999</v>
      </c>
      <c r="R36">
        <f t="shared" si="4"/>
        <v>4.5151097231812258</v>
      </c>
    </row>
    <row r="37" spans="6:18" x14ac:dyDescent="0.2">
      <c r="G37">
        <v>20.050128302000001</v>
      </c>
      <c r="K37">
        <v>-10049.244966</v>
      </c>
      <c r="L37">
        <v>38273.502558</v>
      </c>
      <c r="M37">
        <f t="shared" si="0"/>
        <v>-5.0246224829999999</v>
      </c>
      <c r="N37">
        <f t="shared" si="1"/>
        <v>19.136751278999999</v>
      </c>
      <c r="O37">
        <f t="shared" si="2"/>
        <v>117.31670377339833</v>
      </c>
      <c r="P37">
        <f t="shared" si="3"/>
        <v>5.8658351886699163E-2</v>
      </c>
      <c r="Q37">
        <f>756/2000</f>
        <v>0.378</v>
      </c>
      <c r="R37">
        <f t="shared" si="4"/>
        <v>5.6605309570664692</v>
      </c>
    </row>
    <row r="38" spans="6:18" x14ac:dyDescent="0.2">
      <c r="G38">
        <v>20.017354268999998</v>
      </c>
      <c r="J38">
        <v>0.4</v>
      </c>
      <c r="K38">
        <v>-10104.911746</v>
      </c>
      <c r="L38">
        <v>38157.511437000001</v>
      </c>
      <c r="M38">
        <f t="shared" ref="M38:M67" si="11">K38/2000</f>
        <v>-5.0524558729999995</v>
      </c>
      <c r="N38">
        <f t="shared" ref="N38:N67" si="12">L38/2000</f>
        <v>19.078755718500002</v>
      </c>
      <c r="O38">
        <f t="shared" ref="O38:O67" si="13">K38-2000*(Q38*$E$30+(1-Q38)*$E$16)</f>
        <v>118.10492853654978</v>
      </c>
      <c r="P38">
        <f t="shared" ref="P38:P67" si="14">O38/2000</f>
        <v>5.9052464268274887E-2</v>
      </c>
      <c r="Q38">
        <f>777/2000</f>
        <v>0.38850000000000001</v>
      </c>
      <c r="R38">
        <f t="shared" ref="R38:R67" si="15">P38*96.5</f>
        <v>5.698562801888527</v>
      </c>
    </row>
    <row r="39" spans="6:18" x14ac:dyDescent="0.2">
      <c r="G39">
        <v>19.999376346000002</v>
      </c>
      <c r="K39">
        <v>-10110.949318000001</v>
      </c>
      <c r="L39">
        <v>38137.133991000002</v>
      </c>
      <c r="M39">
        <f t="shared" si="11"/>
        <v>-5.0554746590000006</v>
      </c>
      <c r="N39">
        <f t="shared" si="12"/>
        <v>19.068566995499999</v>
      </c>
      <c r="O39">
        <f t="shared" si="13"/>
        <v>122.82069077714914</v>
      </c>
      <c r="P39">
        <f t="shared" si="14"/>
        <v>6.1410345388574566E-2</v>
      </c>
      <c r="Q39">
        <f>781/2000</f>
        <v>0.39050000000000001</v>
      </c>
      <c r="R39">
        <f t="shared" si="15"/>
        <v>5.9260983299974459</v>
      </c>
    </row>
    <row r="40" spans="6:18" x14ac:dyDescent="0.2">
      <c r="G40">
        <v>19.914590570000001</v>
      </c>
      <c r="K40">
        <v>-10127.811742</v>
      </c>
      <c r="L40">
        <v>38104.932888000003</v>
      </c>
      <c r="M40">
        <f t="shared" si="11"/>
        <v>-5.0639058710000002</v>
      </c>
      <c r="N40">
        <f t="shared" si="12"/>
        <v>19.052466444</v>
      </c>
      <c r="O40">
        <f t="shared" si="13"/>
        <v>124.77660169820047</v>
      </c>
      <c r="P40">
        <f t="shared" si="14"/>
        <v>6.2388300849100235E-2</v>
      </c>
      <c r="Q40">
        <f>788/2000</f>
        <v>0.39400000000000002</v>
      </c>
      <c r="R40">
        <f t="shared" si="15"/>
        <v>6.0204710319381727</v>
      </c>
    </row>
    <row r="41" spans="6:18" x14ac:dyDescent="0.2">
      <c r="F41" t="s">
        <v>15</v>
      </c>
      <c r="G41">
        <f>AVERAGE(G34:G40)</f>
        <v>20.01611015264286</v>
      </c>
      <c r="K41">
        <v>-10162.49172</v>
      </c>
      <c r="L41">
        <v>38061.678467999998</v>
      </c>
      <c r="M41">
        <f t="shared" si="11"/>
        <v>-5.0812458600000001</v>
      </c>
      <c r="N41">
        <f t="shared" si="12"/>
        <v>19.030839233999998</v>
      </c>
      <c r="O41">
        <f t="shared" si="13"/>
        <v>133.10996066060034</v>
      </c>
      <c r="P41">
        <f t="shared" si="14"/>
        <v>6.6554980330300162E-2</v>
      </c>
      <c r="Q41">
        <f>804/2000</f>
        <v>0.40200000000000002</v>
      </c>
      <c r="R41">
        <f t="shared" si="15"/>
        <v>6.4225556018739658</v>
      </c>
    </row>
    <row r="42" spans="6:18" x14ac:dyDescent="0.2">
      <c r="G42">
        <f>G41*2</f>
        <v>40.032220305285719</v>
      </c>
      <c r="K42">
        <v>-10536.839123</v>
      </c>
      <c r="L42">
        <v>37305.317707000002</v>
      </c>
      <c r="M42">
        <f t="shared" si="11"/>
        <v>-5.2684195615</v>
      </c>
      <c r="N42">
        <f t="shared" si="12"/>
        <v>18.6526588535</v>
      </c>
      <c r="O42">
        <f t="shared" si="13"/>
        <v>148.57092388234923</v>
      </c>
      <c r="P42">
        <f t="shared" si="14"/>
        <v>7.4285461941174621E-2</v>
      </c>
      <c r="Q42">
        <f>949/2000</f>
        <v>0.47449999999999998</v>
      </c>
      <c r="R42">
        <f t="shared" si="15"/>
        <v>7.1685470773233506</v>
      </c>
    </row>
    <row r="43" spans="6:18" x14ac:dyDescent="0.2">
      <c r="G43">
        <f>G42^(1/3)</f>
        <v>3.4208699126908568</v>
      </c>
      <c r="K43">
        <v>-10628.921324000001</v>
      </c>
      <c r="L43">
        <v>37110.599739999998</v>
      </c>
      <c r="M43">
        <f t="shared" si="11"/>
        <v>-5.3144606620000001</v>
      </c>
      <c r="N43">
        <f t="shared" si="12"/>
        <v>18.555299869999999</v>
      </c>
      <c r="O43">
        <f t="shared" si="13"/>
        <v>155.95706460789734</v>
      </c>
      <c r="P43">
        <f t="shared" si="14"/>
        <v>7.7978532303948675E-2</v>
      </c>
      <c r="Q43">
        <f>986/2000</f>
        <v>0.49299999999999999</v>
      </c>
      <c r="R43">
        <f t="shared" si="15"/>
        <v>7.5249283673310474</v>
      </c>
    </row>
    <row r="44" spans="6:18" x14ac:dyDescent="0.2">
      <c r="K44">
        <v>-10639.574638</v>
      </c>
      <c r="L44">
        <v>37109.665482999997</v>
      </c>
      <c r="M44">
        <f t="shared" si="11"/>
        <v>-5.3197873190000005</v>
      </c>
      <c r="N44">
        <f t="shared" si="12"/>
        <v>18.5548327415</v>
      </c>
      <c r="O44">
        <f t="shared" si="13"/>
        <v>147.99208416804868</v>
      </c>
      <c r="P44">
        <f t="shared" si="14"/>
        <v>7.3996042084024341E-2</v>
      </c>
      <c r="Q44">
        <f>987/2000</f>
        <v>0.49349999999999999</v>
      </c>
      <c r="R44">
        <f t="shared" si="15"/>
        <v>7.1406180611083485</v>
      </c>
    </row>
    <row r="45" spans="6:18" x14ac:dyDescent="0.2">
      <c r="K45">
        <v>-10630.479082</v>
      </c>
      <c r="L45">
        <v>37133.581021999998</v>
      </c>
      <c r="M45">
        <f t="shared" si="11"/>
        <v>-5.3152395409999995</v>
      </c>
      <c r="N45">
        <f t="shared" si="12"/>
        <v>18.566790511000001</v>
      </c>
      <c r="O45">
        <f t="shared" si="13"/>
        <v>159.77597372819946</v>
      </c>
      <c r="P45">
        <f t="shared" si="14"/>
        <v>7.988798686409973E-2</v>
      </c>
      <c r="Q45">
        <f>988/2000</f>
        <v>0.49399999999999999</v>
      </c>
      <c r="R45">
        <f t="shared" si="15"/>
        <v>7.7091907323856237</v>
      </c>
    </row>
    <row r="46" spans="6:18" x14ac:dyDescent="0.2">
      <c r="J46">
        <v>0.5</v>
      </c>
      <c r="K46">
        <v>-10680.795066999999</v>
      </c>
      <c r="L46">
        <v>37027.240331000001</v>
      </c>
      <c r="M46">
        <f t="shared" si="11"/>
        <v>-5.3403975334999991</v>
      </c>
      <c r="N46">
        <f t="shared" si="12"/>
        <v>18.513620165500001</v>
      </c>
      <c r="O46">
        <f t="shared" si="13"/>
        <v>147.09665857030086</v>
      </c>
      <c r="P46">
        <f t="shared" si="14"/>
        <v>7.3548329285150427E-2</v>
      </c>
      <c r="Q46">
        <f>1002/2000</f>
        <v>0.501</v>
      </c>
      <c r="R46">
        <f t="shared" si="15"/>
        <v>7.0974137760170164</v>
      </c>
    </row>
    <row r="47" spans="6:18" x14ac:dyDescent="0.2">
      <c r="K47">
        <v>-11029.440466</v>
      </c>
      <c r="L47">
        <v>36391.855726000002</v>
      </c>
      <c r="M47">
        <f t="shared" si="11"/>
        <v>-5.5147202330000002</v>
      </c>
      <c r="N47">
        <f t="shared" si="12"/>
        <v>18.195927863000001</v>
      </c>
      <c r="O47">
        <f t="shared" si="13"/>
        <v>174.81795799129759</v>
      </c>
      <c r="P47">
        <f t="shared" si="14"/>
        <v>8.7408978995648798E-2</v>
      </c>
      <c r="Q47">
        <f>1142/2000</f>
        <v>0.57099999999999995</v>
      </c>
      <c r="R47">
        <f t="shared" si="15"/>
        <v>8.4349664730801095</v>
      </c>
    </row>
    <row r="48" spans="6:18" x14ac:dyDescent="0.2">
      <c r="K48">
        <v>-11137.129768999999</v>
      </c>
      <c r="L48">
        <v>36197.050496999997</v>
      </c>
      <c r="M48">
        <f t="shared" si="11"/>
        <v>-5.5685648844999998</v>
      </c>
      <c r="N48">
        <f t="shared" si="12"/>
        <v>18.0985252485</v>
      </c>
      <c r="O48">
        <f t="shared" si="13"/>
        <v>182.72699807774916</v>
      </c>
      <c r="P48">
        <f t="shared" si="14"/>
        <v>9.1363499038874585E-2</v>
      </c>
      <c r="Q48">
        <f>1185/2000</f>
        <v>0.59250000000000003</v>
      </c>
      <c r="R48">
        <f t="shared" si="15"/>
        <v>8.816577657251397</v>
      </c>
    </row>
    <row r="49" spans="10:18" x14ac:dyDescent="0.2">
      <c r="K49">
        <v>-11166.514834</v>
      </c>
      <c r="L49">
        <v>36129.096897000003</v>
      </c>
      <c r="M49">
        <f t="shared" si="11"/>
        <v>-5.5832574169999996</v>
      </c>
      <c r="N49">
        <f t="shared" si="12"/>
        <v>18.064548448500002</v>
      </c>
      <c r="O49">
        <f t="shared" si="13"/>
        <v>172.1602679987991</v>
      </c>
      <c r="P49">
        <f t="shared" si="14"/>
        <v>8.6080133999399552E-2</v>
      </c>
      <c r="Q49">
        <f>1192/2000</f>
        <v>0.59599999999999997</v>
      </c>
      <c r="R49">
        <f t="shared" si="15"/>
        <v>8.3067329309420561</v>
      </c>
    </row>
    <row r="50" spans="10:18" x14ac:dyDescent="0.2">
      <c r="J50">
        <v>0.6</v>
      </c>
      <c r="K50">
        <v>-11179.892035000001</v>
      </c>
      <c r="L50">
        <v>36127.141220999998</v>
      </c>
      <c r="M50">
        <f t="shared" si="11"/>
        <v>-5.5899460175</v>
      </c>
      <c r="N50">
        <f t="shared" si="12"/>
        <v>18.063570610499998</v>
      </c>
      <c r="O50">
        <f t="shared" si="13"/>
        <v>177.60140191984829</v>
      </c>
      <c r="P50">
        <f t="shared" si="14"/>
        <v>8.8800700959924136E-2</v>
      </c>
      <c r="Q50">
        <f>1199/2000</f>
        <v>0.59950000000000003</v>
      </c>
      <c r="R50">
        <f t="shared" si="15"/>
        <v>8.5692676426326795</v>
      </c>
    </row>
    <row r="51" spans="10:18" x14ac:dyDescent="0.2">
      <c r="K51">
        <v>-11175.336276</v>
      </c>
      <c r="L51">
        <v>36113.949494</v>
      </c>
      <c r="M51">
        <f t="shared" si="11"/>
        <v>-5.5876681379999997</v>
      </c>
      <c r="N51">
        <f t="shared" si="12"/>
        <v>18.056974747000002</v>
      </c>
      <c r="O51">
        <f t="shared" si="13"/>
        <v>184.84549447999962</v>
      </c>
      <c r="P51">
        <f t="shared" si="14"/>
        <v>9.2422747239999811E-2</v>
      </c>
      <c r="Q51">
        <f>1200/2000</f>
        <v>0.6</v>
      </c>
      <c r="R51">
        <f t="shared" si="15"/>
        <v>8.9187951086599817</v>
      </c>
    </row>
    <row r="52" spans="10:18" x14ac:dyDescent="0.2">
      <c r="K52">
        <v>-11606.130902000001</v>
      </c>
      <c r="L52">
        <v>35366.491375999998</v>
      </c>
      <c r="M52">
        <f t="shared" si="11"/>
        <v>-5.8030654510000002</v>
      </c>
      <c r="N52">
        <f t="shared" si="12"/>
        <v>17.683245688</v>
      </c>
      <c r="O52">
        <f t="shared" si="13"/>
        <v>194.93757234459736</v>
      </c>
      <c r="P52">
        <f t="shared" si="14"/>
        <v>9.7468786172298677E-2</v>
      </c>
      <c r="Q52">
        <f>1364/2000</f>
        <v>0.68200000000000005</v>
      </c>
      <c r="R52">
        <f t="shared" si="15"/>
        <v>9.405737865626822</v>
      </c>
    </row>
    <row r="53" spans="10:18" x14ac:dyDescent="0.2">
      <c r="K53">
        <v>-11666.419365</v>
      </c>
      <c r="L53">
        <v>35255.534520000001</v>
      </c>
      <c r="M53">
        <f t="shared" si="11"/>
        <v>-5.8332096824999997</v>
      </c>
      <c r="N53">
        <f t="shared" si="12"/>
        <v>17.627767259999999</v>
      </c>
      <c r="O53">
        <f t="shared" si="13"/>
        <v>199.16911478819929</v>
      </c>
      <c r="P53">
        <f t="shared" si="14"/>
        <v>9.9584557394099646E-2</v>
      </c>
      <c r="Q53">
        <f>1388/2000</f>
        <v>0.69399999999999995</v>
      </c>
      <c r="R53">
        <f t="shared" si="15"/>
        <v>9.6099097885306151</v>
      </c>
    </row>
    <row r="54" spans="10:18" x14ac:dyDescent="0.2">
      <c r="J54">
        <v>0.7</v>
      </c>
      <c r="K54">
        <v>-11731.567956000001</v>
      </c>
      <c r="L54">
        <v>35142.738618000003</v>
      </c>
      <c r="M54">
        <f t="shared" si="11"/>
        <v>-5.8657839780000005</v>
      </c>
      <c r="N54">
        <f t="shared" si="12"/>
        <v>17.571369309000001</v>
      </c>
      <c r="O54">
        <f t="shared" si="13"/>
        <v>187.7871949911987</v>
      </c>
      <c r="P54">
        <f t="shared" si="14"/>
        <v>9.3893597495599349E-2</v>
      </c>
      <c r="Q54">
        <f>1408/2000</f>
        <v>0.70399999999999996</v>
      </c>
      <c r="R54">
        <f t="shared" si="15"/>
        <v>9.0607321583253366</v>
      </c>
    </row>
    <row r="55" spans="10:18" x14ac:dyDescent="0.2">
      <c r="K55">
        <v>-11740.975825</v>
      </c>
      <c r="L55">
        <v>35125.079023999999</v>
      </c>
      <c r="M55">
        <f t="shared" si="11"/>
        <v>-5.8704879124999998</v>
      </c>
      <c r="N55">
        <f t="shared" si="12"/>
        <v>17.562539512000001</v>
      </c>
      <c r="O55">
        <f t="shared" si="13"/>
        <v>194.5093273520979</v>
      </c>
      <c r="P55">
        <f t="shared" si="14"/>
        <v>9.7254663676048944E-2</v>
      </c>
      <c r="Q55">
        <f>1414/2000</f>
        <v>0.70699999999999996</v>
      </c>
      <c r="R55">
        <f t="shared" si="15"/>
        <v>9.3850750447387234</v>
      </c>
    </row>
    <row r="56" spans="10:18" x14ac:dyDescent="0.2">
      <c r="K56">
        <v>-11763.700387000001</v>
      </c>
      <c r="L56">
        <v>35091.551545000002</v>
      </c>
      <c r="M56">
        <f t="shared" si="11"/>
        <v>-5.8818501935</v>
      </c>
      <c r="N56">
        <f t="shared" si="12"/>
        <v>17.545775772500001</v>
      </c>
      <c r="O56">
        <f t="shared" si="13"/>
        <v>187.91476671299824</v>
      </c>
      <c r="P56">
        <f t="shared" si="14"/>
        <v>9.3957383356499127E-2</v>
      </c>
      <c r="Q56">
        <f>1420/2000</f>
        <v>0.71</v>
      </c>
      <c r="R56">
        <f t="shared" si="15"/>
        <v>9.0668874939021666</v>
      </c>
    </row>
    <row r="57" spans="10:18" x14ac:dyDescent="0.2">
      <c r="K57">
        <v>-12209.84088</v>
      </c>
      <c r="L57">
        <v>34286.375437000002</v>
      </c>
      <c r="M57">
        <f t="shared" si="11"/>
        <v>-6.1049204399999999</v>
      </c>
      <c r="N57">
        <f t="shared" si="12"/>
        <v>17.143187718500002</v>
      </c>
      <c r="O57">
        <f t="shared" si="13"/>
        <v>185.34931113774837</v>
      </c>
      <c r="P57">
        <f t="shared" si="14"/>
        <v>9.2674655568874192E-2</v>
      </c>
      <c r="Q57">
        <f>1585/2000</f>
        <v>0.79249999999999998</v>
      </c>
      <c r="R57">
        <f t="shared" si="15"/>
        <v>8.9431042623963588</v>
      </c>
    </row>
    <row r="58" spans="10:18" x14ac:dyDescent="0.2">
      <c r="K58">
        <v>-12213.418680999999</v>
      </c>
      <c r="L58">
        <v>34261.907847000002</v>
      </c>
      <c r="M58">
        <f t="shared" si="11"/>
        <v>-6.1067093404999993</v>
      </c>
      <c r="N58">
        <f t="shared" si="12"/>
        <v>17.130953923500002</v>
      </c>
      <c r="O58">
        <f t="shared" si="13"/>
        <v>187.14817725805005</v>
      </c>
      <c r="P58">
        <f t="shared" si="14"/>
        <v>9.3574088629025026E-2</v>
      </c>
      <c r="Q58">
        <f>1587/2000</f>
        <v>0.79349999999999998</v>
      </c>
      <c r="R58">
        <f t="shared" si="15"/>
        <v>9.0298995527009147</v>
      </c>
    </row>
    <row r="59" spans="10:18" x14ac:dyDescent="0.2">
      <c r="J59">
        <v>0.8</v>
      </c>
      <c r="K59">
        <v>-12288.940484000001</v>
      </c>
      <c r="L59">
        <v>34162.131271999999</v>
      </c>
      <c r="M59">
        <f t="shared" si="11"/>
        <v>-6.1444702420000006</v>
      </c>
      <c r="N59">
        <f t="shared" si="12"/>
        <v>17.081065635999998</v>
      </c>
      <c r="O59">
        <f t="shared" si="13"/>
        <v>170.76971258134654</v>
      </c>
      <c r="P59">
        <f t="shared" si="14"/>
        <v>8.5384856290673272E-2</v>
      </c>
      <c r="Q59">
        <f>1609/2000</f>
        <v>0.80449999999999999</v>
      </c>
      <c r="R59">
        <f t="shared" si="15"/>
        <v>8.2396386320499708</v>
      </c>
    </row>
    <row r="60" spans="10:18" x14ac:dyDescent="0.2">
      <c r="K60">
        <v>-12291.518120999999</v>
      </c>
      <c r="L60">
        <v>34141.955083000001</v>
      </c>
      <c r="M60">
        <f t="shared" si="11"/>
        <v>-6.1457590604999996</v>
      </c>
      <c r="N60">
        <f t="shared" si="12"/>
        <v>17.0709775415</v>
      </c>
      <c r="O60">
        <f t="shared" si="13"/>
        <v>176.25707626179974</v>
      </c>
      <c r="P60">
        <f t="shared" si="14"/>
        <v>8.8128538130899867E-2</v>
      </c>
      <c r="Q60">
        <f>1612/2000</f>
        <v>0.80600000000000005</v>
      </c>
      <c r="R60">
        <f t="shared" si="15"/>
        <v>8.5044039296318363</v>
      </c>
    </row>
    <row r="61" spans="10:18" x14ac:dyDescent="0.2">
      <c r="K61">
        <v>-12323.906454</v>
      </c>
      <c r="L61">
        <v>34111.827251000002</v>
      </c>
      <c r="M61">
        <f t="shared" si="11"/>
        <v>-6.1619532269999997</v>
      </c>
      <c r="N61">
        <f t="shared" si="12"/>
        <v>17.055913625500001</v>
      </c>
      <c r="O61">
        <f t="shared" si="13"/>
        <v>173.44041242344974</v>
      </c>
      <c r="P61">
        <f t="shared" si="14"/>
        <v>8.6720206211724868E-2</v>
      </c>
      <c r="Q61">
        <f>1623/2000</f>
        <v>0.8115</v>
      </c>
      <c r="R61">
        <f t="shared" si="15"/>
        <v>8.3684998994314501</v>
      </c>
    </row>
    <row r="62" spans="10:18" x14ac:dyDescent="0.2">
      <c r="K62">
        <v>-12797.078856</v>
      </c>
      <c r="L62">
        <v>33229.486865999999</v>
      </c>
      <c r="M62">
        <f t="shared" si="11"/>
        <v>-6.3985394280000003</v>
      </c>
      <c r="N62">
        <f t="shared" si="12"/>
        <v>16.614743433000001</v>
      </c>
      <c r="O62">
        <f t="shared" si="13"/>
        <v>133.08971360759824</v>
      </c>
      <c r="P62">
        <f t="shared" si="14"/>
        <v>6.6544856803799124E-2</v>
      </c>
      <c r="Q62">
        <f>1784/2000</f>
        <v>0.89200000000000002</v>
      </c>
      <c r="R62">
        <f t="shared" si="15"/>
        <v>6.4215786815666158</v>
      </c>
    </row>
    <row r="63" spans="10:18" x14ac:dyDescent="0.2">
      <c r="K63">
        <v>-12831.468364</v>
      </c>
      <c r="L63">
        <v>33162.436439999998</v>
      </c>
      <c r="M63">
        <f t="shared" si="11"/>
        <v>-6.4157341820000005</v>
      </c>
      <c r="N63">
        <f t="shared" si="12"/>
        <v>16.58121822</v>
      </c>
      <c r="O63">
        <f t="shared" si="13"/>
        <v>128.27187476924883</v>
      </c>
      <c r="P63">
        <f t="shared" si="14"/>
        <v>6.4135937384624406E-2</v>
      </c>
      <c r="Q63">
        <f>1795/2000</f>
        <v>0.89749999999999996</v>
      </c>
      <c r="R63">
        <f t="shared" si="15"/>
        <v>6.1891179576162552</v>
      </c>
    </row>
    <row r="64" spans="10:18" x14ac:dyDescent="0.2">
      <c r="K64">
        <v>-12835.209085</v>
      </c>
      <c r="L64">
        <v>33165.379342</v>
      </c>
      <c r="M64">
        <f t="shared" si="11"/>
        <v>-6.4176045425000003</v>
      </c>
      <c r="N64">
        <f t="shared" si="12"/>
        <v>16.582689671000001</v>
      </c>
      <c r="O64">
        <f t="shared" si="13"/>
        <v>124.5311537692487</v>
      </c>
      <c r="P64">
        <f t="shared" si="14"/>
        <v>6.2265576884624349E-2</v>
      </c>
      <c r="Q64">
        <f>1795/2000</f>
        <v>0.89749999999999996</v>
      </c>
      <c r="R64">
        <f t="shared" si="15"/>
        <v>6.0086281693662498</v>
      </c>
    </row>
    <row r="65" spans="10:18" x14ac:dyDescent="0.2">
      <c r="K65">
        <v>-12851.056037</v>
      </c>
      <c r="L65">
        <v>33143.552564999998</v>
      </c>
      <c r="M65">
        <f t="shared" si="11"/>
        <v>-6.4255280185000005</v>
      </c>
      <c r="N65">
        <f t="shared" si="12"/>
        <v>16.5717762825</v>
      </c>
      <c r="O65">
        <f t="shared" si="13"/>
        <v>122.12586956999803</v>
      </c>
      <c r="P65">
        <f t="shared" si="14"/>
        <v>6.1062934784999016E-2</v>
      </c>
      <c r="Q65">
        <f>1800/2000</f>
        <v>0.9</v>
      </c>
      <c r="R65">
        <f t="shared" si="15"/>
        <v>5.892573206752405</v>
      </c>
    </row>
    <row r="66" spans="10:18" x14ac:dyDescent="0.2">
      <c r="J66">
        <v>0.9</v>
      </c>
      <c r="K66">
        <v>-12868.382992999999</v>
      </c>
      <c r="L66">
        <v>33108.823815000003</v>
      </c>
      <c r="M66">
        <f t="shared" si="11"/>
        <v>-6.4341914964999996</v>
      </c>
      <c r="N66">
        <f t="shared" si="12"/>
        <v>16.5544119075</v>
      </c>
      <c r="O66">
        <f t="shared" si="13"/>
        <v>118.24058137074826</v>
      </c>
      <c r="P66">
        <f t="shared" si="14"/>
        <v>5.9120290685374131E-2</v>
      </c>
      <c r="Q66">
        <f>1805/2000</f>
        <v>0.90249999999999997</v>
      </c>
      <c r="R66">
        <f t="shared" si="15"/>
        <v>5.7051080511386036</v>
      </c>
    </row>
    <row r="67" spans="10:18" x14ac:dyDescent="0.2">
      <c r="K67">
        <v>-13510.848618600003</v>
      </c>
      <c r="L67">
        <v>31930.872642499999</v>
      </c>
      <c r="M67">
        <f t="shared" si="11"/>
        <v>-6.7554243093000013</v>
      </c>
      <c r="N67">
        <f t="shared" si="12"/>
        <v>15.965436321249999</v>
      </c>
      <c r="O67">
        <f t="shared" si="13"/>
        <v>0</v>
      </c>
      <c r="P67">
        <f t="shared" si="14"/>
        <v>0</v>
      </c>
      <c r="Q67">
        <v>1</v>
      </c>
      <c r="R67">
        <f t="shared" si="15"/>
        <v>0</v>
      </c>
    </row>
  </sheetData>
  <sortState ref="J6:R67">
    <sortCondition ref="Q6:Q67"/>
  </sortState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69"/>
  <sheetViews>
    <sheetView workbookViewId="0">
      <selection activeCell="I2" sqref="I2:Q4"/>
    </sheetView>
  </sheetViews>
  <sheetFormatPr baseColWidth="10" defaultRowHeight="16" x14ac:dyDescent="0.2"/>
  <sheetData>
    <row r="2" spans="2:17" x14ac:dyDescent="0.2">
      <c r="C2" t="s">
        <v>12</v>
      </c>
      <c r="I2">
        <v>800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</row>
    <row r="3" spans="2:17" x14ac:dyDescent="0.2">
      <c r="B3">
        <v>800</v>
      </c>
      <c r="C3" t="s">
        <v>1</v>
      </c>
      <c r="D3" t="s">
        <v>2</v>
      </c>
      <c r="E3" t="s">
        <v>3</v>
      </c>
      <c r="F3" t="s">
        <v>4</v>
      </c>
      <c r="G3" t="s">
        <v>11</v>
      </c>
      <c r="J3">
        <v>-8188.933910499999</v>
      </c>
      <c r="K3">
        <v>43579.580883200004</v>
      </c>
      <c r="L3">
        <f t="shared" ref="L3:L34" si="0">J3/2000</f>
        <v>-4.0944669552499997</v>
      </c>
      <c r="M3">
        <f t="shared" ref="M3:M34" si="1">K3/2000</f>
        <v>21.789790441600001</v>
      </c>
      <c r="N3">
        <f>J3-2000*(P3*$E$28+(1-P3)*$E$14)</f>
        <v>0</v>
      </c>
      <c r="O3">
        <f t="shared" ref="O3:O34" si="2">N3/2000</f>
        <v>0</v>
      </c>
      <c r="P3">
        <v>0</v>
      </c>
      <c r="Q3">
        <f t="shared" ref="Q3:Q34" si="3">O3*96.5</f>
        <v>0</v>
      </c>
    </row>
    <row r="4" spans="2:17" x14ac:dyDescent="0.2">
      <c r="C4">
        <v>-8188.4150920000002</v>
      </c>
      <c r="D4">
        <v>43579.313560000002</v>
      </c>
      <c r="E4">
        <f>C4/2000</f>
        <v>-4.0942075459999998</v>
      </c>
      <c r="F4">
        <f>D4/2000</f>
        <v>21.789656780000001</v>
      </c>
      <c r="G4">
        <f>(F4*2)^(1/3)</f>
        <v>3.5190610001791094</v>
      </c>
      <c r="J4">
        <v>-8396.1556899999996</v>
      </c>
      <c r="K4">
        <v>42699.747015000001</v>
      </c>
      <c r="L4">
        <f t="shared" si="0"/>
        <v>-4.1980778449999994</v>
      </c>
      <c r="M4">
        <f t="shared" si="1"/>
        <v>21.3498735075</v>
      </c>
      <c r="N4">
        <f t="shared" ref="N4:N35" si="4">J4-2000*(P4*$E$28+(1-P4)*E$14)</f>
        <v>21.440308940751493</v>
      </c>
      <c r="O4">
        <f t="shared" si="2"/>
        <v>1.0720154470375746E-2</v>
      </c>
      <c r="P4">
        <f>85/2000</f>
        <v>4.2500000000000003E-2</v>
      </c>
      <c r="Q4">
        <f t="shared" si="3"/>
        <v>1.0344949063912594</v>
      </c>
    </row>
    <row r="5" spans="2:17" x14ac:dyDescent="0.2">
      <c r="C5">
        <v>-8188.8469219999997</v>
      </c>
      <c r="D5">
        <v>43584.648291999998</v>
      </c>
      <c r="E5">
        <f t="shared" ref="E5:F13" si="5">C5/2000</f>
        <v>-4.0944234609999999</v>
      </c>
      <c r="F5">
        <f t="shared" si="5"/>
        <v>21.792324145999999</v>
      </c>
      <c r="G5">
        <f t="shared" ref="G5:G13" si="6">(F5*2)^(1/3)</f>
        <v>3.5192045888056702</v>
      </c>
      <c r="J5">
        <v>-8422.7684750000008</v>
      </c>
      <c r="K5">
        <v>42594.445298999999</v>
      </c>
      <c r="L5">
        <f t="shared" si="0"/>
        <v>-4.2113842375000008</v>
      </c>
      <c r="M5">
        <f t="shared" si="1"/>
        <v>21.2972226495</v>
      </c>
      <c r="N5">
        <f t="shared" si="4"/>
        <v>21.728946110250035</v>
      </c>
      <c r="O5">
        <f t="shared" si="2"/>
        <v>1.0864473055125017E-2</v>
      </c>
      <c r="P5">
        <f>95/2000</f>
        <v>4.7500000000000001E-2</v>
      </c>
      <c r="Q5">
        <f t="shared" si="3"/>
        <v>1.0484216498195642</v>
      </c>
    </row>
    <row r="6" spans="2:17" x14ac:dyDescent="0.2">
      <c r="C6">
        <v>-8189.0691450000004</v>
      </c>
      <c r="D6">
        <v>43576.695705999999</v>
      </c>
      <c r="E6">
        <f t="shared" si="5"/>
        <v>-4.0945345725000006</v>
      </c>
      <c r="F6">
        <f t="shared" si="5"/>
        <v>21.788347852999998</v>
      </c>
      <c r="G6">
        <f t="shared" si="6"/>
        <v>3.5189905342352552</v>
      </c>
      <c r="J6">
        <v>-8426.2629390000002</v>
      </c>
      <c r="K6">
        <v>42565.174246000002</v>
      </c>
      <c r="L6">
        <f t="shared" si="0"/>
        <v>-4.2131314695000004</v>
      </c>
      <c r="M6">
        <f t="shared" si="1"/>
        <v>21.282587123000003</v>
      </c>
      <c r="N6">
        <f t="shared" si="4"/>
        <v>26.304908761099796</v>
      </c>
      <c r="O6">
        <f t="shared" si="2"/>
        <v>1.3152454380549898E-2</v>
      </c>
      <c r="P6">
        <f>98/2000</f>
        <v>4.9000000000000002E-2</v>
      </c>
      <c r="Q6">
        <f t="shared" si="3"/>
        <v>1.2692118477230652</v>
      </c>
    </row>
    <row r="7" spans="2:17" x14ac:dyDescent="0.2">
      <c r="C7">
        <v>-8188.1741910000001</v>
      </c>
      <c r="D7">
        <v>43577.881619</v>
      </c>
      <c r="E7">
        <f t="shared" si="5"/>
        <v>-4.0940870954999999</v>
      </c>
      <c r="F7">
        <f t="shared" si="5"/>
        <v>21.788940809500001</v>
      </c>
      <c r="G7">
        <f t="shared" si="6"/>
        <v>3.5190224563341141</v>
      </c>
      <c r="J7">
        <v>-8434.9120579999999</v>
      </c>
      <c r="K7">
        <v>42549.794459999997</v>
      </c>
      <c r="L7">
        <f t="shared" si="0"/>
        <v>-4.2174560290000001</v>
      </c>
      <c r="M7">
        <f t="shared" si="1"/>
        <v>21.274897229999997</v>
      </c>
      <c r="N7">
        <f t="shared" si="4"/>
        <v>23.036074195002584</v>
      </c>
      <c r="O7">
        <f t="shared" si="2"/>
        <v>1.1518037097501292E-2</v>
      </c>
      <c r="P7">
        <f>100/2000</f>
        <v>0.05</v>
      </c>
      <c r="Q7">
        <f t="shared" si="3"/>
        <v>1.1114905799088746</v>
      </c>
    </row>
    <row r="8" spans="2:17" x14ac:dyDescent="0.2">
      <c r="C8">
        <v>-8189.9558310000002</v>
      </c>
      <c r="D8">
        <v>43581.552301000003</v>
      </c>
      <c r="E8">
        <f t="shared" si="5"/>
        <v>-4.0949779155000003</v>
      </c>
      <c r="F8">
        <f t="shared" si="5"/>
        <v>21.790776150500001</v>
      </c>
      <c r="G8">
        <f t="shared" si="6"/>
        <v>3.5191212591307122</v>
      </c>
      <c r="I8">
        <v>0.05</v>
      </c>
      <c r="J8">
        <v>-8451.4560889999993</v>
      </c>
      <c r="K8">
        <v>42461.401365999998</v>
      </c>
      <c r="L8">
        <f t="shared" si="0"/>
        <v>-4.2257280444999994</v>
      </c>
      <c r="M8">
        <f t="shared" si="1"/>
        <v>21.230700682999998</v>
      </c>
      <c r="N8">
        <f t="shared" si="4"/>
        <v>25.32303871365184</v>
      </c>
      <c r="O8">
        <f t="shared" si="2"/>
        <v>1.2661519356825921E-2</v>
      </c>
      <c r="P8">
        <f>107/2000</f>
        <v>5.3499999999999999E-2</v>
      </c>
      <c r="Q8">
        <f t="shared" si="3"/>
        <v>1.2218366179337015</v>
      </c>
    </row>
    <row r="9" spans="2:17" x14ac:dyDescent="0.2">
      <c r="C9">
        <v>-8189.115041</v>
      </c>
      <c r="D9">
        <v>43576.844265</v>
      </c>
      <c r="E9">
        <f t="shared" si="5"/>
        <v>-4.0945575205000004</v>
      </c>
      <c r="F9">
        <f t="shared" si="5"/>
        <v>21.788422132499999</v>
      </c>
      <c r="G9">
        <f t="shared" si="6"/>
        <v>3.5189945331396562</v>
      </c>
      <c r="J9">
        <v>-8731.9126419999993</v>
      </c>
      <c r="K9">
        <v>41502.618483999999</v>
      </c>
      <c r="L9">
        <f t="shared" si="0"/>
        <v>-4.3659563209999996</v>
      </c>
      <c r="M9">
        <f t="shared" si="1"/>
        <v>20.751309241999998</v>
      </c>
      <c r="N9">
        <f t="shared" si="4"/>
        <v>43.472271795100824</v>
      </c>
      <c r="O9">
        <f t="shared" si="2"/>
        <v>2.1736135897550413E-2</v>
      </c>
      <c r="P9">
        <f>218/2000</f>
        <v>0.109</v>
      </c>
      <c r="Q9">
        <f t="shared" si="3"/>
        <v>2.097537114113615</v>
      </c>
    </row>
    <row r="10" spans="2:17" x14ac:dyDescent="0.2">
      <c r="C10">
        <v>-8188.8390609999997</v>
      </c>
      <c r="D10">
        <v>43578.611842999999</v>
      </c>
      <c r="E10">
        <f t="shared" si="5"/>
        <v>-4.0944195304999997</v>
      </c>
      <c r="F10">
        <f t="shared" si="5"/>
        <v>21.789305921499999</v>
      </c>
      <c r="G10">
        <f t="shared" si="6"/>
        <v>3.5190421120264492</v>
      </c>
      <c r="I10">
        <v>0.12</v>
      </c>
      <c r="J10">
        <v>-8744.2345139999998</v>
      </c>
      <c r="K10">
        <v>41465.616029999997</v>
      </c>
      <c r="L10">
        <f t="shared" si="0"/>
        <v>-4.3721172570000002</v>
      </c>
      <c r="M10">
        <f t="shared" si="1"/>
        <v>20.732808015</v>
      </c>
      <c r="N10">
        <f t="shared" si="4"/>
        <v>44.601110879852058</v>
      </c>
      <c r="O10">
        <f t="shared" si="2"/>
        <v>2.2300555439926029E-2</v>
      </c>
      <c r="P10">
        <f>223/2000</f>
        <v>0.1115</v>
      </c>
      <c r="Q10">
        <f t="shared" si="3"/>
        <v>2.1520035999528617</v>
      </c>
    </row>
    <row r="11" spans="2:17" x14ac:dyDescent="0.2">
      <c r="C11">
        <v>-8189.2824609999998</v>
      </c>
      <c r="D11">
        <v>43581.540975000004</v>
      </c>
      <c r="E11">
        <f t="shared" si="5"/>
        <v>-4.0946412304999997</v>
      </c>
      <c r="F11">
        <f t="shared" si="5"/>
        <v>21.790770487500001</v>
      </c>
      <c r="G11">
        <f t="shared" si="6"/>
        <v>3.5191209542802362</v>
      </c>
      <c r="J11">
        <v>-8746.9832000000006</v>
      </c>
      <c r="K11">
        <v>41460.728504999999</v>
      </c>
      <c r="L11">
        <f t="shared" si="0"/>
        <v>-4.3734916000000004</v>
      </c>
      <c r="M11">
        <f t="shared" si="1"/>
        <v>20.730364252499999</v>
      </c>
      <c r="N11">
        <f t="shared" si="4"/>
        <v>41.852424879851242</v>
      </c>
      <c r="O11">
        <f t="shared" si="2"/>
        <v>2.092621243992562E-2</v>
      </c>
      <c r="P11">
        <f>223/2000</f>
        <v>0.1115</v>
      </c>
      <c r="Q11">
        <f t="shared" si="3"/>
        <v>2.0193795004528221</v>
      </c>
    </row>
    <row r="12" spans="2:17" x14ac:dyDescent="0.2">
      <c r="C12">
        <v>-8188.725351</v>
      </c>
      <c r="D12">
        <v>43575.777905000003</v>
      </c>
      <c r="E12">
        <f t="shared" si="5"/>
        <v>-4.0943626755000002</v>
      </c>
      <c r="F12">
        <f t="shared" si="5"/>
        <v>21.787888952500001</v>
      </c>
      <c r="G12">
        <f t="shared" si="6"/>
        <v>3.5189658287081849</v>
      </c>
      <c r="J12">
        <v>-8743.5908429999999</v>
      </c>
      <c r="K12">
        <v>41465.863802</v>
      </c>
      <c r="L12">
        <f t="shared" si="0"/>
        <v>-4.3717954214999999</v>
      </c>
      <c r="M12">
        <f t="shared" si="1"/>
        <v>20.732931901000001</v>
      </c>
      <c r="N12">
        <f t="shared" si="4"/>
        <v>45.244781879851871</v>
      </c>
      <c r="O12">
        <f t="shared" si="2"/>
        <v>2.2622390939925935E-2</v>
      </c>
      <c r="P12">
        <f>223/2000</f>
        <v>0.1115</v>
      </c>
      <c r="Q12">
        <f t="shared" si="3"/>
        <v>2.1830607257028527</v>
      </c>
    </row>
    <row r="13" spans="2:17" x14ac:dyDescent="0.2">
      <c r="C13">
        <v>-8188.9160099999999</v>
      </c>
      <c r="D13">
        <v>43582.942366000003</v>
      </c>
      <c r="E13">
        <f t="shared" si="5"/>
        <v>-4.0944580049999999</v>
      </c>
      <c r="F13">
        <f t="shared" si="5"/>
        <v>21.791471183000002</v>
      </c>
      <c r="G13">
        <f t="shared" si="6"/>
        <v>3.5191586737019889</v>
      </c>
      <c r="J13">
        <v>-8755.8409690000008</v>
      </c>
      <c r="K13">
        <v>41421.575027999999</v>
      </c>
      <c r="L13">
        <f t="shared" si="0"/>
        <v>-4.3779204845000006</v>
      </c>
      <c r="M13">
        <f t="shared" si="1"/>
        <v>20.710787514</v>
      </c>
      <c r="N13">
        <f t="shared" si="4"/>
        <v>43.755224747648754</v>
      </c>
      <c r="O13">
        <f t="shared" si="2"/>
        <v>2.1877612373824375E-2</v>
      </c>
      <c r="P13">
        <f>227/2000</f>
        <v>0.1135</v>
      </c>
      <c r="Q13">
        <f t="shared" si="3"/>
        <v>2.1111895940740522</v>
      </c>
    </row>
    <row r="14" spans="2:17" x14ac:dyDescent="0.2">
      <c r="C14">
        <f>AVERAGE(C4:C13)</f>
        <v>-8188.933910499999</v>
      </c>
      <c r="D14">
        <f>AVERAGE(D4:D13)</f>
        <v>43579.580883200004</v>
      </c>
      <c r="E14">
        <f t="shared" ref="E14:G14" si="7">AVERAGE(E4:E13)</f>
        <v>-4.0944669552500006</v>
      </c>
      <c r="F14">
        <f t="shared" si="7"/>
        <v>21.789790441599997</v>
      </c>
      <c r="G14">
        <f t="shared" si="7"/>
        <v>3.5190681940541375</v>
      </c>
      <c r="J14">
        <v>-8772.0802860000003</v>
      </c>
      <c r="K14">
        <v>41381.868977999999</v>
      </c>
      <c r="L14">
        <f t="shared" si="0"/>
        <v>-4.3860401429999998</v>
      </c>
      <c r="M14">
        <f t="shared" si="1"/>
        <v>20.690934489</v>
      </c>
      <c r="N14">
        <f t="shared" si="4"/>
        <v>46.346903266299705</v>
      </c>
      <c r="O14">
        <f t="shared" si="2"/>
        <v>2.3173451633149853E-2</v>
      </c>
      <c r="P14">
        <f>234/2000</f>
        <v>0.11700000000000001</v>
      </c>
      <c r="Q14">
        <f t="shared" si="3"/>
        <v>2.2362380825989607</v>
      </c>
    </row>
    <row r="15" spans="2:17" x14ac:dyDescent="0.2">
      <c r="J15">
        <v>-8778.7712080000001</v>
      </c>
      <c r="K15">
        <v>41360.627674000003</v>
      </c>
      <c r="L15">
        <f t="shared" si="0"/>
        <v>-4.3893856040000001</v>
      </c>
      <c r="M15">
        <f t="shared" si="1"/>
        <v>20.680313837</v>
      </c>
      <c r="N15">
        <f t="shared" si="4"/>
        <v>47.726407917149118</v>
      </c>
      <c r="O15">
        <f t="shared" si="2"/>
        <v>2.386320395857456E-2</v>
      </c>
      <c r="P15">
        <f>237/2000</f>
        <v>0.11849999999999999</v>
      </c>
      <c r="Q15">
        <f t="shared" si="3"/>
        <v>2.3027991820024449</v>
      </c>
    </row>
    <row r="16" spans="2:17" x14ac:dyDescent="0.2">
      <c r="C16" t="s">
        <v>13</v>
      </c>
      <c r="J16">
        <v>-8782.1624439999996</v>
      </c>
      <c r="K16">
        <v>41346.096294000003</v>
      </c>
      <c r="L16">
        <f t="shared" si="0"/>
        <v>-4.3910812219999995</v>
      </c>
      <c r="M16">
        <f t="shared" si="1"/>
        <v>20.673048147000003</v>
      </c>
      <c r="N16">
        <f t="shared" si="4"/>
        <v>47.025314134101791</v>
      </c>
      <c r="O16">
        <f t="shared" si="2"/>
        <v>2.3512657067050895E-2</v>
      </c>
      <c r="P16">
        <f>238/2000</f>
        <v>0.11899999999999999</v>
      </c>
      <c r="Q16">
        <f t="shared" si="3"/>
        <v>2.2689714069704112</v>
      </c>
    </row>
    <row r="17" spans="2:17" x14ac:dyDescent="0.2">
      <c r="B17">
        <v>800</v>
      </c>
      <c r="C17" t="s">
        <v>1</v>
      </c>
      <c r="D17" t="s">
        <v>2</v>
      </c>
      <c r="E17" t="s">
        <v>3</v>
      </c>
      <c r="F17" t="s">
        <v>4</v>
      </c>
      <c r="G17" t="s">
        <v>11</v>
      </c>
      <c r="J17">
        <v>-8785.8704550000002</v>
      </c>
      <c r="K17">
        <v>41335.732945000003</v>
      </c>
      <c r="L17">
        <f t="shared" si="0"/>
        <v>-4.3929352274999998</v>
      </c>
      <c r="M17">
        <f t="shared" si="1"/>
        <v>20.667866472500002</v>
      </c>
      <c r="N17">
        <f t="shared" si="4"/>
        <v>48.697587568001836</v>
      </c>
      <c r="O17">
        <f t="shared" si="2"/>
        <v>2.4348793784000917E-2</v>
      </c>
      <c r="P17">
        <f>240/2000</f>
        <v>0.12</v>
      </c>
      <c r="Q17">
        <f t="shared" si="3"/>
        <v>2.3496586001560886</v>
      </c>
    </row>
    <row r="18" spans="2:17" x14ac:dyDescent="0.2">
      <c r="C18">
        <v>-13569.24944</v>
      </c>
      <c r="D18">
        <v>31768.816006000001</v>
      </c>
      <c r="E18">
        <f>C18/2000</f>
        <v>-6.7846247200000001</v>
      </c>
      <c r="F18">
        <f>D18/2000</f>
        <v>15.884408003000001</v>
      </c>
      <c r="G18">
        <f>(F18*2)^(1/3)</f>
        <v>3.1671381657572151</v>
      </c>
      <c r="J18">
        <v>-8887.7659930000009</v>
      </c>
      <c r="K18">
        <v>41014.992595999996</v>
      </c>
      <c r="L18">
        <f t="shared" si="0"/>
        <v>-4.4438829965000002</v>
      </c>
      <c r="M18">
        <f t="shared" si="1"/>
        <v>20.507496298</v>
      </c>
      <c r="N18">
        <f t="shared" si="4"/>
        <v>51.717596029051492</v>
      </c>
      <c r="O18">
        <f t="shared" si="2"/>
        <v>2.5858798014525747E-2</v>
      </c>
      <c r="P18">
        <f>279/2000</f>
        <v>0.13950000000000001</v>
      </c>
      <c r="Q18">
        <f t="shared" si="3"/>
        <v>2.4953740084017348</v>
      </c>
    </row>
    <row r="19" spans="2:17" x14ac:dyDescent="0.2">
      <c r="C19">
        <v>-13569.216429</v>
      </c>
      <c r="D19">
        <v>31768.792704</v>
      </c>
      <c r="E19">
        <f t="shared" ref="E19:F27" si="8">C19/2000</f>
        <v>-6.7846082145000004</v>
      </c>
      <c r="F19">
        <f t="shared" si="8"/>
        <v>15.884396352</v>
      </c>
      <c r="G19">
        <f t="shared" ref="G19:G27" si="9">(F19*2)^(1/3)</f>
        <v>3.1671373914059178</v>
      </c>
      <c r="J19">
        <v>-9264.6987539999991</v>
      </c>
      <c r="K19">
        <v>39949.744980000003</v>
      </c>
      <c r="L19">
        <f t="shared" si="0"/>
        <v>-4.6323493769999997</v>
      </c>
      <c r="M19">
        <f t="shared" si="1"/>
        <v>19.974872490000003</v>
      </c>
      <c r="N19">
        <f t="shared" si="4"/>
        <v>70.235740920701573</v>
      </c>
      <c r="O19">
        <f t="shared" si="2"/>
        <v>3.5117870460350788E-2</v>
      </c>
      <c r="P19">
        <f>426/2000</f>
        <v>0.21299999999999999</v>
      </c>
      <c r="Q19">
        <f t="shared" si="3"/>
        <v>3.3888744994238511</v>
      </c>
    </row>
    <row r="20" spans="2:17" x14ac:dyDescent="0.2">
      <c r="C20">
        <v>-13568.988600999999</v>
      </c>
      <c r="D20">
        <v>31769.307078000002</v>
      </c>
      <c r="E20">
        <f t="shared" si="8"/>
        <v>-6.7844943004999996</v>
      </c>
      <c r="F20">
        <f t="shared" si="8"/>
        <v>15.884653539</v>
      </c>
      <c r="G20">
        <f t="shared" si="9"/>
        <v>3.1671544845361854</v>
      </c>
      <c r="J20">
        <v>-9277.2976170000002</v>
      </c>
      <c r="K20">
        <v>39948.186921</v>
      </c>
      <c r="L20">
        <f t="shared" si="0"/>
        <v>-4.6386488085000002</v>
      </c>
      <c r="M20">
        <f t="shared" si="1"/>
        <v>19.974093460500001</v>
      </c>
      <c r="N20">
        <f t="shared" si="4"/>
        <v>73.777731222400689</v>
      </c>
      <c r="O20">
        <f t="shared" si="2"/>
        <v>3.6888865611200347E-2</v>
      </c>
      <c r="P20">
        <f>432/2000</f>
        <v>0.216</v>
      </c>
      <c r="Q20">
        <f t="shared" si="3"/>
        <v>3.5597755314808337</v>
      </c>
    </row>
    <row r="21" spans="2:17" x14ac:dyDescent="0.2">
      <c r="C21">
        <v>-13569.464606</v>
      </c>
      <c r="D21">
        <v>31768.111099000002</v>
      </c>
      <c r="E21">
        <f t="shared" si="8"/>
        <v>-6.7847323030000002</v>
      </c>
      <c r="F21">
        <f t="shared" si="8"/>
        <v>15.884055549500001</v>
      </c>
      <c r="G21">
        <f t="shared" si="9"/>
        <v>3.1671147407484983</v>
      </c>
      <c r="J21">
        <v>-9301.0211340000005</v>
      </c>
      <c r="K21">
        <v>39859.099027999997</v>
      </c>
      <c r="L21">
        <f t="shared" si="0"/>
        <v>-4.6505105670000004</v>
      </c>
      <c r="M21">
        <f t="shared" si="1"/>
        <v>19.929549513999998</v>
      </c>
      <c r="N21">
        <f t="shared" si="4"/>
        <v>74.265494174951527</v>
      </c>
      <c r="O21">
        <f t="shared" si="2"/>
        <v>3.7132747087475763E-2</v>
      </c>
      <c r="P21">
        <f>441/2000</f>
        <v>0.2205</v>
      </c>
      <c r="Q21">
        <f t="shared" si="3"/>
        <v>3.5833100939414111</v>
      </c>
    </row>
    <row r="22" spans="2:17" x14ac:dyDescent="0.2">
      <c r="C22">
        <v>-13569.207472</v>
      </c>
      <c r="D22">
        <v>31768.742491000001</v>
      </c>
      <c r="E22">
        <f t="shared" si="8"/>
        <v>-6.7846037360000002</v>
      </c>
      <c r="F22">
        <f t="shared" si="8"/>
        <v>15.884371245500001</v>
      </c>
      <c r="G22">
        <f t="shared" si="9"/>
        <v>3.1671357227709667</v>
      </c>
      <c r="I22">
        <v>0.23</v>
      </c>
      <c r="J22">
        <v>-9305.3766699999996</v>
      </c>
      <c r="K22">
        <v>39837.696408000003</v>
      </c>
      <c r="L22">
        <f t="shared" si="0"/>
        <v>-4.6526883349999997</v>
      </c>
      <c r="M22">
        <f t="shared" si="1"/>
        <v>19.918848204000003</v>
      </c>
      <c r="N22">
        <f t="shared" si="4"/>
        <v>72.600100391902743</v>
      </c>
      <c r="O22">
        <f t="shared" si="2"/>
        <v>3.6300050195951374E-2</v>
      </c>
      <c r="P22">
        <f>442/2000</f>
        <v>0.221</v>
      </c>
      <c r="Q22">
        <f t="shared" si="3"/>
        <v>3.5029548439093077</v>
      </c>
    </row>
    <row r="23" spans="2:17" x14ac:dyDescent="0.2">
      <c r="C23">
        <v>-13569.322999</v>
      </c>
      <c r="D23">
        <v>31768.656502000002</v>
      </c>
      <c r="E23">
        <f t="shared" si="8"/>
        <v>-6.7846614995000003</v>
      </c>
      <c r="F23">
        <f t="shared" si="8"/>
        <v>15.884328251000001</v>
      </c>
      <c r="G23">
        <f t="shared" si="9"/>
        <v>3.1671328652548674</v>
      </c>
      <c r="J23">
        <v>-9312.0664280000001</v>
      </c>
      <c r="K23">
        <v>39830.365754999999</v>
      </c>
      <c r="L23">
        <f t="shared" si="0"/>
        <v>-4.6560332139999998</v>
      </c>
      <c r="M23">
        <f t="shared" si="1"/>
        <v>19.915182877499998</v>
      </c>
      <c r="N23">
        <f t="shared" si="4"/>
        <v>73.98076904275149</v>
      </c>
      <c r="O23">
        <f t="shared" si="2"/>
        <v>3.6990384521375742E-2</v>
      </c>
      <c r="P23">
        <f>445/2000</f>
        <v>0.2225</v>
      </c>
      <c r="Q23">
        <f t="shared" si="3"/>
        <v>3.569572106312759</v>
      </c>
    </row>
    <row r="24" spans="2:17" x14ac:dyDescent="0.2">
      <c r="C24">
        <v>-13569.072260000001</v>
      </c>
      <c r="D24">
        <v>31769.060559000001</v>
      </c>
      <c r="E24">
        <f t="shared" si="8"/>
        <v>-6.7845361300000002</v>
      </c>
      <c r="F24">
        <f t="shared" si="8"/>
        <v>15.8845302795</v>
      </c>
      <c r="G24">
        <f t="shared" si="9"/>
        <v>3.1671462925017169</v>
      </c>
      <c r="J24">
        <v>-9314.6166209999992</v>
      </c>
      <c r="K24">
        <v>39825.677151000004</v>
      </c>
      <c r="L24">
        <f t="shared" si="0"/>
        <v>-4.6573083104999995</v>
      </c>
      <c r="M24">
        <f t="shared" si="1"/>
        <v>19.9128385755</v>
      </c>
      <c r="N24">
        <f t="shared" si="4"/>
        <v>76.810860476651214</v>
      </c>
      <c r="O24">
        <f t="shared" si="2"/>
        <v>3.8405430238325607E-2</v>
      </c>
      <c r="P24">
        <f>447/2000</f>
        <v>0.2235</v>
      </c>
      <c r="Q24">
        <f t="shared" si="3"/>
        <v>3.7061240179984209</v>
      </c>
    </row>
    <row r="25" spans="2:17" x14ac:dyDescent="0.2">
      <c r="C25">
        <v>-13569.156985</v>
      </c>
      <c r="D25">
        <v>31769.396076000001</v>
      </c>
      <c r="E25">
        <f t="shared" si="8"/>
        <v>-6.7845784924999997</v>
      </c>
      <c r="F25">
        <f t="shared" si="8"/>
        <v>15.884698038</v>
      </c>
      <c r="G25">
        <f t="shared" si="9"/>
        <v>3.1671574420044415</v>
      </c>
      <c r="J25">
        <v>-9319.2732959999994</v>
      </c>
      <c r="K25">
        <v>39828.650259000002</v>
      </c>
      <c r="L25">
        <f t="shared" si="0"/>
        <v>-4.6596366479999993</v>
      </c>
      <c r="M25">
        <f t="shared" si="1"/>
        <v>19.9143251295</v>
      </c>
      <c r="N25">
        <f t="shared" si="4"/>
        <v>74.844327693601372</v>
      </c>
      <c r="O25">
        <f t="shared" si="2"/>
        <v>3.7422163846800686E-2</v>
      </c>
      <c r="P25">
        <f>448/2000</f>
        <v>0.224</v>
      </c>
      <c r="Q25">
        <f t="shared" si="3"/>
        <v>3.6112388112162663</v>
      </c>
    </row>
    <row r="26" spans="2:17" x14ac:dyDescent="0.2">
      <c r="C26">
        <v>-13569.499760999999</v>
      </c>
      <c r="D26">
        <v>31768.017091000002</v>
      </c>
      <c r="E26">
        <f t="shared" si="8"/>
        <v>-6.7847498804999997</v>
      </c>
      <c r="F26">
        <f t="shared" si="8"/>
        <v>15.8840085455</v>
      </c>
      <c r="G26">
        <f t="shared" si="9"/>
        <v>3.1671116167098954</v>
      </c>
      <c r="J26">
        <v>-9335.7422600000009</v>
      </c>
      <c r="K26">
        <v>39778.442824999998</v>
      </c>
      <c r="L26">
        <f t="shared" si="0"/>
        <v>-4.6678711300000009</v>
      </c>
      <c r="M26">
        <f t="shared" si="1"/>
        <v>19.8892214125</v>
      </c>
      <c r="N26">
        <f t="shared" si="4"/>
        <v>77.206359212250391</v>
      </c>
      <c r="O26">
        <f t="shared" si="2"/>
        <v>3.8603179606125193E-2</v>
      </c>
      <c r="P26">
        <f>455/2000</f>
        <v>0.22750000000000001</v>
      </c>
      <c r="Q26">
        <f t="shared" si="3"/>
        <v>3.7252068319910809</v>
      </c>
    </row>
    <row r="27" spans="2:17" x14ac:dyDescent="0.2">
      <c r="C27">
        <v>-13569.004891</v>
      </c>
      <c r="D27">
        <v>31769.677073999999</v>
      </c>
      <c r="E27">
        <f t="shared" si="8"/>
        <v>-6.7845024455000003</v>
      </c>
      <c r="F27">
        <f t="shared" si="8"/>
        <v>15.884838537</v>
      </c>
      <c r="G27">
        <f t="shared" si="9"/>
        <v>3.1671667797360628</v>
      </c>
      <c r="J27">
        <v>-9351.5403659999993</v>
      </c>
      <c r="K27">
        <v>39733.452369999999</v>
      </c>
      <c r="L27">
        <f t="shared" si="0"/>
        <v>-4.675770183</v>
      </c>
      <c r="M27">
        <f t="shared" si="1"/>
        <v>19.866726185000001</v>
      </c>
      <c r="N27">
        <f t="shared" si="4"/>
        <v>80.239248730902546</v>
      </c>
      <c r="O27">
        <f t="shared" si="2"/>
        <v>4.0119624365451273E-2</v>
      </c>
      <c r="P27">
        <f>462/2000</f>
        <v>0.23100000000000001</v>
      </c>
      <c r="Q27">
        <f t="shared" si="3"/>
        <v>3.871543751266048</v>
      </c>
    </row>
    <row r="28" spans="2:17" x14ac:dyDescent="0.2">
      <c r="C28">
        <f>AVERAGE(C18:C27)</f>
        <v>-13569.2183444</v>
      </c>
      <c r="D28">
        <f>AVERAGE(D18:D27)</f>
        <v>31768.857668000001</v>
      </c>
      <c r="E28">
        <f t="shared" ref="E28:G28" si="10">AVERAGE(E18:E27)</f>
        <v>-6.7846091721999997</v>
      </c>
      <c r="F28">
        <f t="shared" si="10"/>
        <v>15.884428834000001</v>
      </c>
      <c r="G28">
        <f t="shared" si="10"/>
        <v>3.167139550142577</v>
      </c>
      <c r="J28">
        <v>-9418.0426599999992</v>
      </c>
      <c r="K28">
        <v>39566.009413</v>
      </c>
      <c r="L28">
        <f t="shared" si="0"/>
        <v>-4.7090213299999997</v>
      </c>
      <c r="M28">
        <f t="shared" si="1"/>
        <v>19.783004706500002</v>
      </c>
      <c r="N28">
        <f t="shared" si="4"/>
        <v>78.300367937701594</v>
      </c>
      <c r="O28">
        <f t="shared" si="2"/>
        <v>3.9150183968850796E-2</v>
      </c>
      <c r="P28">
        <f>486/2000</f>
        <v>0.24299999999999999</v>
      </c>
      <c r="Q28">
        <f t="shared" si="3"/>
        <v>3.777992752994102</v>
      </c>
    </row>
    <row r="29" spans="2:17" x14ac:dyDescent="0.2">
      <c r="I29">
        <v>0.31</v>
      </c>
      <c r="J29">
        <v>-9652.5731309999992</v>
      </c>
      <c r="K29">
        <v>38989.781895</v>
      </c>
      <c r="L29">
        <f t="shared" si="0"/>
        <v>-4.8262865654999993</v>
      </c>
      <c r="M29">
        <f t="shared" si="1"/>
        <v>19.4948909475</v>
      </c>
      <c r="N29">
        <f t="shared" si="4"/>
        <v>91.262980897101443</v>
      </c>
      <c r="O29">
        <f t="shared" si="2"/>
        <v>4.5631490448550721E-2</v>
      </c>
      <c r="P29">
        <f>578/2000</f>
        <v>0.28899999999999998</v>
      </c>
      <c r="Q29">
        <f t="shared" si="3"/>
        <v>4.4034388282851449</v>
      </c>
    </row>
    <row r="30" spans="2:17" x14ac:dyDescent="0.2">
      <c r="J30">
        <v>-9650.6845109999995</v>
      </c>
      <c r="K30">
        <v>39029.984709999997</v>
      </c>
      <c r="L30">
        <f t="shared" si="0"/>
        <v>-4.8253422554999998</v>
      </c>
      <c r="M30">
        <f t="shared" si="1"/>
        <v>19.514992354999997</v>
      </c>
      <c r="N30">
        <f t="shared" si="4"/>
        <v>95.841743114049677</v>
      </c>
      <c r="O30">
        <f t="shared" si="2"/>
        <v>4.792087155702484E-2</v>
      </c>
      <c r="P30">
        <f>579/2000</f>
        <v>0.28949999999999998</v>
      </c>
      <c r="Q30">
        <f t="shared" si="3"/>
        <v>4.624364105252897</v>
      </c>
    </row>
    <row r="31" spans="2:17" x14ac:dyDescent="0.2">
      <c r="J31">
        <v>-9688.7434919999996</v>
      </c>
      <c r="K31">
        <v>38928.571069999998</v>
      </c>
      <c r="L31">
        <f t="shared" si="0"/>
        <v>-4.8443717460000002</v>
      </c>
      <c r="M31">
        <f t="shared" si="1"/>
        <v>19.464285534999998</v>
      </c>
      <c r="N31">
        <f t="shared" si="4"/>
        <v>95.444753151352415</v>
      </c>
      <c r="O31">
        <f t="shared" si="2"/>
        <v>4.7722376575676205E-2</v>
      </c>
      <c r="P31">
        <f>593/2000</f>
        <v>0.29649999999999999</v>
      </c>
      <c r="Q31">
        <f t="shared" si="3"/>
        <v>4.6052093395527534</v>
      </c>
    </row>
    <row r="32" spans="2:17" x14ac:dyDescent="0.2">
      <c r="J32">
        <v>-9694.6748950000001</v>
      </c>
      <c r="K32">
        <v>38913.487393000003</v>
      </c>
      <c r="L32">
        <f t="shared" si="0"/>
        <v>-4.8473374475000002</v>
      </c>
      <c r="M32">
        <f t="shared" si="1"/>
        <v>19.456743696500002</v>
      </c>
      <c r="N32">
        <f t="shared" si="4"/>
        <v>92.203492368300431</v>
      </c>
      <c r="O32">
        <f t="shared" si="2"/>
        <v>4.6101746184150215E-2</v>
      </c>
      <c r="P32">
        <f>594/2000</f>
        <v>0.29699999999999999</v>
      </c>
      <c r="Q32">
        <f t="shared" si="3"/>
        <v>4.448818506770496</v>
      </c>
    </row>
    <row r="33" spans="9:17" x14ac:dyDescent="0.2">
      <c r="J33">
        <v>-9730.067266</v>
      </c>
      <c r="K33">
        <v>38822.968276</v>
      </c>
      <c r="L33">
        <f t="shared" si="0"/>
        <v>-4.8650336330000004</v>
      </c>
      <c r="M33">
        <f t="shared" si="1"/>
        <v>19.411484137999999</v>
      </c>
      <c r="N33">
        <f t="shared" si="4"/>
        <v>94.473112405601569</v>
      </c>
      <c r="O33">
        <f t="shared" si="2"/>
        <v>4.7236556202800782E-2</v>
      </c>
      <c r="P33">
        <f>608/2000</f>
        <v>0.30399999999999999</v>
      </c>
      <c r="Q33">
        <f t="shared" si="3"/>
        <v>4.5583276735702754</v>
      </c>
    </row>
    <row r="34" spans="9:17" x14ac:dyDescent="0.2">
      <c r="J34">
        <v>-9737.6215549999997</v>
      </c>
      <c r="K34">
        <v>38805.354585000001</v>
      </c>
      <c r="L34">
        <f t="shared" si="0"/>
        <v>-4.8688107775000002</v>
      </c>
      <c r="M34">
        <f t="shared" si="1"/>
        <v>19.402677292500002</v>
      </c>
      <c r="N34">
        <f t="shared" si="4"/>
        <v>97.679392273399571</v>
      </c>
      <c r="O34">
        <f t="shared" si="2"/>
        <v>4.8839696136699785E-2</v>
      </c>
      <c r="P34">
        <f>612/2000</f>
        <v>0.30599999999999999</v>
      </c>
      <c r="Q34">
        <f t="shared" si="3"/>
        <v>4.7130306771915293</v>
      </c>
    </row>
    <row r="35" spans="9:17" x14ac:dyDescent="0.2">
      <c r="J35">
        <v>-9738.8687890000001</v>
      </c>
      <c r="K35">
        <v>38811.295254999997</v>
      </c>
      <c r="L35">
        <f t="shared" ref="L35:L69" si="11">J35/2000</f>
        <v>-4.8694343944999998</v>
      </c>
      <c r="M35">
        <f t="shared" ref="M35:M69" si="12">K35/2000</f>
        <v>19.405647627499999</v>
      </c>
      <c r="N35">
        <f t="shared" si="4"/>
        <v>99.122300490351336</v>
      </c>
      <c r="O35">
        <f t="shared" ref="O35:O66" si="13">N35/2000</f>
        <v>4.956115024517567E-2</v>
      </c>
      <c r="P35">
        <f>613/2000</f>
        <v>0.30649999999999999</v>
      </c>
      <c r="Q35">
        <f t="shared" ref="Q35:Q69" si="14">O35*96.5</f>
        <v>4.7826509986594523</v>
      </c>
    </row>
    <row r="36" spans="9:17" x14ac:dyDescent="0.2">
      <c r="J36">
        <v>-9771.4441459999998</v>
      </c>
      <c r="K36">
        <v>38738.906336</v>
      </c>
      <c r="L36">
        <f t="shared" si="11"/>
        <v>-4.8857220730000002</v>
      </c>
      <c r="M36">
        <f t="shared" si="12"/>
        <v>19.369453168</v>
      </c>
      <c r="N36">
        <f t="shared" ref="N36:N68" si="15">J36-2000*(P36*$E$28+(1-P36)*E$14)</f>
        <v>98.828650093750184</v>
      </c>
      <c r="O36">
        <f t="shared" si="13"/>
        <v>4.9414325046875089E-2</v>
      </c>
      <c r="P36">
        <f>625/2000</f>
        <v>0.3125</v>
      </c>
      <c r="Q36">
        <f t="shared" si="14"/>
        <v>4.768482367023446</v>
      </c>
    </row>
    <row r="37" spans="9:17" x14ac:dyDescent="0.2">
      <c r="J37">
        <v>-9771.4748999999993</v>
      </c>
      <c r="K37">
        <v>38738.756253</v>
      </c>
      <c r="L37">
        <f t="shared" si="11"/>
        <v>-4.8857374499999997</v>
      </c>
      <c r="M37">
        <f t="shared" si="12"/>
        <v>19.369378126499999</v>
      </c>
      <c r="N37">
        <f t="shared" si="15"/>
        <v>104.17818052765142</v>
      </c>
      <c r="O37">
        <f t="shared" si="13"/>
        <v>5.2089090263825709E-2</v>
      </c>
      <c r="P37">
        <f>627/2000</f>
        <v>0.3135</v>
      </c>
      <c r="Q37">
        <f t="shared" si="14"/>
        <v>5.0265972104591805</v>
      </c>
    </row>
    <row r="38" spans="9:17" x14ac:dyDescent="0.2">
      <c r="J38">
        <v>-9771.3905070000001</v>
      </c>
      <c r="K38">
        <v>38728.369314000003</v>
      </c>
      <c r="L38">
        <f t="shared" si="11"/>
        <v>-4.8856952534999998</v>
      </c>
      <c r="M38">
        <f t="shared" si="12"/>
        <v>19.364184657000003</v>
      </c>
      <c r="N38">
        <f t="shared" si="15"/>
        <v>104.2625735276506</v>
      </c>
      <c r="O38">
        <f t="shared" si="13"/>
        <v>5.2131286763825301E-2</v>
      </c>
      <c r="P38">
        <f>627/2000</f>
        <v>0.3135</v>
      </c>
      <c r="Q38">
        <f t="shared" si="14"/>
        <v>5.0306691727091417</v>
      </c>
    </row>
    <row r="39" spans="9:17" x14ac:dyDescent="0.2">
      <c r="J39">
        <v>-10104.549171000001</v>
      </c>
      <c r="K39">
        <v>38008.128174999998</v>
      </c>
      <c r="L39">
        <f t="shared" si="11"/>
        <v>-5.0522745855000002</v>
      </c>
      <c r="M39">
        <f t="shared" si="12"/>
        <v>19.004064087499998</v>
      </c>
      <c r="N39">
        <f t="shared" si="15"/>
        <v>118.13225551419964</v>
      </c>
      <c r="O39">
        <f t="shared" si="13"/>
        <v>5.9066127757099823E-2</v>
      </c>
      <c r="P39">
        <f>756/2000</f>
        <v>0.378</v>
      </c>
      <c r="Q39">
        <f t="shared" si="14"/>
        <v>5.6998813285601333</v>
      </c>
    </row>
    <row r="40" spans="9:17" x14ac:dyDescent="0.2">
      <c r="I40">
        <v>0.4</v>
      </c>
      <c r="J40">
        <v>-10162.565331</v>
      </c>
      <c r="K40">
        <v>37884.197719000003</v>
      </c>
      <c r="L40">
        <f t="shared" si="11"/>
        <v>-5.0812826654999999</v>
      </c>
      <c r="M40">
        <f t="shared" si="12"/>
        <v>18.942098859500003</v>
      </c>
      <c r="N40">
        <f t="shared" si="15"/>
        <v>116.60908207015018</v>
      </c>
      <c r="O40">
        <f t="shared" si="13"/>
        <v>5.830454103507509E-2</v>
      </c>
      <c r="P40">
        <f>777/2000</f>
        <v>0.38850000000000001</v>
      </c>
      <c r="Q40">
        <f t="shared" si="14"/>
        <v>5.6263882098847464</v>
      </c>
    </row>
    <row r="41" spans="9:17" x14ac:dyDescent="0.2">
      <c r="J41">
        <v>-10168.047855999999</v>
      </c>
      <c r="K41">
        <v>37882.555214</v>
      </c>
      <c r="L41">
        <f t="shared" si="11"/>
        <v>-5.0840239279999997</v>
      </c>
      <c r="M41">
        <f t="shared" si="12"/>
        <v>18.941277607</v>
      </c>
      <c r="N41">
        <f t="shared" si="15"/>
        <v>121.88712593795026</v>
      </c>
      <c r="O41">
        <f t="shared" si="13"/>
        <v>6.0943562968975129E-2</v>
      </c>
      <c r="P41">
        <f>781/2000</f>
        <v>0.39050000000000001</v>
      </c>
      <c r="Q41">
        <f t="shared" si="14"/>
        <v>5.8810538265060996</v>
      </c>
    </row>
    <row r="42" spans="9:17" x14ac:dyDescent="0.2">
      <c r="J42">
        <v>-10184.670545000001</v>
      </c>
      <c r="K42">
        <v>37837.792635999998</v>
      </c>
      <c r="L42">
        <f t="shared" si="11"/>
        <v>-5.0923352725000006</v>
      </c>
      <c r="M42">
        <f t="shared" si="12"/>
        <v>18.918896317999998</v>
      </c>
      <c r="N42">
        <f t="shared" si="15"/>
        <v>124.09543245660097</v>
      </c>
      <c r="O42">
        <f t="shared" si="13"/>
        <v>6.2047716228300485E-2</v>
      </c>
      <c r="P42">
        <f>788/2000</f>
        <v>0.39400000000000002</v>
      </c>
      <c r="Q42">
        <f t="shared" si="14"/>
        <v>5.987604616030997</v>
      </c>
    </row>
    <row r="43" spans="9:17" x14ac:dyDescent="0.2">
      <c r="J43">
        <v>-10219.173403000001</v>
      </c>
      <c r="K43">
        <v>37792.360364</v>
      </c>
      <c r="L43">
        <f t="shared" si="11"/>
        <v>-5.1095867015000005</v>
      </c>
      <c r="M43">
        <f t="shared" si="12"/>
        <v>18.896180181999998</v>
      </c>
      <c r="N43">
        <f t="shared" si="15"/>
        <v>132.63484992779922</v>
      </c>
      <c r="O43">
        <f t="shared" si="13"/>
        <v>6.6317424963899613E-2</v>
      </c>
      <c r="P43">
        <f>804/2000</f>
        <v>0.40200000000000002</v>
      </c>
      <c r="Q43">
        <f t="shared" si="14"/>
        <v>6.3996315090163129</v>
      </c>
    </row>
    <row r="44" spans="9:17" x14ac:dyDescent="0.2">
      <c r="J44">
        <v>-10594.098282000001</v>
      </c>
      <c r="K44">
        <v>37062.550574000001</v>
      </c>
      <c r="L44">
        <f t="shared" si="11"/>
        <v>-5.2970491410000005</v>
      </c>
      <c r="M44">
        <f t="shared" si="12"/>
        <v>18.531275287</v>
      </c>
      <c r="N44">
        <f t="shared" si="15"/>
        <v>147.78059238555034</v>
      </c>
      <c r="O44">
        <f t="shared" si="13"/>
        <v>7.3890296192775165E-2</v>
      </c>
      <c r="P44">
        <f>949/2000</f>
        <v>0.47449999999999998</v>
      </c>
      <c r="Q44">
        <f t="shared" si="14"/>
        <v>7.1304135826028032</v>
      </c>
    </row>
    <row r="45" spans="9:17" x14ac:dyDescent="0.2">
      <c r="J45">
        <v>-10686.204334</v>
      </c>
      <c r="K45">
        <v>36872.959370999997</v>
      </c>
      <c r="L45">
        <f t="shared" si="11"/>
        <v>-5.3431021669999996</v>
      </c>
      <c r="M45">
        <f t="shared" si="12"/>
        <v>18.4364796855</v>
      </c>
      <c r="N45">
        <f t="shared" si="15"/>
        <v>155.20980241270263</v>
      </c>
      <c r="O45">
        <f t="shared" si="13"/>
        <v>7.7604901206351315E-2</v>
      </c>
      <c r="P45">
        <f>986/2000</f>
        <v>0.49299999999999999</v>
      </c>
      <c r="Q45">
        <f t="shared" si="14"/>
        <v>7.4888729664129015</v>
      </c>
    </row>
    <row r="46" spans="9:17" x14ac:dyDescent="0.2">
      <c r="J46">
        <v>-10697.058487</v>
      </c>
      <c r="K46">
        <v>36864.367011000002</v>
      </c>
      <c r="L46">
        <f t="shared" si="11"/>
        <v>-5.3485292434999998</v>
      </c>
      <c r="M46">
        <f t="shared" si="12"/>
        <v>18.432183505499999</v>
      </c>
      <c r="N46">
        <f t="shared" si="15"/>
        <v>147.04579162965092</v>
      </c>
      <c r="O46">
        <f t="shared" si="13"/>
        <v>7.3522895814825462E-2</v>
      </c>
      <c r="P46">
        <f>987/2000</f>
        <v>0.49349999999999999</v>
      </c>
      <c r="Q46">
        <f t="shared" si="14"/>
        <v>7.0949594461306571</v>
      </c>
    </row>
    <row r="47" spans="9:17" x14ac:dyDescent="0.2">
      <c r="J47">
        <v>-10689.980437</v>
      </c>
      <c r="K47">
        <v>36887.371299999999</v>
      </c>
      <c r="L47">
        <f t="shared" si="11"/>
        <v>-5.3449902185000004</v>
      </c>
      <c r="M47">
        <f t="shared" si="12"/>
        <v>18.443685649999999</v>
      </c>
      <c r="N47">
        <f t="shared" si="15"/>
        <v>156.81398384659951</v>
      </c>
      <c r="O47">
        <f t="shared" si="13"/>
        <v>7.8406991923299751E-2</v>
      </c>
      <c r="P47">
        <f>988/2000</f>
        <v>0.49399999999999999</v>
      </c>
      <c r="Q47">
        <f t="shared" si="14"/>
        <v>7.5662747205984262</v>
      </c>
    </row>
    <row r="48" spans="9:17" x14ac:dyDescent="0.2">
      <c r="I48">
        <v>0.5</v>
      </c>
      <c r="J48">
        <v>-10738.195823</v>
      </c>
      <c r="K48">
        <v>36788.452696</v>
      </c>
      <c r="L48">
        <f t="shared" si="11"/>
        <v>-5.3690979114999999</v>
      </c>
      <c r="M48">
        <f t="shared" si="12"/>
        <v>18.394226348</v>
      </c>
      <c r="N48">
        <f t="shared" si="15"/>
        <v>146.26058888389889</v>
      </c>
      <c r="O48">
        <f t="shared" si="13"/>
        <v>7.3130294441949448E-2</v>
      </c>
      <c r="P48">
        <f>1002/2000</f>
        <v>0.501</v>
      </c>
      <c r="Q48">
        <f t="shared" si="14"/>
        <v>7.0570734136481219</v>
      </c>
    </row>
    <row r="49" spans="9:17" x14ac:dyDescent="0.2">
      <c r="J49">
        <v>-11086.532821999999</v>
      </c>
      <c r="K49">
        <v>36171.438864000003</v>
      </c>
      <c r="L49">
        <f t="shared" si="11"/>
        <v>-5.5432664109999994</v>
      </c>
      <c r="M49">
        <f t="shared" si="12"/>
        <v>18.085719432000001</v>
      </c>
      <c r="N49">
        <f t="shared" si="15"/>
        <v>174.5435002569011</v>
      </c>
      <c r="O49">
        <f t="shared" si="13"/>
        <v>8.7271750128450551E-2</v>
      </c>
      <c r="P49">
        <f>1142/2000</f>
        <v>0.57099999999999995</v>
      </c>
      <c r="Q49">
        <f t="shared" si="14"/>
        <v>8.4217238873954781</v>
      </c>
    </row>
    <row r="50" spans="9:17" x14ac:dyDescent="0.2">
      <c r="J50">
        <v>-11196.206011</v>
      </c>
      <c r="K50">
        <v>35971.962999000003</v>
      </c>
      <c r="L50">
        <f t="shared" si="11"/>
        <v>-5.5981030055000005</v>
      </c>
      <c r="M50">
        <f t="shared" si="12"/>
        <v>17.985981499500003</v>
      </c>
      <c r="N50">
        <f t="shared" si="15"/>
        <v>180.54642658574994</v>
      </c>
      <c r="O50">
        <f t="shared" si="13"/>
        <v>9.0273213292874965E-2</v>
      </c>
      <c r="P50">
        <f>1185/2000</f>
        <v>0.59250000000000003</v>
      </c>
      <c r="Q50">
        <f t="shared" si="14"/>
        <v>8.711365082762434</v>
      </c>
    </row>
    <row r="51" spans="9:17" x14ac:dyDescent="0.2">
      <c r="J51">
        <v>-11223.842283</v>
      </c>
      <c r="K51">
        <v>35914.174738000002</v>
      </c>
      <c r="L51">
        <f t="shared" si="11"/>
        <v>-5.6119211414999999</v>
      </c>
      <c r="M51">
        <f t="shared" si="12"/>
        <v>17.957087369</v>
      </c>
      <c r="N51">
        <f t="shared" si="15"/>
        <v>171.74115010440073</v>
      </c>
      <c r="O51">
        <f t="shared" si="13"/>
        <v>8.587057505220036E-2</v>
      </c>
      <c r="P51">
        <f>1192/2000</f>
        <v>0.59599999999999997</v>
      </c>
      <c r="Q51">
        <f t="shared" si="14"/>
        <v>8.2865104925373352</v>
      </c>
    </row>
    <row r="52" spans="9:17" x14ac:dyDescent="0.2">
      <c r="I52">
        <v>0.6</v>
      </c>
      <c r="J52">
        <v>-11236.615596</v>
      </c>
      <c r="K52">
        <v>35917.663983999999</v>
      </c>
      <c r="L52">
        <f t="shared" si="11"/>
        <v>-5.618307798</v>
      </c>
      <c r="M52">
        <f t="shared" si="12"/>
        <v>17.958831992</v>
      </c>
      <c r="N52">
        <f t="shared" si="15"/>
        <v>177.79883262305157</v>
      </c>
      <c r="O52">
        <f t="shared" si="13"/>
        <v>8.8899416311525786E-2</v>
      </c>
      <c r="P52">
        <f>1199/2000</f>
        <v>0.59950000000000003</v>
      </c>
      <c r="Q52">
        <f t="shared" si="14"/>
        <v>8.5787936740622381</v>
      </c>
    </row>
    <row r="53" spans="9:17" x14ac:dyDescent="0.2">
      <c r="J53">
        <v>-11234.545496000001</v>
      </c>
      <c r="K53">
        <v>35894.189813999998</v>
      </c>
      <c r="L53">
        <f t="shared" si="11"/>
        <v>-5.6172727480000004</v>
      </c>
      <c r="M53">
        <f t="shared" si="12"/>
        <v>17.947094907</v>
      </c>
      <c r="N53">
        <f t="shared" si="15"/>
        <v>182.55907483999908</v>
      </c>
      <c r="O53">
        <f t="shared" si="13"/>
        <v>9.1279537419999543E-2</v>
      </c>
      <c r="P53">
        <f>1200/2000</f>
        <v>0.6</v>
      </c>
      <c r="Q53">
        <f t="shared" si="14"/>
        <v>8.8084753610299558</v>
      </c>
    </row>
    <row r="54" spans="9:17" x14ac:dyDescent="0.2">
      <c r="J54">
        <v>-11665.469279000001</v>
      </c>
      <c r="K54">
        <v>35161.150029999997</v>
      </c>
      <c r="L54">
        <f t="shared" si="11"/>
        <v>-5.8327346395000008</v>
      </c>
      <c r="M54">
        <f t="shared" si="12"/>
        <v>17.580575014999997</v>
      </c>
      <c r="N54">
        <f t="shared" si="15"/>
        <v>192.81861541979924</v>
      </c>
      <c r="O54">
        <f t="shared" si="13"/>
        <v>9.6409307709899625E-2</v>
      </c>
      <c r="P54">
        <f>1364/2000</f>
        <v>0.68200000000000005</v>
      </c>
      <c r="Q54">
        <f t="shared" si="14"/>
        <v>9.3034981940053143</v>
      </c>
    </row>
    <row r="55" spans="9:17" x14ac:dyDescent="0.2">
      <c r="J55">
        <v>-11725.938679999999</v>
      </c>
      <c r="K55">
        <v>35052.962202000002</v>
      </c>
      <c r="L55">
        <f t="shared" si="11"/>
        <v>-5.8629693399999994</v>
      </c>
      <c r="M55">
        <f t="shared" si="12"/>
        <v>17.526481101000002</v>
      </c>
      <c r="N55">
        <f t="shared" si="15"/>
        <v>196.91262762659971</v>
      </c>
      <c r="O55">
        <f t="shared" si="13"/>
        <v>9.8456313813299862E-2</v>
      </c>
      <c r="P55">
        <f>1388/2000</f>
        <v>0.69399999999999995</v>
      </c>
      <c r="Q55">
        <f t="shared" si="14"/>
        <v>9.5010342829834364</v>
      </c>
    </row>
    <row r="56" spans="9:17" x14ac:dyDescent="0.2">
      <c r="I56">
        <v>0.7</v>
      </c>
      <c r="J56">
        <v>-11790.221506</v>
      </c>
      <c r="K56">
        <v>34945.406625000003</v>
      </c>
      <c r="L56">
        <f t="shared" si="11"/>
        <v>-5.895110753</v>
      </c>
      <c r="M56">
        <f t="shared" si="12"/>
        <v>17.472703312500002</v>
      </c>
      <c r="N56">
        <f t="shared" si="15"/>
        <v>186.43264596559857</v>
      </c>
      <c r="O56">
        <f t="shared" si="13"/>
        <v>9.3216322982799277E-2</v>
      </c>
      <c r="P56">
        <f>1408/2000</f>
        <v>0.70399999999999996</v>
      </c>
      <c r="Q56">
        <f t="shared" si="14"/>
        <v>8.9953751678401304</v>
      </c>
    </row>
    <row r="57" spans="9:17" x14ac:dyDescent="0.2">
      <c r="J57">
        <v>-11800.344937</v>
      </c>
      <c r="K57">
        <v>34925.461494000003</v>
      </c>
      <c r="L57">
        <f t="shared" si="11"/>
        <v>-5.9001724685000001</v>
      </c>
      <c r="M57">
        <f t="shared" si="12"/>
        <v>17.462730747000002</v>
      </c>
      <c r="N57">
        <f t="shared" si="15"/>
        <v>192.45006826729878</v>
      </c>
      <c r="O57">
        <f t="shared" si="13"/>
        <v>9.6225034133649384E-2</v>
      </c>
      <c r="P57">
        <f>1414/2000</f>
        <v>0.70699999999999996</v>
      </c>
      <c r="Q57">
        <f t="shared" si="14"/>
        <v>9.2857157938971664</v>
      </c>
    </row>
    <row r="58" spans="9:17" x14ac:dyDescent="0.2">
      <c r="J58">
        <v>-11821.528272</v>
      </c>
      <c r="K58">
        <v>34897.583319999998</v>
      </c>
      <c r="L58">
        <f t="shared" si="11"/>
        <v>-5.9107641360000001</v>
      </c>
      <c r="M58">
        <f t="shared" si="12"/>
        <v>17.448791659999998</v>
      </c>
      <c r="N58">
        <f t="shared" si="15"/>
        <v>187.40758656900107</v>
      </c>
      <c r="O58">
        <f t="shared" si="13"/>
        <v>9.3703793284500528E-2</v>
      </c>
      <c r="P58">
        <f>1420/2000</f>
        <v>0.71</v>
      </c>
      <c r="Q58">
        <f t="shared" si="14"/>
        <v>9.0424160519543015</v>
      </c>
    </row>
    <row r="59" spans="9:17" x14ac:dyDescent="0.2">
      <c r="J59">
        <v>-12268.163811</v>
      </c>
      <c r="K59">
        <v>34106.767433000001</v>
      </c>
      <c r="L59">
        <f t="shared" si="11"/>
        <v>-6.1340819055000004</v>
      </c>
      <c r="M59">
        <f t="shared" si="12"/>
        <v>17.053383716500001</v>
      </c>
      <c r="N59">
        <f t="shared" si="15"/>
        <v>184.64551336575096</v>
      </c>
      <c r="O59">
        <f t="shared" si="13"/>
        <v>9.2322756682875484E-2</v>
      </c>
      <c r="P59">
        <f>1585/2000</f>
        <v>0.79249999999999998</v>
      </c>
      <c r="Q59">
        <f t="shared" si="14"/>
        <v>8.9091460198974843</v>
      </c>
    </row>
    <row r="60" spans="9:17" x14ac:dyDescent="0.2">
      <c r="J60">
        <v>-12272.822758</v>
      </c>
      <c r="K60">
        <v>34078.465303999998</v>
      </c>
      <c r="L60">
        <f t="shared" si="11"/>
        <v>-6.1364113790000001</v>
      </c>
      <c r="M60">
        <f t="shared" si="12"/>
        <v>17.039232651999999</v>
      </c>
      <c r="N60">
        <f t="shared" si="15"/>
        <v>185.36685079964991</v>
      </c>
      <c r="O60">
        <f t="shared" si="13"/>
        <v>9.2683425399824951E-2</v>
      </c>
      <c r="P60">
        <f>1587/2000</f>
        <v>0.79349999999999998</v>
      </c>
      <c r="Q60">
        <f t="shared" si="14"/>
        <v>8.9439505510831072</v>
      </c>
    </row>
    <row r="61" spans="9:17" x14ac:dyDescent="0.2">
      <c r="I61">
        <v>0.8</v>
      </c>
      <c r="J61">
        <v>-12347.566133</v>
      </c>
      <c r="K61">
        <v>33983.986534000003</v>
      </c>
      <c r="L61">
        <f t="shared" si="11"/>
        <v>-6.1737830665000004</v>
      </c>
      <c r="M61">
        <f t="shared" si="12"/>
        <v>16.991993267000002</v>
      </c>
      <c r="N61">
        <f t="shared" si="15"/>
        <v>169.80660457254999</v>
      </c>
      <c r="O61">
        <f t="shared" si="13"/>
        <v>8.490330228627499E-2</v>
      </c>
      <c r="P61">
        <f>1609/2000</f>
        <v>0.80449999999999999</v>
      </c>
      <c r="Q61">
        <f t="shared" si="14"/>
        <v>8.1931686706255373</v>
      </c>
    </row>
    <row r="62" spans="9:17" x14ac:dyDescent="0.2">
      <c r="J62">
        <v>-12350.676942</v>
      </c>
      <c r="K62">
        <v>33960.162626999998</v>
      </c>
      <c r="L62">
        <f t="shared" si="11"/>
        <v>-6.1753384709999999</v>
      </c>
      <c r="M62">
        <f t="shared" si="12"/>
        <v>16.980081313499998</v>
      </c>
      <c r="N62">
        <f t="shared" si="15"/>
        <v>174.76622222339938</v>
      </c>
      <c r="O62">
        <f t="shared" si="13"/>
        <v>8.7383111111699691E-2</v>
      </c>
      <c r="P62">
        <f>1612/2000</f>
        <v>0.80600000000000005</v>
      </c>
      <c r="Q62">
        <f t="shared" si="14"/>
        <v>8.4324702222790204</v>
      </c>
    </row>
    <row r="63" spans="9:17" x14ac:dyDescent="0.2">
      <c r="J63">
        <v>-12383.144963999999</v>
      </c>
      <c r="K63">
        <v>33930.767628000001</v>
      </c>
      <c r="L63">
        <f t="shared" si="11"/>
        <v>-6.1915724819999998</v>
      </c>
      <c r="M63">
        <f t="shared" si="12"/>
        <v>16.965383813999999</v>
      </c>
      <c r="N63">
        <f t="shared" si="15"/>
        <v>171.88976460985214</v>
      </c>
      <c r="O63">
        <f t="shared" si="13"/>
        <v>8.5944882304926071E-2</v>
      </c>
      <c r="P63">
        <f>1623/2000</f>
        <v>0.8115</v>
      </c>
      <c r="Q63">
        <f t="shared" si="14"/>
        <v>8.2936811424253651</v>
      </c>
    </row>
    <row r="64" spans="9:17" x14ac:dyDescent="0.2">
      <c r="J64">
        <v>-12855.720359000001</v>
      </c>
      <c r="K64">
        <v>33055.811231</v>
      </c>
      <c r="L64">
        <f t="shared" si="11"/>
        <v>-6.4278601795000005</v>
      </c>
      <c r="M64">
        <f t="shared" si="12"/>
        <v>16.5279056155</v>
      </c>
      <c r="N64">
        <f t="shared" si="15"/>
        <v>132.42726653879799</v>
      </c>
      <c r="O64">
        <f t="shared" si="13"/>
        <v>6.6213633269398997E-2</v>
      </c>
      <c r="P64">
        <f>1784/2000</f>
        <v>0.89200000000000002</v>
      </c>
      <c r="Q64">
        <f t="shared" si="14"/>
        <v>6.3896156104970032</v>
      </c>
    </row>
    <row r="65" spans="9:17" x14ac:dyDescent="0.2">
      <c r="J65">
        <v>-12889.344741000001</v>
      </c>
      <c r="K65">
        <v>32990.084010999999</v>
      </c>
      <c r="L65">
        <f t="shared" si="11"/>
        <v>-6.4446723705000002</v>
      </c>
      <c r="M65">
        <f t="shared" si="12"/>
        <v>16.4950420055</v>
      </c>
      <c r="N65">
        <f t="shared" si="15"/>
        <v>128.39444892524807</v>
      </c>
      <c r="O65">
        <f t="shared" si="13"/>
        <v>6.4197224462624033E-2</v>
      </c>
      <c r="P65">
        <f>1795/2000</f>
        <v>0.89749999999999996</v>
      </c>
      <c r="Q65">
        <f t="shared" si="14"/>
        <v>6.195032160643219</v>
      </c>
    </row>
    <row r="66" spans="9:17" x14ac:dyDescent="0.2">
      <c r="J66">
        <v>-12893.160518999999</v>
      </c>
      <c r="K66">
        <v>32994.296340000001</v>
      </c>
      <c r="L66">
        <f t="shared" si="11"/>
        <v>-6.4465802594999992</v>
      </c>
      <c r="M66">
        <f t="shared" si="12"/>
        <v>16.497148169999999</v>
      </c>
      <c r="N66">
        <f t="shared" si="15"/>
        <v>124.57867092524975</v>
      </c>
      <c r="O66">
        <f t="shared" si="13"/>
        <v>6.2289335462624877E-2</v>
      </c>
      <c r="P66">
        <f>1795/2000</f>
        <v>0.89749999999999996</v>
      </c>
      <c r="Q66">
        <f t="shared" si="14"/>
        <v>6.0109208721433003</v>
      </c>
    </row>
    <row r="67" spans="9:17" x14ac:dyDescent="0.2">
      <c r="J67">
        <v>-12910.712324</v>
      </c>
      <c r="K67">
        <v>32968.006810999999</v>
      </c>
      <c r="L67">
        <f t="shared" si="11"/>
        <v>-6.4553561620000002</v>
      </c>
      <c r="M67">
        <f t="shared" si="12"/>
        <v>16.484003405500001</v>
      </c>
      <c r="N67">
        <f t="shared" si="15"/>
        <v>120.47757701000046</v>
      </c>
      <c r="O67">
        <f t="shared" ref="O67:O69" si="16">N67/2000</f>
        <v>6.0238788505000231E-2</v>
      </c>
      <c r="P67">
        <f>1800/2000</f>
        <v>0.9</v>
      </c>
      <c r="Q67">
        <f t="shared" si="14"/>
        <v>5.8130430907325223</v>
      </c>
    </row>
    <row r="68" spans="9:17" x14ac:dyDescent="0.2">
      <c r="I68">
        <v>0.9</v>
      </c>
      <c r="J68">
        <v>-12926.356100999999</v>
      </c>
      <c r="K68">
        <v>32938.306750999996</v>
      </c>
      <c r="L68">
        <f t="shared" si="11"/>
        <v>-6.4631780504999998</v>
      </c>
      <c r="M68">
        <f t="shared" si="12"/>
        <v>16.469153375499999</v>
      </c>
      <c r="N68">
        <f t="shared" si="15"/>
        <v>118.28451109474918</v>
      </c>
      <c r="O68">
        <f t="shared" si="16"/>
        <v>5.9142255547374588E-2</v>
      </c>
      <c r="P68">
        <f>1805/2000</f>
        <v>0.90249999999999997</v>
      </c>
      <c r="Q68">
        <f t="shared" si="14"/>
        <v>5.7072276603216476</v>
      </c>
    </row>
    <row r="69" spans="9:17" x14ac:dyDescent="0.2">
      <c r="J69">
        <v>-13569.2183444</v>
      </c>
      <c r="K69">
        <v>31768.857668000001</v>
      </c>
      <c r="L69">
        <f t="shared" si="11"/>
        <v>-6.7846091721999997</v>
      </c>
      <c r="M69">
        <f t="shared" si="12"/>
        <v>15.884428833999999</v>
      </c>
      <c r="N69">
        <f>J69-2000*(P69*$E$28+(1-P69)*$E$14)</f>
        <v>0</v>
      </c>
      <c r="O69">
        <f t="shared" si="16"/>
        <v>0</v>
      </c>
      <c r="P69">
        <v>1</v>
      </c>
      <c r="Q69">
        <f t="shared" si="14"/>
        <v>0</v>
      </c>
    </row>
  </sheetData>
  <sortState ref="I3:Q69">
    <sortCondition ref="P3:P69"/>
  </sortState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59"/>
  <sheetViews>
    <sheetView topLeftCell="A3" workbookViewId="0">
      <selection activeCell="T12" sqref="T12"/>
    </sheetView>
  </sheetViews>
  <sheetFormatPr baseColWidth="10" defaultRowHeight="16" x14ac:dyDescent="0.2"/>
  <sheetData>
    <row r="2" spans="2:18" x14ac:dyDescent="0.2">
      <c r="B2" t="s">
        <v>14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>
        <v>600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2:18" x14ac:dyDescent="0.2">
      <c r="B3" t="s">
        <v>12</v>
      </c>
      <c r="C3">
        <v>-8238.3620050000009</v>
      </c>
      <c r="D3">
        <v>43526.614004000003</v>
      </c>
      <c r="E3">
        <f t="shared" ref="E3" si="0">C3/2000</f>
        <v>-4.1191810025000004</v>
      </c>
      <c r="F3">
        <f t="shared" ref="F3" si="1">D3/2000</f>
        <v>21.763307002000001</v>
      </c>
      <c r="K3">
        <v>-8239.7877065999983</v>
      </c>
      <c r="L3">
        <v>43532.753079800001</v>
      </c>
      <c r="M3">
        <f t="shared" ref="M3:N4" si="2">K3/2000</f>
        <v>-4.1198938532999989</v>
      </c>
      <c r="N3">
        <f t="shared" si="2"/>
        <v>21.766376539900001</v>
      </c>
      <c r="O3">
        <f>K3-2000*(Q3*$E$15+(1-Q3)*$E$8)</f>
        <v>0</v>
      </c>
      <c r="P3">
        <f t="shared" ref="P3:P17" si="3">O3/2000</f>
        <v>0</v>
      </c>
      <c r="Q3">
        <v>0</v>
      </c>
      <c r="R3">
        <f t="shared" ref="R3:R59" si="4">P3*96.5</f>
        <v>0</v>
      </c>
    </row>
    <row r="4" spans="2:18" x14ac:dyDescent="0.2">
      <c r="C4">
        <v>-8240.5462210000005</v>
      </c>
      <c r="D4">
        <v>43541.13351</v>
      </c>
      <c r="E4">
        <f t="shared" ref="E4:E7" si="5">C4/2000</f>
        <v>-4.1202731105000003</v>
      </c>
      <c r="F4">
        <f t="shared" ref="F4:F7" si="6">D4/2000</f>
        <v>21.770566755000001</v>
      </c>
      <c r="K4">
        <v>-8493.8273470000004</v>
      </c>
      <c r="L4">
        <v>42415.124993999998</v>
      </c>
      <c r="M4">
        <f t="shared" si="2"/>
        <v>-4.2469136734999999</v>
      </c>
      <c r="N4">
        <f t="shared" si="2"/>
        <v>21.207562496999998</v>
      </c>
      <c r="O4">
        <f>K4-2000*(Q4*$E$15+(1-Q4)*$E$8)</f>
        <v>23.347357096799897</v>
      </c>
      <c r="P4">
        <f t="shared" si="3"/>
        <v>1.1673678548399949E-2</v>
      </c>
      <c r="Q4">
        <f>103/2000</f>
        <v>5.1499999999999997E-2</v>
      </c>
      <c r="R4">
        <f t="shared" si="4"/>
        <v>1.1265099799205951</v>
      </c>
    </row>
    <row r="5" spans="2:18" x14ac:dyDescent="0.2">
      <c r="C5">
        <v>-8240.1334810000008</v>
      </c>
      <c r="D5">
        <v>43532.518059000002</v>
      </c>
      <c r="E5">
        <f t="shared" si="5"/>
        <v>-4.1200667405000004</v>
      </c>
      <c r="F5">
        <f t="shared" si="6"/>
        <v>21.766259029500002</v>
      </c>
      <c r="K5">
        <v>-8489.8232370000005</v>
      </c>
      <c r="L5">
        <v>42423.897379000002</v>
      </c>
      <c r="M5">
        <f t="shared" ref="M5:M8" si="7">K5/2000</f>
        <v>-4.2449116185000006</v>
      </c>
      <c r="N5">
        <f t="shared" ref="N5:N8" si="8">L5/2000</f>
        <v>21.211948689500002</v>
      </c>
      <c r="O5">
        <f t="shared" ref="O5:O17" si="9">K5-2000*(Q5*$E$15+(1-Q5)*$E$8)</f>
        <v>24.658389451202311</v>
      </c>
      <c r="P5">
        <f t="shared" si="3"/>
        <v>1.2329194725601155E-2</v>
      </c>
      <c r="Q5">
        <f>102/2000</f>
        <v>5.0999999999999997E-2</v>
      </c>
      <c r="R5">
        <f t="shared" si="4"/>
        <v>1.1897672910205115</v>
      </c>
    </row>
    <row r="6" spans="2:18" x14ac:dyDescent="0.2">
      <c r="C6">
        <v>-8240.9652659999992</v>
      </c>
      <c r="D6">
        <v>43530.079927999999</v>
      </c>
      <c r="E6">
        <f t="shared" si="5"/>
        <v>-4.120482633</v>
      </c>
      <c r="F6">
        <f t="shared" si="6"/>
        <v>21.765039964</v>
      </c>
      <c r="K6">
        <v>-8519.9554599999992</v>
      </c>
      <c r="L6">
        <v>42291.256602000001</v>
      </c>
      <c r="M6">
        <f t="shared" si="7"/>
        <v>-4.2599777299999992</v>
      </c>
      <c r="N6">
        <f t="shared" si="8"/>
        <v>21.145628301000002</v>
      </c>
      <c r="O6">
        <f t="shared" si="9"/>
        <v>26.843098198400185</v>
      </c>
      <c r="P6">
        <f t="shared" si="3"/>
        <v>1.3421549099200092E-2</v>
      </c>
      <c r="Q6">
        <f>114/2000</f>
        <v>5.7000000000000002E-2</v>
      </c>
      <c r="R6">
        <f t="shared" si="4"/>
        <v>1.2951794880728089</v>
      </c>
    </row>
    <row r="7" spans="2:18" x14ac:dyDescent="0.2">
      <c r="C7">
        <v>-8238.9315600000009</v>
      </c>
      <c r="D7">
        <v>43533.419898</v>
      </c>
      <c r="E7">
        <f t="shared" si="5"/>
        <v>-4.1194657800000005</v>
      </c>
      <c r="F7">
        <f t="shared" si="6"/>
        <v>21.766709948999999</v>
      </c>
      <c r="K7">
        <v>-8427.8756389999999</v>
      </c>
      <c r="L7">
        <v>42695.552467000001</v>
      </c>
      <c r="M7">
        <f t="shared" si="7"/>
        <v>-4.2139378194999999</v>
      </c>
      <c r="N7">
        <f t="shared" si="8"/>
        <v>21.347776233499999</v>
      </c>
      <c r="O7">
        <f t="shared" si="9"/>
        <v>19.279046311203274</v>
      </c>
      <c r="P7">
        <f t="shared" si="3"/>
        <v>9.6395231556016363E-3</v>
      </c>
      <c r="Q7">
        <f>77/2000</f>
        <v>3.85E-2</v>
      </c>
      <c r="R7">
        <f t="shared" si="4"/>
        <v>0.93021398451555792</v>
      </c>
    </row>
    <row r="8" spans="2:18" x14ac:dyDescent="0.2">
      <c r="C8">
        <f>AVERAGE(C3:C7)</f>
        <v>-8239.7877065999983</v>
      </c>
      <c r="D8">
        <f t="shared" ref="D8" si="10">AVERAGE(D3:D7)</f>
        <v>43532.753079800001</v>
      </c>
      <c r="E8">
        <f t="shared" ref="E8" si="11">AVERAGE(E3:E7)</f>
        <v>-4.1198938533000007</v>
      </c>
      <c r="F8">
        <f t="shared" ref="F8" si="12">AVERAGE(F3:F7)</f>
        <v>21.766376539900001</v>
      </c>
      <c r="K8">
        <v>-8460.0654329999998</v>
      </c>
      <c r="L8">
        <v>42534.066508000004</v>
      </c>
      <c r="M8">
        <f t="shared" si="7"/>
        <v>-4.2300327165000002</v>
      </c>
      <c r="N8">
        <f t="shared" si="8"/>
        <v>21.267033254000001</v>
      </c>
      <c r="O8">
        <f t="shared" si="9"/>
        <v>22.099261704001037</v>
      </c>
      <c r="P8">
        <f t="shared" si="3"/>
        <v>1.1049630852000518E-2</v>
      </c>
      <c r="Q8">
        <f>90/2000</f>
        <v>4.4999999999999998E-2</v>
      </c>
      <c r="R8">
        <f t="shared" si="4"/>
        <v>1.0662893772180499</v>
      </c>
    </row>
    <row r="9" spans="2:18" x14ac:dyDescent="0.2">
      <c r="K9">
        <v>-8705.5178360000009</v>
      </c>
      <c r="L9">
        <v>41588.150521000003</v>
      </c>
      <c r="M9">
        <f t="shared" ref="M9:M13" si="13">K9/2000</f>
        <v>-4.3527589180000001</v>
      </c>
      <c r="N9">
        <f t="shared" ref="N9:N13" si="14">L9/2000</f>
        <v>20.794075260500001</v>
      </c>
      <c r="O9">
        <f t="shared" si="9"/>
        <v>37.875390327199057</v>
      </c>
      <c r="P9">
        <f t="shared" si="3"/>
        <v>1.8937695163599527E-2</v>
      </c>
      <c r="Q9">
        <f>187/2000</f>
        <v>9.35E-2</v>
      </c>
      <c r="R9">
        <f t="shared" si="4"/>
        <v>1.8274875832873543</v>
      </c>
    </row>
    <row r="10" spans="2:18" x14ac:dyDescent="0.2">
      <c r="B10" t="s">
        <v>13</v>
      </c>
      <c r="C10">
        <v>-13625.639798</v>
      </c>
      <c r="D10">
        <v>31599.448035000001</v>
      </c>
      <c r="E10">
        <f t="shared" ref="E10:E14" si="15">C10/2000</f>
        <v>-6.812819899</v>
      </c>
      <c r="F10">
        <f t="shared" ref="F10:F14" si="16">D10/2000</f>
        <v>15.799724017500001</v>
      </c>
      <c r="K10">
        <v>-8699.8958469999998</v>
      </c>
      <c r="L10">
        <v>41594.686726</v>
      </c>
      <c r="M10">
        <f t="shared" si="13"/>
        <v>-4.3499479235000003</v>
      </c>
      <c r="N10">
        <f t="shared" si="14"/>
        <v>20.797343363</v>
      </c>
      <c r="O10">
        <f t="shared" si="9"/>
        <v>38.111224036001659</v>
      </c>
      <c r="P10">
        <f t="shared" si="3"/>
        <v>1.905561201800083E-2</v>
      </c>
      <c r="Q10">
        <f>185/2000</f>
        <v>9.2499999999999999E-2</v>
      </c>
      <c r="R10">
        <f t="shared" si="4"/>
        <v>1.8388665597370801</v>
      </c>
    </row>
    <row r="11" spans="2:18" x14ac:dyDescent="0.2">
      <c r="C11">
        <v>-13626.032635</v>
      </c>
      <c r="D11">
        <v>31599.002504</v>
      </c>
      <c r="E11">
        <f t="shared" si="15"/>
        <v>-6.8130163174999998</v>
      </c>
      <c r="F11">
        <f t="shared" si="16"/>
        <v>15.799501252000001</v>
      </c>
      <c r="K11">
        <v>-8724.1084059999994</v>
      </c>
      <c r="L11">
        <v>41509.845970000002</v>
      </c>
      <c r="M11">
        <f t="shared" si="13"/>
        <v>-4.3620542029999996</v>
      </c>
      <c r="N11">
        <f t="shared" si="14"/>
        <v>20.754922985</v>
      </c>
      <c r="O11">
        <f t="shared" si="9"/>
        <v>40.829441492001934</v>
      </c>
      <c r="P11">
        <f t="shared" si="3"/>
        <v>2.0414720746000967E-2</v>
      </c>
      <c r="Q11">
        <f>195/2000</f>
        <v>9.7500000000000003E-2</v>
      </c>
      <c r="R11">
        <f t="shared" si="4"/>
        <v>1.9700205519890932</v>
      </c>
    </row>
    <row r="12" spans="2:18" x14ac:dyDescent="0.2">
      <c r="C12">
        <v>-13625.873693</v>
      </c>
      <c r="D12">
        <v>31599.259749000001</v>
      </c>
      <c r="E12">
        <f t="shared" si="15"/>
        <v>-6.8129368464999995</v>
      </c>
      <c r="F12">
        <f t="shared" si="16"/>
        <v>15.799629874500001</v>
      </c>
      <c r="K12">
        <v>-8728.9267349999991</v>
      </c>
      <c r="L12">
        <v>41497.668414</v>
      </c>
      <c r="M12">
        <f t="shared" si="13"/>
        <v>-4.3644633675</v>
      </c>
      <c r="N12">
        <f t="shared" si="14"/>
        <v>20.748834207000002</v>
      </c>
      <c r="O12">
        <f t="shared" si="9"/>
        <v>41.397267783202551</v>
      </c>
      <c r="P12">
        <f t="shared" si="3"/>
        <v>2.0698633891601276E-2</v>
      </c>
      <c r="Q12">
        <f>197/2000</f>
        <v>9.8500000000000004E-2</v>
      </c>
      <c r="R12">
        <f t="shared" si="4"/>
        <v>1.9974181705395231</v>
      </c>
    </row>
    <row r="13" spans="2:18" x14ac:dyDescent="0.2">
      <c r="C13">
        <v>-13625.989777999999</v>
      </c>
      <c r="D13">
        <v>31598.92756</v>
      </c>
      <c r="E13">
        <f t="shared" si="15"/>
        <v>-6.8129948889999996</v>
      </c>
      <c r="F13">
        <f t="shared" si="16"/>
        <v>15.79946378</v>
      </c>
      <c r="K13">
        <v>-8693.8171419999999</v>
      </c>
      <c r="L13">
        <v>41621.546860000002</v>
      </c>
      <c r="M13">
        <f t="shared" si="13"/>
        <v>-4.3469085710000002</v>
      </c>
      <c r="N13">
        <f t="shared" si="14"/>
        <v>20.810773430000001</v>
      </c>
      <c r="O13">
        <f t="shared" si="9"/>
        <v>38.8037737447994</v>
      </c>
      <c r="P13">
        <f t="shared" si="3"/>
        <v>1.9401886872399701E-2</v>
      </c>
      <c r="Q13">
        <f>183/2000</f>
        <v>9.1499999999999998E-2</v>
      </c>
      <c r="R13">
        <f t="shared" si="4"/>
        <v>1.8722820831865712</v>
      </c>
    </row>
    <row r="14" spans="2:18" x14ac:dyDescent="0.2">
      <c r="C14">
        <v>-13626.179085</v>
      </c>
      <c r="D14">
        <v>31598.483977</v>
      </c>
      <c r="E14">
        <f t="shared" si="15"/>
        <v>-6.8130895425000002</v>
      </c>
      <c r="F14">
        <f t="shared" si="16"/>
        <v>15.7992419885</v>
      </c>
      <c r="K14">
        <v>-8945.1205059999993</v>
      </c>
      <c r="L14">
        <v>40772.303810999998</v>
      </c>
      <c r="M14">
        <f t="shared" ref="M14:M18" si="17">K14/2000</f>
        <v>-4.4725602529999993</v>
      </c>
      <c r="N14">
        <f t="shared" ref="N14:N18" si="18">L14/2000</f>
        <v>20.3861519055</v>
      </c>
      <c r="O14">
        <f t="shared" si="9"/>
        <v>51.42201901360022</v>
      </c>
      <c r="P14">
        <f t="shared" si="3"/>
        <v>2.5711009506800109E-2</v>
      </c>
      <c r="Q14">
        <f>281/2000</f>
        <v>0.14050000000000001</v>
      </c>
      <c r="R14">
        <f t="shared" si="4"/>
        <v>2.4811124174062105</v>
      </c>
    </row>
    <row r="15" spans="2:18" x14ac:dyDescent="0.2">
      <c r="C15">
        <f>AVERAGE(C10:C14)</f>
        <v>-13625.942997800001</v>
      </c>
      <c r="D15">
        <f t="shared" ref="D15" si="19">AVERAGE(D10:D14)</f>
        <v>31599.024365000001</v>
      </c>
      <c r="E15">
        <f t="shared" ref="E15" si="20">AVERAGE(E10:E14)</f>
        <v>-6.8129714988999996</v>
      </c>
      <c r="F15">
        <f t="shared" ref="F15" si="21">AVERAGE(F10:F14)</f>
        <v>15.799512182500001</v>
      </c>
      <c r="K15">
        <v>-8948.6302469999991</v>
      </c>
      <c r="L15">
        <v>40752.042543000003</v>
      </c>
      <c r="M15">
        <f t="shared" si="17"/>
        <v>-4.4743151234999994</v>
      </c>
      <c r="N15">
        <f t="shared" si="18"/>
        <v>20.376021271500001</v>
      </c>
      <c r="O15">
        <f t="shared" si="9"/>
        <v>53.29843330480071</v>
      </c>
      <c r="P15">
        <f t="shared" si="3"/>
        <v>2.6649216652400356E-2</v>
      </c>
      <c r="Q15">
        <f>283/2000</f>
        <v>0.14149999999999999</v>
      </c>
      <c r="R15">
        <f t="shared" si="4"/>
        <v>2.5716494069566345</v>
      </c>
    </row>
    <row r="16" spans="2:18" x14ac:dyDescent="0.2">
      <c r="K16">
        <v>-8997.8758670000007</v>
      </c>
      <c r="L16">
        <v>40604.335897999998</v>
      </c>
      <c r="M16">
        <f t="shared" si="17"/>
        <v>-4.4989379335000006</v>
      </c>
      <c r="N16">
        <f t="shared" si="18"/>
        <v>20.302167948999998</v>
      </c>
      <c r="O16">
        <f t="shared" si="9"/>
        <v>52.528210925600433</v>
      </c>
      <c r="P16">
        <f t="shared" si="3"/>
        <v>2.6264105462800218E-2</v>
      </c>
      <c r="Q16">
        <f>301/2000</f>
        <v>0.15049999999999999</v>
      </c>
      <c r="R16">
        <f t="shared" si="4"/>
        <v>2.534486177160221</v>
      </c>
    </row>
    <row r="17" spans="11:18" x14ac:dyDescent="0.2">
      <c r="K17">
        <v>-9024.7980200000002</v>
      </c>
      <c r="L17">
        <v>40505.522725000003</v>
      </c>
      <c r="M17">
        <f t="shared" si="17"/>
        <v>-4.5123990100000002</v>
      </c>
      <c r="N17">
        <f t="shared" si="18"/>
        <v>20.252761362500003</v>
      </c>
      <c r="O17">
        <f t="shared" si="9"/>
        <v>57.922989672802942</v>
      </c>
      <c r="P17">
        <f t="shared" si="3"/>
        <v>2.896149483640147E-2</v>
      </c>
      <c r="Q17">
        <f>313/2000</f>
        <v>0.1565</v>
      </c>
      <c r="R17">
        <f t="shared" si="4"/>
        <v>2.7947842517127417</v>
      </c>
    </row>
    <row r="18" spans="11:18" x14ac:dyDescent="0.2">
      <c r="K18">
        <v>-8972.3053149999996</v>
      </c>
      <c r="L18">
        <v>40677.190878000001</v>
      </c>
      <c r="M18">
        <f t="shared" si="17"/>
        <v>-4.4861526574999999</v>
      </c>
      <c r="N18">
        <f t="shared" si="18"/>
        <v>20.338595439000002</v>
      </c>
      <c r="O18">
        <f>K18-2000*(Q18*$E$15+(1-Q18)*$E$8)</f>
        <v>53.861064115200861</v>
      </c>
      <c r="P18">
        <f>O18/2000</f>
        <v>2.6930532057600431E-2</v>
      </c>
      <c r="Q18">
        <f>292/2000</f>
        <v>0.14599999999999999</v>
      </c>
      <c r="R18">
        <f t="shared" si="4"/>
        <v>2.5987963435584418</v>
      </c>
    </row>
    <row r="19" spans="11:18" x14ac:dyDescent="0.2">
      <c r="K19">
        <v>-9348.1864650000007</v>
      </c>
      <c r="L19">
        <v>39610.960368</v>
      </c>
      <c r="M19">
        <f t="shared" ref="M19:M23" si="22">K19/2000</f>
        <v>-4.6740932325000006</v>
      </c>
      <c r="N19">
        <f t="shared" ref="N19:N23" si="23">L19/2000</f>
        <v>19.805480184</v>
      </c>
      <c r="O19">
        <f t="shared" ref="O19:O23" si="24">K19-2000*(Q19*$E$15+(1-Q19)*$E$8)</f>
        <v>71.16925037279907</v>
      </c>
      <c r="P19">
        <f t="shared" ref="P19:P59" si="25">O19/2000</f>
        <v>3.5584625186399536E-2</v>
      </c>
      <c r="Q19">
        <f>438/2000</f>
        <v>0.219</v>
      </c>
      <c r="R19">
        <f t="shared" si="4"/>
        <v>3.4339163304875551</v>
      </c>
    </row>
    <row r="20" spans="11:18" x14ac:dyDescent="0.2">
      <c r="K20">
        <v>-9346.1905659999993</v>
      </c>
      <c r="L20">
        <v>39612.487768999999</v>
      </c>
      <c r="M20">
        <f t="shared" si="22"/>
        <v>-4.6730952829999994</v>
      </c>
      <c r="N20">
        <f t="shared" si="23"/>
        <v>19.806243884499999</v>
      </c>
      <c r="O20">
        <f t="shared" si="24"/>
        <v>70.472071727201183</v>
      </c>
      <c r="P20">
        <f t="shared" si="25"/>
        <v>3.5236035863600593E-2</v>
      </c>
      <c r="Q20">
        <f>437/2000</f>
        <v>0.2185</v>
      </c>
      <c r="R20">
        <f t="shared" si="4"/>
        <v>3.4002774608374571</v>
      </c>
    </row>
    <row r="21" spans="11:18" x14ac:dyDescent="0.2">
      <c r="K21">
        <v>-9354.9392459999999</v>
      </c>
      <c r="L21">
        <v>39602.849089000003</v>
      </c>
      <c r="M21">
        <f t="shared" si="22"/>
        <v>-4.6774696230000004</v>
      </c>
      <c r="N21">
        <f t="shared" si="23"/>
        <v>19.801424544500001</v>
      </c>
      <c r="O21">
        <f t="shared" si="24"/>
        <v>69.802624664000177</v>
      </c>
      <c r="P21">
        <f t="shared" si="25"/>
        <v>3.4901312332000091E-2</v>
      </c>
      <c r="Q21">
        <f>440/2000</f>
        <v>0.22</v>
      </c>
      <c r="R21">
        <f t="shared" si="4"/>
        <v>3.3679766400380089</v>
      </c>
    </row>
    <row r="22" spans="11:18" x14ac:dyDescent="0.2">
      <c r="K22">
        <v>-9421.7953809999999</v>
      </c>
      <c r="L22">
        <v>39424.864901000001</v>
      </c>
      <c r="M22">
        <f t="shared" si="22"/>
        <v>-4.7108976904999995</v>
      </c>
      <c r="N22">
        <f t="shared" si="23"/>
        <v>19.7124324505</v>
      </c>
      <c r="O22">
        <f t="shared" si="24"/>
        <v>78.35266374080129</v>
      </c>
      <c r="P22">
        <f t="shared" si="25"/>
        <v>3.9176331870400642E-2</v>
      </c>
      <c r="Q22">
        <f>468/2000</f>
        <v>0.23400000000000001</v>
      </c>
      <c r="R22">
        <f t="shared" si="4"/>
        <v>3.7805160254936618</v>
      </c>
    </row>
    <row r="23" spans="11:18" x14ac:dyDescent="0.2">
      <c r="K23">
        <v>-9356.4033220000001</v>
      </c>
      <c r="L23">
        <v>39602.594922999997</v>
      </c>
      <c r="M23">
        <f t="shared" si="22"/>
        <v>-4.6782016610000001</v>
      </c>
      <c r="N23">
        <f t="shared" si="23"/>
        <v>19.801297461499999</v>
      </c>
      <c r="O23">
        <f t="shared" si="24"/>
        <v>73.724703955200312</v>
      </c>
      <c r="P23">
        <f t="shared" si="25"/>
        <v>3.6862351977600155E-2</v>
      </c>
      <c r="Q23">
        <f>442/2000</f>
        <v>0.221</v>
      </c>
      <c r="R23">
        <f t="shared" si="4"/>
        <v>3.557216965838415</v>
      </c>
    </row>
    <row r="24" spans="11:18" x14ac:dyDescent="0.2">
      <c r="K24">
        <v>-9686.3436660000007</v>
      </c>
      <c r="L24">
        <v>38769.251002999998</v>
      </c>
      <c r="M24">
        <f t="shared" ref="M24:M28" si="26">K24/2000</f>
        <v>-4.8431718330000004</v>
      </c>
      <c r="N24">
        <f t="shared" ref="N24:N28" si="27">L24/2000</f>
        <v>19.3846255015</v>
      </c>
      <c r="O24">
        <f t="shared" ref="O24:O28" si="28">K24-2000*(Q24*$E$15+(1-Q24)*$E$8)</f>
        <v>88.498298592001447</v>
      </c>
      <c r="P24">
        <f t="shared" si="25"/>
        <v>4.4249149296000725E-2</v>
      </c>
      <c r="Q24">
        <f>570/2000</f>
        <v>0.28499999999999998</v>
      </c>
      <c r="R24">
        <f t="shared" si="4"/>
        <v>4.2700429070640702</v>
      </c>
    </row>
    <row r="25" spans="11:18" x14ac:dyDescent="0.2">
      <c r="K25">
        <v>-9717.8014459999995</v>
      </c>
      <c r="L25">
        <v>38697.934269999998</v>
      </c>
      <c r="M25">
        <f t="shared" si="26"/>
        <v>-4.8589007229999996</v>
      </c>
      <c r="N25">
        <f t="shared" si="27"/>
        <v>19.348967134999999</v>
      </c>
      <c r="O25">
        <f t="shared" si="28"/>
        <v>92.050527984800283</v>
      </c>
      <c r="P25">
        <f t="shared" si="25"/>
        <v>4.6025263992400138E-2</v>
      </c>
      <c r="Q25">
        <f>583/2000</f>
        <v>0.29149999999999998</v>
      </c>
      <c r="R25">
        <f t="shared" si="4"/>
        <v>4.4414379752666129</v>
      </c>
    </row>
    <row r="26" spans="11:18" x14ac:dyDescent="0.2">
      <c r="K26">
        <v>-9690.6461670000008</v>
      </c>
      <c r="L26">
        <v>38780.249364000003</v>
      </c>
      <c r="M26">
        <f t="shared" si="26"/>
        <v>-4.8453230835000003</v>
      </c>
      <c r="N26">
        <f t="shared" si="27"/>
        <v>19.390124682</v>
      </c>
      <c r="O26">
        <f t="shared" si="28"/>
        <v>84.195797592001327</v>
      </c>
      <c r="P26">
        <f t="shared" si="25"/>
        <v>4.2097898796000663E-2</v>
      </c>
      <c r="Q26">
        <f>570/2000</f>
        <v>0.28499999999999998</v>
      </c>
      <c r="R26">
        <f t="shared" si="4"/>
        <v>4.0624472338140638</v>
      </c>
    </row>
    <row r="27" spans="11:18" x14ac:dyDescent="0.2">
      <c r="K27">
        <v>-9736.9615489999996</v>
      </c>
      <c r="L27">
        <v>38655.512501999998</v>
      </c>
      <c r="M27">
        <f t="shared" si="26"/>
        <v>-4.8684807745000001</v>
      </c>
      <c r="N27">
        <f t="shared" si="27"/>
        <v>19.327756251</v>
      </c>
      <c r="O27">
        <f t="shared" si="28"/>
        <v>94.435046149601476</v>
      </c>
      <c r="P27">
        <f t="shared" si="25"/>
        <v>4.7217523074800739E-2</v>
      </c>
      <c r="Q27">
        <f>591/2000</f>
        <v>0.29549999999999998</v>
      </c>
      <c r="R27">
        <f t="shared" si="4"/>
        <v>4.5564909767182717</v>
      </c>
    </row>
    <row r="28" spans="11:18" x14ac:dyDescent="0.2">
      <c r="K28">
        <v>-9704.2793290000009</v>
      </c>
      <c r="L28">
        <v>38750.806185000001</v>
      </c>
      <c r="M28">
        <f t="shared" si="26"/>
        <v>-4.8521396645000001</v>
      </c>
      <c r="N28">
        <f t="shared" si="27"/>
        <v>19.375403092500001</v>
      </c>
      <c r="O28">
        <f t="shared" si="28"/>
        <v>89.414179111199701</v>
      </c>
      <c r="P28">
        <f t="shared" si="25"/>
        <v>4.4707089555599849E-2</v>
      </c>
      <c r="Q28">
        <f>577/2000</f>
        <v>0.28849999999999998</v>
      </c>
      <c r="R28">
        <f t="shared" si="4"/>
        <v>4.3142341421153851</v>
      </c>
    </row>
    <row r="29" spans="11:18" x14ac:dyDescent="0.2">
      <c r="K29">
        <v>-10258.565275999999</v>
      </c>
      <c r="L29">
        <v>37555.003213999997</v>
      </c>
      <c r="M29">
        <f t="shared" ref="M29:M33" si="29">K29/2000</f>
        <v>-5.1292826379999994</v>
      </c>
      <c r="N29">
        <f t="shared" ref="N29:N33" si="30">L29/2000</f>
        <v>18.777501606999998</v>
      </c>
      <c r="O29">
        <f t="shared" ref="O29:O33" si="31">K29-2000*(Q29*$E$15+(1-Q29)*$E$8)</f>
        <v>119.5260812064007</v>
      </c>
      <c r="P29">
        <f t="shared" si="25"/>
        <v>5.9763040603200354E-2</v>
      </c>
      <c r="Q29">
        <f>794/2000</f>
        <v>0.39700000000000002</v>
      </c>
      <c r="R29">
        <f t="shared" si="4"/>
        <v>5.7671334182088341</v>
      </c>
    </row>
    <row r="30" spans="11:18" x14ac:dyDescent="0.2">
      <c r="K30">
        <v>-10219.004306999999</v>
      </c>
      <c r="L30">
        <v>37647.950322999997</v>
      </c>
      <c r="M30">
        <f t="shared" si="29"/>
        <v>-5.1095021534999994</v>
      </c>
      <c r="N30">
        <f t="shared" si="30"/>
        <v>18.823975161499998</v>
      </c>
      <c r="O30">
        <f t="shared" si="31"/>
        <v>115.99780787680174</v>
      </c>
      <c r="P30">
        <f t="shared" si="25"/>
        <v>5.7998903938400875E-2</v>
      </c>
      <c r="Q30">
        <f>778/2000</f>
        <v>0.38900000000000001</v>
      </c>
      <c r="R30">
        <f t="shared" si="4"/>
        <v>5.5968942300556845</v>
      </c>
    </row>
    <row r="31" spans="11:18" x14ac:dyDescent="0.2">
      <c r="K31">
        <v>-10147.632661</v>
      </c>
      <c r="L31">
        <v>37786.702373</v>
      </c>
      <c r="M31">
        <f t="shared" si="29"/>
        <v>-5.0738163304999997</v>
      </c>
      <c r="N31">
        <f t="shared" si="30"/>
        <v>18.893351186499999</v>
      </c>
      <c r="O31">
        <f t="shared" si="31"/>
        <v>114.6563574455995</v>
      </c>
      <c r="P31">
        <f t="shared" si="25"/>
        <v>5.7328178722799751E-2</v>
      </c>
      <c r="Q31">
        <f>751/2000</f>
        <v>0.3755</v>
      </c>
      <c r="R31">
        <f t="shared" si="4"/>
        <v>5.5321692467501764</v>
      </c>
    </row>
    <row r="32" spans="11:18" x14ac:dyDescent="0.2">
      <c r="K32">
        <v>-10221.225564</v>
      </c>
      <c r="L32">
        <v>37633.329433999999</v>
      </c>
      <c r="M32">
        <f t="shared" si="29"/>
        <v>-5.1106127820000005</v>
      </c>
      <c r="N32">
        <f t="shared" si="30"/>
        <v>18.816664716999998</v>
      </c>
      <c r="O32">
        <f t="shared" si="31"/>
        <v>127.2419391047988</v>
      </c>
      <c r="P32">
        <f t="shared" si="25"/>
        <v>6.3620969552399403E-2</v>
      </c>
      <c r="Q32">
        <f>783/2000</f>
        <v>0.39150000000000001</v>
      </c>
      <c r="R32">
        <f t="shared" si="4"/>
        <v>6.1394235618065425</v>
      </c>
    </row>
    <row r="33" spans="11:18" x14ac:dyDescent="0.2">
      <c r="K33">
        <v>-10230.121654</v>
      </c>
      <c r="L33">
        <v>37624.880917000002</v>
      </c>
      <c r="M33">
        <f t="shared" si="29"/>
        <v>-5.1150608270000006</v>
      </c>
      <c r="N33">
        <f t="shared" si="30"/>
        <v>18.812440458499999</v>
      </c>
      <c r="O33">
        <f t="shared" si="31"/>
        <v>121.03892675039788</v>
      </c>
      <c r="P33">
        <f t="shared" si="25"/>
        <v>6.0519463375198937E-2</v>
      </c>
      <c r="Q33">
        <f>784/2000</f>
        <v>0.39200000000000002</v>
      </c>
      <c r="R33">
        <f t="shared" si="4"/>
        <v>5.8401282157066978</v>
      </c>
    </row>
    <row r="34" spans="11:18" x14ac:dyDescent="0.2">
      <c r="K34">
        <v>-10822.238444000001</v>
      </c>
      <c r="L34">
        <v>36504.452469000003</v>
      </c>
      <c r="M34">
        <f t="shared" ref="M34:M38" si="32">K34/2000</f>
        <v>-5.411119222</v>
      </c>
      <c r="N34">
        <f t="shared" ref="N34:N38" si="33">L34/2000</f>
        <v>18.2522262345</v>
      </c>
      <c r="O34">
        <f t="shared" ref="O34:O38" si="34">K34-2000*(Q34*$E$15+(1-Q34)*$E$8)</f>
        <v>153.71615052960078</v>
      </c>
      <c r="P34">
        <f t="shared" si="25"/>
        <v>7.6858075264800388E-2</v>
      </c>
      <c r="Q34">
        <f>1016/2000</f>
        <v>0.50800000000000001</v>
      </c>
      <c r="R34">
        <f t="shared" si="4"/>
        <v>7.4168042630532378</v>
      </c>
    </row>
    <row r="35" spans="11:18" x14ac:dyDescent="0.2">
      <c r="K35">
        <v>-10744.932360000001</v>
      </c>
      <c r="L35">
        <v>36663.196958</v>
      </c>
      <c r="M35">
        <f t="shared" si="32"/>
        <v>-5.37246618</v>
      </c>
      <c r="N35">
        <f t="shared" si="33"/>
        <v>18.331598479</v>
      </c>
      <c r="O35">
        <f t="shared" si="34"/>
        <v>150.22990516159916</v>
      </c>
      <c r="P35">
        <f t="shared" si="25"/>
        <v>7.5114952580799588E-2</v>
      </c>
      <c r="Q35">
        <f>986/2000</f>
        <v>0.49299999999999999</v>
      </c>
      <c r="R35">
        <f t="shared" si="4"/>
        <v>7.24859292404716</v>
      </c>
    </row>
    <row r="36" spans="11:18" x14ac:dyDescent="0.2">
      <c r="K36">
        <v>-10619.470896000001</v>
      </c>
      <c r="L36">
        <v>36874.318964999999</v>
      </c>
      <c r="M36">
        <f t="shared" si="32"/>
        <v>-5.3097354480000005</v>
      </c>
      <c r="N36">
        <f t="shared" si="33"/>
        <v>18.4371594825</v>
      </c>
      <c r="O36">
        <f t="shared" si="34"/>
        <v>149.11671981839936</v>
      </c>
      <c r="P36">
        <f t="shared" si="25"/>
        <v>7.4558359909199678E-2</v>
      </c>
      <c r="Q36">
        <f>939/2000</f>
        <v>0.46949999999999997</v>
      </c>
      <c r="R36">
        <f t="shared" si="4"/>
        <v>7.1948817312377686</v>
      </c>
    </row>
    <row r="37" spans="11:18" x14ac:dyDescent="0.2">
      <c r="K37">
        <v>-10753.750636000001</v>
      </c>
      <c r="L37">
        <v>36626.422095000002</v>
      </c>
      <c r="M37">
        <f t="shared" si="32"/>
        <v>-5.3768753180000006</v>
      </c>
      <c r="N37">
        <f t="shared" si="33"/>
        <v>18.313211047500001</v>
      </c>
      <c r="O37">
        <f t="shared" si="34"/>
        <v>154.87701738959913</v>
      </c>
      <c r="P37">
        <f t="shared" si="25"/>
        <v>7.7438508694799568E-2</v>
      </c>
      <c r="Q37">
        <f>991/2000</f>
        <v>0.4955</v>
      </c>
      <c r="R37">
        <f t="shared" si="4"/>
        <v>7.4728160890481581</v>
      </c>
    </row>
    <row r="38" spans="11:18" x14ac:dyDescent="0.2">
      <c r="K38">
        <v>-10700.498320000001</v>
      </c>
      <c r="L38">
        <v>36738.889543999998</v>
      </c>
      <c r="M38">
        <f t="shared" si="32"/>
        <v>-5.3502491600000006</v>
      </c>
      <c r="N38">
        <f t="shared" si="33"/>
        <v>18.369444771999998</v>
      </c>
      <c r="O38">
        <f t="shared" si="34"/>
        <v>148.88162518640092</v>
      </c>
      <c r="P38">
        <f t="shared" si="25"/>
        <v>7.4440812593200456E-2</v>
      </c>
      <c r="Q38">
        <f>969/2000</f>
        <v>0.48449999999999999</v>
      </c>
      <c r="R38">
        <f t="shared" si="4"/>
        <v>7.1835384152438442</v>
      </c>
    </row>
    <row r="39" spans="11:18" x14ac:dyDescent="0.2">
      <c r="K39">
        <v>-11308.137933</v>
      </c>
      <c r="L39">
        <v>35672.647169999997</v>
      </c>
      <c r="M39">
        <f t="shared" ref="M39:M43" si="35">K39/2000</f>
        <v>-5.6540689664999997</v>
      </c>
      <c r="N39">
        <f t="shared" ref="N39:N43" si="36">L39/2000</f>
        <v>17.836323584999999</v>
      </c>
      <c r="O39">
        <f t="shared" ref="O39:O43" si="37">K39-2000*(Q39*$E$15+(1-Q39)*$E$8)</f>
        <v>182.19449183920005</v>
      </c>
      <c r="P39">
        <f t="shared" si="25"/>
        <v>9.1097245919600028E-2</v>
      </c>
      <c r="Q39">
        <f>1207/2000</f>
        <v>0.60350000000000004</v>
      </c>
      <c r="R39">
        <f t="shared" si="4"/>
        <v>8.7908842312414031</v>
      </c>
    </row>
    <row r="40" spans="11:18" x14ac:dyDescent="0.2">
      <c r="K40">
        <v>-11303.277689</v>
      </c>
      <c r="L40">
        <v>35695.022514999997</v>
      </c>
      <c r="M40">
        <f t="shared" si="35"/>
        <v>-5.6516388444999999</v>
      </c>
      <c r="N40">
        <f t="shared" si="36"/>
        <v>17.847511257499999</v>
      </c>
      <c r="O40">
        <f t="shared" si="37"/>
        <v>178.97550290239997</v>
      </c>
      <c r="P40">
        <f t="shared" si="25"/>
        <v>8.9487751451199984E-2</v>
      </c>
      <c r="Q40">
        <f>1204/2000</f>
        <v>0.60199999999999998</v>
      </c>
      <c r="R40">
        <f t="shared" si="4"/>
        <v>8.6355680150407981</v>
      </c>
    </row>
    <row r="41" spans="11:18" x14ac:dyDescent="0.2">
      <c r="K41">
        <v>-11172.297318999999</v>
      </c>
      <c r="L41">
        <v>35891.577029</v>
      </c>
      <c r="M41">
        <f t="shared" si="35"/>
        <v>-5.5861486595000001</v>
      </c>
      <c r="N41">
        <f t="shared" si="36"/>
        <v>17.945788514499998</v>
      </c>
      <c r="O41">
        <f t="shared" si="37"/>
        <v>169.91583533120138</v>
      </c>
      <c r="P41">
        <f t="shared" si="25"/>
        <v>8.4957917665600693E-2</v>
      </c>
      <c r="Q41">
        <f>1152/2000</f>
        <v>0.57599999999999996</v>
      </c>
      <c r="R41">
        <f t="shared" si="4"/>
        <v>8.1984390547304677</v>
      </c>
    </row>
    <row r="42" spans="11:18" x14ac:dyDescent="0.2">
      <c r="K42">
        <v>-11297.391251999999</v>
      </c>
      <c r="L42">
        <v>35676.035366999997</v>
      </c>
      <c r="M42">
        <f t="shared" si="35"/>
        <v>-5.6486956259999994</v>
      </c>
      <c r="N42">
        <f t="shared" si="36"/>
        <v>17.838017683499999</v>
      </c>
      <c r="O42">
        <f t="shared" si="37"/>
        <v>182.16886225680173</v>
      </c>
      <c r="P42">
        <f t="shared" si="25"/>
        <v>9.1084431128400867E-2</v>
      </c>
      <c r="Q42">
        <f>1203/2000</f>
        <v>0.60150000000000003</v>
      </c>
      <c r="R42">
        <f t="shared" si="4"/>
        <v>8.7896476038906837</v>
      </c>
    </row>
    <row r="43" spans="11:18" x14ac:dyDescent="0.2">
      <c r="K43">
        <v>-11249.243629000001</v>
      </c>
      <c r="L43">
        <v>35765.472836000001</v>
      </c>
      <c r="M43">
        <f t="shared" si="35"/>
        <v>-5.6246218145000002</v>
      </c>
      <c r="N43">
        <f t="shared" si="36"/>
        <v>17.882736418</v>
      </c>
      <c r="O43">
        <f t="shared" si="37"/>
        <v>173.76185469919983</v>
      </c>
      <c r="P43">
        <f t="shared" si="25"/>
        <v>8.6880927349599915E-2</v>
      </c>
      <c r="Q43">
        <f>1182/2000</f>
        <v>0.59099999999999997</v>
      </c>
      <c r="R43">
        <f t="shared" si="4"/>
        <v>8.3840094892363926</v>
      </c>
    </row>
    <row r="44" spans="11:18" x14ac:dyDescent="0.2">
      <c r="K44">
        <v>-11850.450321</v>
      </c>
      <c r="L44">
        <v>34752.943598999998</v>
      </c>
      <c r="M44">
        <f t="shared" ref="M44:M48" si="38">K44/2000</f>
        <v>-5.9252251605000001</v>
      </c>
      <c r="N44">
        <f t="shared" ref="N44:N48" si="39">L44/2000</f>
        <v>17.376471799499999</v>
      </c>
      <c r="O44">
        <f t="shared" ref="O44:O48" si="40">K44-2000*(Q44*$E$15+(1-Q44)*$E$8)</f>
        <v>191.96302118719905</v>
      </c>
      <c r="P44">
        <f t="shared" si="25"/>
        <v>9.5981510593599523E-2</v>
      </c>
      <c r="Q44">
        <f>1412/2000</f>
        <v>0.70599999999999996</v>
      </c>
      <c r="R44">
        <f t="shared" si="4"/>
        <v>9.2622157722823548</v>
      </c>
    </row>
    <row r="45" spans="11:18" x14ac:dyDescent="0.2">
      <c r="K45">
        <v>-11868.574984000001</v>
      </c>
      <c r="L45">
        <v>34718.644391000002</v>
      </c>
      <c r="M45">
        <f t="shared" si="38"/>
        <v>-5.9342874920000002</v>
      </c>
      <c r="N45">
        <f t="shared" si="39"/>
        <v>17.359322195500003</v>
      </c>
      <c r="O45">
        <f t="shared" si="40"/>
        <v>192.68990170639881</v>
      </c>
      <c r="P45">
        <f t="shared" si="25"/>
        <v>9.6344950853199413E-2</v>
      </c>
      <c r="Q45">
        <f>1419/2000</f>
        <v>0.70950000000000002</v>
      </c>
      <c r="R45">
        <f t="shared" si="4"/>
        <v>9.2972877573337431</v>
      </c>
    </row>
    <row r="46" spans="11:18" x14ac:dyDescent="0.2">
      <c r="K46">
        <v>-11715.746562</v>
      </c>
      <c r="L46">
        <v>34973.543075000001</v>
      </c>
      <c r="M46">
        <f t="shared" si="38"/>
        <v>-5.8578732809999998</v>
      </c>
      <c r="N46">
        <f t="shared" si="39"/>
        <v>17.486771537500001</v>
      </c>
      <c r="O46">
        <f t="shared" si="40"/>
        <v>189.31982026160222</v>
      </c>
      <c r="P46">
        <f t="shared" si="25"/>
        <v>9.4659910130801106E-2</v>
      </c>
      <c r="Q46">
        <f>1361/2000</f>
        <v>0.68049999999999999</v>
      </c>
      <c r="R46">
        <f t="shared" si="4"/>
        <v>9.1346813276223067</v>
      </c>
    </row>
    <row r="47" spans="11:18" x14ac:dyDescent="0.2">
      <c r="K47">
        <v>-11857.87401</v>
      </c>
      <c r="L47">
        <v>34715.276612000001</v>
      </c>
      <c r="M47">
        <f t="shared" si="38"/>
        <v>-5.9289370049999999</v>
      </c>
      <c r="N47">
        <f t="shared" si="39"/>
        <v>17.357638306000002</v>
      </c>
      <c r="O47">
        <f t="shared" si="40"/>
        <v>192.61856512400118</v>
      </c>
      <c r="P47">
        <f t="shared" si="25"/>
        <v>9.6309282562000595E-2</v>
      </c>
      <c r="Q47">
        <f>1415/2000</f>
        <v>0.70750000000000002</v>
      </c>
      <c r="R47">
        <f t="shared" si="4"/>
        <v>9.2938457672330568</v>
      </c>
    </row>
    <row r="48" spans="11:18" x14ac:dyDescent="0.2">
      <c r="K48">
        <v>-11742.658359999999</v>
      </c>
      <c r="L48">
        <v>34933.900812</v>
      </c>
      <c r="M48">
        <f t="shared" si="38"/>
        <v>-5.87132918</v>
      </c>
      <c r="N48">
        <f t="shared" si="39"/>
        <v>17.466950405999999</v>
      </c>
      <c r="O48">
        <f t="shared" si="40"/>
        <v>186.64572107200001</v>
      </c>
      <c r="P48">
        <f t="shared" si="25"/>
        <v>9.3322860536000002E-2</v>
      </c>
      <c r="Q48">
        <f>1370/2000</f>
        <v>0.68500000000000005</v>
      </c>
      <c r="R48">
        <f t="shared" si="4"/>
        <v>9.0056560417240004</v>
      </c>
    </row>
    <row r="49" spans="11:18" x14ac:dyDescent="0.2">
      <c r="K49">
        <v>-12426.138486</v>
      </c>
      <c r="L49">
        <v>33754.315251</v>
      </c>
      <c r="M49">
        <f t="shared" ref="M49:M53" si="41">K49/2000</f>
        <v>-6.2130692429999996</v>
      </c>
      <c r="N49">
        <f t="shared" ref="N49:N53" si="42">L49/2000</f>
        <v>16.877157625500001</v>
      </c>
      <c r="O49">
        <f t="shared" ref="O49:O53" si="43">K49-2000*(Q49*$E$15+(1-Q49)*$E$8)</f>
        <v>171.04885118079983</v>
      </c>
      <c r="P49">
        <f t="shared" si="25"/>
        <v>8.5524425590399911E-2</v>
      </c>
      <c r="Q49">
        <f>1618/2000</f>
        <v>0.80900000000000005</v>
      </c>
      <c r="R49">
        <f t="shared" si="4"/>
        <v>8.2531070694735913</v>
      </c>
    </row>
    <row r="50" spans="11:18" x14ac:dyDescent="0.2">
      <c r="K50">
        <v>-12402.815248999999</v>
      </c>
      <c r="L50">
        <v>33804.470042000001</v>
      </c>
      <c r="M50">
        <f t="shared" si="41"/>
        <v>-6.2014076244999998</v>
      </c>
      <c r="N50">
        <f t="shared" si="42"/>
        <v>16.902235020999999</v>
      </c>
      <c r="O50">
        <f t="shared" si="43"/>
        <v>178.21362230720115</v>
      </c>
      <c r="P50">
        <f t="shared" si="25"/>
        <v>8.9106811153600571E-2</v>
      </c>
      <c r="Q50">
        <f>1612/2000</f>
        <v>0.80600000000000005</v>
      </c>
      <c r="R50">
        <f t="shared" si="4"/>
        <v>8.5988072763224555</v>
      </c>
    </row>
    <row r="51" spans="11:18" x14ac:dyDescent="0.2">
      <c r="K51">
        <v>-12292.125910999999</v>
      </c>
      <c r="L51">
        <v>33972.732414999999</v>
      </c>
      <c r="M51">
        <f t="shared" si="41"/>
        <v>-6.1460629554999997</v>
      </c>
      <c r="N51">
        <f t="shared" si="42"/>
        <v>16.986366207499998</v>
      </c>
      <c r="O51">
        <f t="shared" si="43"/>
        <v>189.25908741999956</v>
      </c>
      <c r="P51">
        <f t="shared" si="25"/>
        <v>9.4629543709999778E-2</v>
      </c>
      <c r="Q51">
        <f>1575/2000</f>
        <v>0.78749999999999998</v>
      </c>
      <c r="R51">
        <f t="shared" si="4"/>
        <v>9.1317509680149787</v>
      </c>
    </row>
    <row r="52" spans="11:18" x14ac:dyDescent="0.2">
      <c r="K52">
        <v>-12422.036953000001</v>
      </c>
      <c r="L52">
        <v>33752.660537999996</v>
      </c>
      <c r="M52">
        <f t="shared" si="41"/>
        <v>-6.2110184765000005</v>
      </c>
      <c r="N52">
        <f t="shared" si="42"/>
        <v>16.876330268999997</v>
      </c>
      <c r="O52">
        <f t="shared" si="43"/>
        <v>172.45730653519968</v>
      </c>
      <c r="P52">
        <f t="shared" si="25"/>
        <v>8.6228653267599834E-2</v>
      </c>
      <c r="Q52">
        <f>1617/2000</f>
        <v>0.8085</v>
      </c>
      <c r="R52">
        <f t="shared" si="4"/>
        <v>8.3210650403233846</v>
      </c>
    </row>
    <row r="53" spans="11:18" x14ac:dyDescent="0.2">
      <c r="K53">
        <v>-12310.873927000001</v>
      </c>
      <c r="L53">
        <v>33967.552864999998</v>
      </c>
      <c r="M53">
        <f t="shared" si="41"/>
        <v>-6.1554369635000006</v>
      </c>
      <c r="N53">
        <f t="shared" si="42"/>
        <v>16.983776432499997</v>
      </c>
      <c r="O53">
        <f t="shared" si="43"/>
        <v>178.59030435679779</v>
      </c>
      <c r="P53">
        <f t="shared" si="25"/>
        <v>8.9295152178398896E-2</v>
      </c>
      <c r="Q53">
        <f>1578/2000</f>
        <v>0.78900000000000003</v>
      </c>
      <c r="R53">
        <f t="shared" si="4"/>
        <v>8.6169821852154929</v>
      </c>
    </row>
    <row r="54" spans="11:18" x14ac:dyDescent="0.2">
      <c r="K54">
        <v>-13020.544488</v>
      </c>
      <c r="L54">
        <v>32699.630292000002</v>
      </c>
      <c r="M54">
        <f t="shared" ref="M54:M58" si="44">K54/2000</f>
        <v>-6.5102722439999994</v>
      </c>
      <c r="N54">
        <f t="shared" ref="N54:N58" si="45">L54/2000</f>
        <v>16.349815146000001</v>
      </c>
      <c r="O54">
        <f t="shared" ref="O54:O58" si="46">K54-2000*(Q54*$E$15+(1-Q54)*$E$8)</f>
        <v>115.25837830080127</v>
      </c>
      <c r="P54">
        <f t="shared" si="25"/>
        <v>5.7629189150400634E-2</v>
      </c>
      <c r="Q54">
        <f>1818/2000</f>
        <v>0.90900000000000003</v>
      </c>
      <c r="R54">
        <f t="shared" si="4"/>
        <v>5.5612167530136611</v>
      </c>
    </row>
    <row r="55" spans="11:18" x14ac:dyDescent="0.2">
      <c r="K55">
        <v>-12945.209181</v>
      </c>
      <c r="L55">
        <v>32834.044775000002</v>
      </c>
      <c r="M55">
        <f t="shared" si="44"/>
        <v>-6.4726045905000005</v>
      </c>
      <c r="N55">
        <f t="shared" si="45"/>
        <v>16.417022387500001</v>
      </c>
      <c r="O55">
        <f t="shared" si="46"/>
        <v>125.95982180640021</v>
      </c>
      <c r="P55">
        <f t="shared" si="25"/>
        <v>6.2979910903200112E-2</v>
      </c>
      <c r="Q55">
        <f>1794/2000</f>
        <v>0.89700000000000002</v>
      </c>
      <c r="R55">
        <f t="shared" si="4"/>
        <v>6.0775614021588105</v>
      </c>
    </row>
    <row r="56" spans="11:18" x14ac:dyDescent="0.2">
      <c r="K56">
        <v>-12941.028692</v>
      </c>
      <c r="L56">
        <v>32831.384568000001</v>
      </c>
      <c r="M56">
        <f t="shared" si="44"/>
        <v>-6.4705143459999999</v>
      </c>
      <c r="N56">
        <f t="shared" si="45"/>
        <v>16.415692284000002</v>
      </c>
      <c r="O56">
        <f t="shared" si="46"/>
        <v>127.44723316079944</v>
      </c>
      <c r="P56">
        <f t="shared" si="25"/>
        <v>6.3723616580399725E-2</v>
      </c>
      <c r="Q56">
        <f>1793/2000</f>
        <v>0.89649999999999996</v>
      </c>
      <c r="R56">
        <f t="shared" si="4"/>
        <v>6.1493290000085734</v>
      </c>
    </row>
    <row r="57" spans="11:18" x14ac:dyDescent="0.2">
      <c r="K57">
        <v>-12946.552452</v>
      </c>
      <c r="L57">
        <v>32836.730459999999</v>
      </c>
      <c r="M57">
        <f t="shared" si="44"/>
        <v>-6.4732762260000003</v>
      </c>
      <c r="N57">
        <f t="shared" si="45"/>
        <v>16.418365229999999</v>
      </c>
      <c r="O57">
        <f t="shared" si="46"/>
        <v>121.9234731607994</v>
      </c>
      <c r="P57">
        <f t="shared" si="25"/>
        <v>6.0961736580399703E-2</v>
      </c>
      <c r="Q57">
        <f>1793/2000</f>
        <v>0.89649999999999996</v>
      </c>
      <c r="R57">
        <f t="shared" si="4"/>
        <v>5.8828075800085715</v>
      </c>
    </row>
    <row r="58" spans="11:18" x14ac:dyDescent="0.2">
      <c r="K58">
        <v>-12943.01979</v>
      </c>
      <c r="L58">
        <v>32838.038047000002</v>
      </c>
      <c r="M58">
        <f t="shared" si="44"/>
        <v>-6.4715098950000005</v>
      </c>
      <c r="N58">
        <f t="shared" si="45"/>
        <v>16.419019023500002</v>
      </c>
      <c r="O58">
        <f t="shared" si="46"/>
        <v>128.1492128064001</v>
      </c>
      <c r="P58">
        <f t="shared" si="25"/>
        <v>6.4074606403200049E-2</v>
      </c>
      <c r="Q58">
        <f>1794/2000</f>
        <v>0.89700000000000002</v>
      </c>
      <c r="R58">
        <f t="shared" si="4"/>
        <v>6.1831995179088048</v>
      </c>
    </row>
    <row r="59" spans="11:18" x14ac:dyDescent="0.2">
      <c r="K59">
        <v>-13625.942997800001</v>
      </c>
      <c r="L59">
        <v>31599.024365000001</v>
      </c>
      <c r="M59">
        <f t="shared" ref="M59" si="47">K59/2000</f>
        <v>-6.8129714989000005</v>
      </c>
      <c r="N59">
        <f t="shared" ref="N59" si="48">L59/2000</f>
        <v>15.799512182500001</v>
      </c>
      <c r="O59">
        <f t="shared" ref="O59" si="49">K59-2000*(Q59*$E$15+(1-Q59)*$E$8)</f>
        <v>0</v>
      </c>
      <c r="P59">
        <f t="shared" si="25"/>
        <v>0</v>
      </c>
      <c r="Q59">
        <f>2000/2000</f>
        <v>1</v>
      </c>
      <c r="R59">
        <f t="shared" si="4"/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 K</vt:lpstr>
      <vt:lpstr>800K</vt:lpstr>
      <vt:lpstr>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Beeler</cp:lastModifiedBy>
  <dcterms:created xsi:type="dcterms:W3CDTF">2017-08-16T16:16:45Z</dcterms:created>
  <dcterms:modified xsi:type="dcterms:W3CDTF">2021-04-23T20:02:12Z</dcterms:modified>
</cp:coreProperties>
</file>