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460" yWindow="2020" windowWidth="26960" windowHeight="1844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0" i="2" l="1"/>
  <c r="K71" i="2"/>
  <c r="K69" i="2"/>
  <c r="L71" i="2"/>
  <c r="X64" i="2"/>
  <c r="X63" i="2"/>
  <c r="X61" i="2"/>
  <c r="L64" i="2"/>
  <c r="W64" i="2"/>
  <c r="W63" i="2"/>
  <c r="W61" i="2"/>
  <c r="K64" i="2"/>
  <c r="K63" i="2"/>
  <c r="K61" i="2"/>
  <c r="L63" i="2"/>
  <c r="L61" i="2"/>
  <c r="M67" i="2"/>
  <c r="L70" i="2"/>
  <c r="L69" i="2"/>
  <c r="D10" i="2"/>
  <c r="D52" i="2"/>
  <c r="E61" i="2"/>
  <c r="D3" i="2"/>
  <c r="H52" i="2"/>
  <c r="D12" i="2"/>
  <c r="D54" i="2"/>
  <c r="E71" i="2"/>
  <c r="F71" i="2"/>
  <c r="H71" i="2"/>
  <c r="I71" i="2"/>
  <c r="J71" i="2"/>
  <c r="E64" i="2"/>
  <c r="F64" i="2"/>
  <c r="H64" i="2"/>
  <c r="I64" i="2"/>
  <c r="J64" i="2"/>
  <c r="J73" i="2"/>
  <c r="E69" i="2"/>
  <c r="J52" i="2"/>
  <c r="D5" i="2"/>
  <c r="H54" i="2"/>
  <c r="D11" i="2"/>
  <c r="D4" i="2"/>
  <c r="H53" i="2"/>
  <c r="D9" i="2"/>
  <c r="D2" i="2"/>
  <c r="H51" i="2"/>
  <c r="G48" i="2"/>
  <c r="G47" i="2"/>
  <c r="G46" i="2"/>
  <c r="G45" i="2"/>
  <c r="G42" i="2"/>
  <c r="G41" i="2"/>
  <c r="G40" i="2"/>
  <c r="G39" i="2"/>
  <c r="G36" i="2"/>
  <c r="G35" i="2"/>
  <c r="G34" i="2"/>
  <c r="G33" i="2"/>
  <c r="F5" i="2"/>
  <c r="F4" i="2"/>
  <c r="F3" i="2"/>
  <c r="F2" i="2"/>
  <c r="D53" i="2"/>
  <c r="E63" i="2"/>
  <c r="F63" i="2"/>
  <c r="H63" i="2"/>
  <c r="I63" i="2"/>
  <c r="J63" i="2"/>
  <c r="Q64" i="2"/>
  <c r="R64" i="2"/>
  <c r="T64" i="2"/>
  <c r="U64" i="2"/>
  <c r="V64" i="2"/>
  <c r="Q63" i="2"/>
  <c r="R63" i="2"/>
  <c r="T63" i="2"/>
  <c r="U63" i="2"/>
  <c r="V63" i="2"/>
  <c r="E70" i="2"/>
  <c r="F70" i="2"/>
  <c r="H70" i="2"/>
  <c r="I70" i="2"/>
  <c r="J70" i="2"/>
  <c r="G69" i="2"/>
  <c r="F69" i="2"/>
  <c r="D70" i="2"/>
  <c r="D71" i="2"/>
  <c r="D69" i="2"/>
  <c r="D22" i="2"/>
  <c r="D64" i="2"/>
  <c r="G71" i="2"/>
  <c r="D21" i="2"/>
  <c r="D63" i="2"/>
  <c r="G70" i="2"/>
  <c r="D62" i="2"/>
  <c r="H69" i="2"/>
  <c r="I69" i="2"/>
  <c r="J69" i="2"/>
  <c r="S64" i="2"/>
  <c r="G64" i="2"/>
  <c r="D34" i="2"/>
  <c r="Q60" i="2"/>
  <c r="T60" i="2"/>
  <c r="U60" i="2"/>
  <c r="Q61" i="2"/>
  <c r="T61" i="2"/>
  <c r="U61" i="2"/>
  <c r="D40" i="2"/>
  <c r="Q62" i="2"/>
  <c r="T62" i="2"/>
  <c r="U62" i="2"/>
  <c r="Q59" i="2"/>
  <c r="T59" i="2"/>
  <c r="U59" i="2"/>
  <c r="E62" i="2"/>
  <c r="H62" i="2"/>
  <c r="I62" i="2"/>
  <c r="E59" i="2"/>
  <c r="H59" i="2"/>
  <c r="I59" i="2"/>
  <c r="E60" i="2"/>
  <c r="H60" i="2"/>
  <c r="I60" i="2"/>
  <c r="H61" i="2"/>
  <c r="I61" i="2"/>
  <c r="S63" i="2"/>
  <c r="P63" i="2"/>
  <c r="P64" i="2"/>
  <c r="G63" i="2"/>
  <c r="G30" i="2"/>
  <c r="G29" i="2"/>
  <c r="G28" i="2"/>
  <c r="G27" i="2"/>
  <c r="D30" i="2"/>
  <c r="D29" i="2"/>
  <c r="D28" i="2"/>
  <c r="D27" i="2"/>
  <c r="V61" i="2"/>
  <c r="J61" i="2"/>
  <c r="S60" i="2"/>
  <c r="S61" i="2"/>
  <c r="P60" i="2"/>
  <c r="P61" i="2"/>
  <c r="P62" i="2"/>
  <c r="G61" i="2"/>
  <c r="D61" i="2"/>
  <c r="D60" i="2"/>
  <c r="G52" i="2"/>
  <c r="G53" i="2"/>
  <c r="G54" i="2"/>
  <c r="G51" i="2"/>
  <c r="D51" i="2"/>
  <c r="G60" i="2"/>
  <c r="D33" i="2"/>
  <c r="G62" i="2"/>
  <c r="D39" i="2"/>
  <c r="S59" i="2"/>
  <c r="G59" i="2"/>
  <c r="P59" i="2"/>
  <c r="D59" i="2"/>
  <c r="D45" i="2"/>
  <c r="F34" i="2"/>
  <c r="F10" i="2"/>
  <c r="H11" i="2"/>
  <c r="F35" i="2"/>
  <c r="F11" i="2"/>
  <c r="H12" i="2"/>
  <c r="F36" i="2"/>
  <c r="F12" i="2"/>
  <c r="H13" i="2"/>
  <c r="F33" i="2"/>
  <c r="F9" i="2"/>
  <c r="H10" i="2"/>
  <c r="D15" i="2"/>
  <c r="D36" i="2"/>
  <c r="D35" i="2"/>
  <c r="F22" i="2"/>
  <c r="F23" i="2"/>
  <c r="F24" i="2"/>
  <c r="F40" i="2"/>
  <c r="F41" i="2"/>
  <c r="F42" i="2"/>
  <c r="F46" i="2"/>
  <c r="F47" i="2"/>
  <c r="F48" i="2"/>
  <c r="D23" i="2"/>
  <c r="D24" i="2"/>
  <c r="D41" i="2"/>
  <c r="D42" i="2"/>
  <c r="D46" i="2"/>
  <c r="D47" i="2"/>
  <c r="D48" i="2"/>
  <c r="F17" i="2"/>
  <c r="F18" i="2"/>
  <c r="D17" i="2"/>
  <c r="D18" i="2"/>
  <c r="F16" i="2"/>
  <c r="D16" i="2"/>
  <c r="M77" i="1"/>
  <c r="M78" i="1"/>
  <c r="M81" i="1"/>
  <c r="N67" i="1"/>
  <c r="N65" i="1"/>
  <c r="N66" i="1"/>
  <c r="N62" i="1"/>
  <c r="O67" i="1"/>
  <c r="P67" i="1"/>
  <c r="M76" i="1"/>
  <c r="K67" i="1"/>
  <c r="D52" i="1"/>
  <c r="D4" i="1"/>
  <c r="M71" i="1"/>
  <c r="P62" i="1"/>
  <c r="N63" i="1"/>
  <c r="M72" i="1"/>
  <c r="P63" i="1"/>
  <c r="N64" i="1"/>
  <c r="M73" i="1"/>
  <c r="P64" i="1"/>
  <c r="D53" i="1"/>
  <c r="D5" i="1"/>
  <c r="M74" i="1"/>
  <c r="P65" i="1"/>
  <c r="D54" i="1"/>
  <c r="D6" i="1"/>
  <c r="M75" i="1"/>
  <c r="P66" i="1"/>
  <c r="P71" i="1"/>
  <c r="M66" i="1"/>
  <c r="O63" i="1"/>
  <c r="O64" i="1"/>
  <c r="O65" i="1"/>
  <c r="O66" i="1"/>
  <c r="O62" i="1"/>
  <c r="M65" i="1"/>
  <c r="K65" i="1"/>
  <c r="K66" i="1"/>
  <c r="K64" i="1"/>
  <c r="M63" i="1"/>
  <c r="M64" i="1"/>
  <c r="K63" i="1"/>
  <c r="M62" i="1"/>
  <c r="K62" i="1"/>
  <c r="D85" i="1"/>
  <c r="F44" i="1"/>
  <c r="E85" i="1"/>
  <c r="D86" i="1"/>
  <c r="F45" i="1"/>
  <c r="E86" i="1"/>
  <c r="D55" i="1"/>
  <c r="D7" i="1"/>
  <c r="D87" i="1"/>
  <c r="F46" i="1"/>
  <c r="E87" i="1"/>
  <c r="D56" i="1"/>
  <c r="D8" i="1"/>
  <c r="D88" i="1"/>
  <c r="F47" i="1"/>
  <c r="E88" i="1"/>
  <c r="D57" i="1"/>
  <c r="D9" i="1"/>
  <c r="D89" i="1"/>
  <c r="F48" i="1"/>
  <c r="E89" i="1"/>
  <c r="D84" i="1"/>
  <c r="D77" i="1"/>
  <c r="D78" i="1"/>
  <c r="D79" i="1"/>
  <c r="D80" i="1"/>
  <c r="D81" i="1"/>
  <c r="D69" i="1"/>
  <c r="D70" i="1"/>
  <c r="D71" i="1"/>
  <c r="D72" i="1"/>
  <c r="D73" i="1"/>
  <c r="D61" i="1"/>
  <c r="F20" i="1"/>
  <c r="E61" i="1"/>
  <c r="D62" i="1"/>
  <c r="F21" i="1"/>
  <c r="E62" i="1"/>
  <c r="D63" i="1"/>
  <c r="F22" i="1"/>
  <c r="E63" i="1"/>
  <c r="D64" i="1"/>
  <c r="F23" i="1"/>
  <c r="E64" i="1"/>
  <c r="D65" i="1"/>
  <c r="F24" i="1"/>
  <c r="E65" i="1"/>
  <c r="D60" i="1"/>
  <c r="D68" i="1"/>
  <c r="D76" i="1"/>
  <c r="F43" i="1"/>
  <c r="E84" i="1"/>
  <c r="D43" i="1"/>
  <c r="D48" i="1"/>
  <c r="D47" i="1"/>
  <c r="D46" i="1"/>
  <c r="D45" i="1"/>
  <c r="D44" i="1"/>
  <c r="F36" i="1"/>
  <c r="E77" i="1"/>
  <c r="F37" i="1"/>
  <c r="E78" i="1"/>
  <c r="F38" i="1"/>
  <c r="E79" i="1"/>
  <c r="F39" i="1"/>
  <c r="E80" i="1"/>
  <c r="F40" i="1"/>
  <c r="E81" i="1"/>
  <c r="F35" i="1"/>
  <c r="E76" i="1"/>
  <c r="D36" i="1"/>
  <c r="D37" i="1"/>
  <c r="D38" i="1"/>
  <c r="D39" i="1"/>
  <c r="D40" i="1"/>
  <c r="D35" i="1"/>
  <c r="F56" i="1"/>
  <c r="F55" i="1"/>
  <c r="F54" i="1"/>
  <c r="F53" i="1"/>
  <c r="F52" i="1"/>
  <c r="D32" i="1"/>
  <c r="D24" i="1"/>
  <c r="F28" i="1"/>
  <c r="E69" i="1"/>
  <c r="F29" i="1"/>
  <c r="E70" i="1"/>
  <c r="F30" i="1"/>
  <c r="E71" i="1"/>
  <c r="F31" i="1"/>
  <c r="E72" i="1"/>
  <c r="F32" i="1"/>
  <c r="E73" i="1"/>
  <c r="F27" i="1"/>
  <c r="E68" i="1"/>
  <c r="F19" i="1"/>
  <c r="E60" i="1"/>
  <c r="D28" i="1"/>
  <c r="D29" i="1"/>
  <c r="D30" i="1"/>
  <c r="D31" i="1"/>
  <c r="D27" i="1"/>
  <c r="F57" i="1"/>
  <c r="D20" i="1"/>
  <c r="D21" i="1"/>
  <c r="D22" i="1"/>
  <c r="D23" i="1"/>
  <c r="D19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<sst xmlns="http://schemas.openxmlformats.org/spreadsheetml/2006/main" count="85" uniqueCount="39">
  <si>
    <t>B2 fe-al</t>
  </si>
  <si>
    <t>bcc/B2 interface</t>
  </si>
  <si>
    <t>bcc Fe</t>
  </si>
  <si>
    <t>del E</t>
  </si>
  <si>
    <t>E/ang^2</t>
  </si>
  <si>
    <t>bcc/B2 big interface</t>
  </si>
  <si>
    <t>small</t>
  </si>
  <si>
    <t>big</t>
  </si>
  <si>
    <t>bigB</t>
  </si>
  <si>
    <t>bcc/B2 bigB interface</t>
  </si>
  <si>
    <t>bcc/B2 bigC interface</t>
  </si>
  <si>
    <t>bigC</t>
  </si>
  <si>
    <t>10x10x20</t>
  </si>
  <si>
    <t>10x10x30</t>
  </si>
  <si>
    <t>10x10x40</t>
  </si>
  <si>
    <t>T</t>
  </si>
  <si>
    <t>E</t>
  </si>
  <si>
    <t>E/at</t>
  </si>
  <si>
    <t>V</t>
  </si>
  <si>
    <t>ao</t>
  </si>
  <si>
    <t>10x10x60</t>
  </si>
  <si>
    <t>10x10x100</t>
  </si>
  <si>
    <t>unstrained</t>
  </si>
  <si>
    <t>strained</t>
  </si>
  <si>
    <t>B2</t>
  </si>
  <si>
    <t>half-strained</t>
  </si>
  <si>
    <t>half strain a0</t>
  </si>
  <si>
    <t>interface</t>
  </si>
  <si>
    <t>10x10x50</t>
  </si>
  <si>
    <t>w/strained B2</t>
  </si>
  <si>
    <t>x</t>
  </si>
  <si>
    <t>z</t>
  </si>
  <si>
    <t>Area</t>
  </si>
  <si>
    <t>100nve</t>
  </si>
  <si>
    <t>100nphZ</t>
  </si>
  <si>
    <t>xy strain</t>
  </si>
  <si>
    <t>eV/Ang^2</t>
  </si>
  <si>
    <t>J/m^2</t>
  </si>
  <si>
    <t>fcc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</si>
</sst>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99.26581</c:v>
                </c:pt>
                <c:pt idx="1">
                  <c:v>200.37761</c:v>
                </c:pt>
                <c:pt idx="2">
                  <c:v>299.87077</c:v>
                </c:pt>
                <c:pt idx="3">
                  <c:v>401.19752</c:v>
                </c:pt>
                <c:pt idx="4">
                  <c:v>499.67798</c:v>
                </c:pt>
                <c:pt idx="5">
                  <c:v>592.28563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-4.03561032</c:v>
                </c:pt>
                <c:pt idx="1">
                  <c:v>-4.09717182</c:v>
                </c:pt>
                <c:pt idx="2">
                  <c:v>-4.08354805</c:v>
                </c:pt>
                <c:pt idx="3">
                  <c:v>-4.069210535</c:v>
                </c:pt>
                <c:pt idx="4">
                  <c:v>-4.054757355</c:v>
                </c:pt>
                <c:pt idx="5">
                  <c:v>-4.040465334999999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60584"/>
        <c:axId val="2142146264"/>
      </c:scatterChart>
      <c:valAx>
        <c:axId val="214206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46264"/>
        <c:crosses val="autoZero"/>
        <c:crossBetween val="midCat"/>
      </c:valAx>
      <c:valAx>
        <c:axId val="2142146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20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Sheet1!$B$35:$B$40</c:f>
              <c:numCache>
                <c:formatCode>General</c:formatCode>
                <c:ptCount val="6"/>
                <c:pt idx="0">
                  <c:v>100.81037</c:v>
                </c:pt>
                <c:pt idx="1">
                  <c:v>201.29517</c:v>
                </c:pt>
                <c:pt idx="2">
                  <c:v>301.58629</c:v>
                </c:pt>
                <c:pt idx="3">
                  <c:v>401.79474</c:v>
                </c:pt>
                <c:pt idx="4">
                  <c:v>501.30611</c:v>
                </c:pt>
                <c:pt idx="5">
                  <c:v>603.0340200000001</c:v>
                </c:pt>
              </c:numCache>
            </c:numRef>
          </c:xVal>
          <c:yVal>
            <c:numRef>
              <c:f>Sheet1!$D$35:$D$40</c:f>
              <c:numCache>
                <c:formatCode>General</c:formatCode>
                <c:ptCount val="6"/>
                <c:pt idx="0">
                  <c:v>-4.102640711805555</c:v>
                </c:pt>
                <c:pt idx="1">
                  <c:v>-4.088860744097222</c:v>
                </c:pt>
                <c:pt idx="2">
                  <c:v>-4.074835511875</c:v>
                </c:pt>
                <c:pt idx="3">
                  <c:v>-4.060599269791666</c:v>
                </c:pt>
                <c:pt idx="4">
                  <c:v>-4.046176169097222</c:v>
                </c:pt>
                <c:pt idx="5">
                  <c:v>-4.031021314652778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94312"/>
        <c:axId val="-2068205864"/>
      </c:scatterChart>
      <c:valAx>
        <c:axId val="-206659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05864"/>
        <c:crosses val="autoZero"/>
        <c:crossBetween val="midCat"/>
      </c:valAx>
      <c:valAx>
        <c:axId val="-2068205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59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48857850366"/>
          <c:y val="0.0494505494505494"/>
          <c:w val="0.796984780612671"/>
          <c:h val="0.857142857142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Sheet2!$B$33:$B$36</c:f>
              <c:numCache>
                <c:formatCode>General</c:formatCode>
                <c:ptCount val="4"/>
                <c:pt idx="0">
                  <c:v>0.0</c:v>
                </c:pt>
                <c:pt idx="1">
                  <c:v>99.34252</c:v>
                </c:pt>
                <c:pt idx="2">
                  <c:v>198.23079</c:v>
                </c:pt>
                <c:pt idx="3">
                  <c:v>297.87726</c:v>
                </c:pt>
              </c:numCache>
            </c:numRef>
          </c:xVal>
          <c:yVal>
            <c:numRef>
              <c:f>Sheet2!$D$33:$D$36</c:f>
              <c:numCache>
                <c:formatCode>General</c:formatCode>
                <c:ptCount val="4"/>
                <c:pt idx="0">
                  <c:v>-4.048631156555</c:v>
                </c:pt>
                <c:pt idx="1">
                  <c:v>-4.035573375</c:v>
                </c:pt>
                <c:pt idx="2">
                  <c:v>-4.097463025</c:v>
                </c:pt>
                <c:pt idx="3">
                  <c:v>-4.08384384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93608"/>
        <c:axId val="2143262536"/>
      </c:scatterChart>
      <c:valAx>
        <c:axId val="20547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62536"/>
        <c:crosses val="autoZero"/>
        <c:crossBetween val="midCat"/>
      </c:valAx>
      <c:valAx>
        <c:axId val="2143262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479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Sheet2!$B$33:$B$36</c:f>
              <c:numCache>
                <c:formatCode>General</c:formatCode>
                <c:ptCount val="4"/>
                <c:pt idx="0">
                  <c:v>0.0</c:v>
                </c:pt>
                <c:pt idx="1">
                  <c:v>99.34252</c:v>
                </c:pt>
                <c:pt idx="2">
                  <c:v>198.23079</c:v>
                </c:pt>
                <c:pt idx="3">
                  <c:v>297.87726</c:v>
                </c:pt>
              </c:numCache>
            </c:numRef>
          </c:xVal>
          <c:yVal>
            <c:numRef>
              <c:f>Sheet2!$F$33:$F$36</c:f>
              <c:numCache>
                <c:formatCode>General</c:formatCode>
                <c:ptCount val="4"/>
                <c:pt idx="0">
                  <c:v>2.94945262275249</c:v>
                </c:pt>
                <c:pt idx="1">
                  <c:v>2.951346970821877</c:v>
                </c:pt>
                <c:pt idx="2">
                  <c:v>2.972257677156021</c:v>
                </c:pt>
                <c:pt idx="3">
                  <c:v>2.97635019925802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92040"/>
        <c:axId val="-2059551800"/>
      </c:scatterChart>
      <c:valAx>
        <c:axId val="-20594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551800"/>
        <c:crosses val="autoZero"/>
        <c:crossBetween val="midCat"/>
      </c:valAx>
      <c:valAx>
        <c:axId val="-2059551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949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48857850366"/>
          <c:y val="0.0494505494505494"/>
          <c:w val="0.796984780612671"/>
          <c:h val="0.857142857142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Sheet2!$B$9:$B$12</c:f>
              <c:numCache>
                <c:formatCode>General</c:formatCode>
                <c:ptCount val="4"/>
                <c:pt idx="0">
                  <c:v>0.0</c:v>
                </c:pt>
                <c:pt idx="1">
                  <c:v>101.85328</c:v>
                </c:pt>
                <c:pt idx="2">
                  <c:v>204.59528</c:v>
                </c:pt>
                <c:pt idx="3">
                  <c:v>303.69054</c:v>
                </c:pt>
              </c:numCache>
            </c:numRef>
          </c:xVal>
          <c:yVal>
            <c:numRef>
              <c:f>Sheet2!$D$9:$D$12</c:f>
              <c:numCache>
                <c:formatCode>General</c:formatCode>
                <c:ptCount val="4"/>
                <c:pt idx="0">
                  <c:v>-4.122486049084999</c:v>
                </c:pt>
                <c:pt idx="1">
                  <c:v>-4.108960995</c:v>
                </c:pt>
                <c:pt idx="2">
                  <c:v>-4.09481203</c:v>
                </c:pt>
                <c:pt idx="3">
                  <c:v>-4.080903025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30696"/>
        <c:axId val="-2059168024"/>
      </c:scatterChart>
      <c:valAx>
        <c:axId val="-206623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168024"/>
        <c:crosses val="autoZero"/>
        <c:crossBetween val="midCat"/>
      </c:valAx>
      <c:valAx>
        <c:axId val="-2059168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623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Sheet2!$B$9:$B$12</c:f>
              <c:numCache>
                <c:formatCode>General</c:formatCode>
                <c:ptCount val="4"/>
                <c:pt idx="0">
                  <c:v>0.0</c:v>
                </c:pt>
                <c:pt idx="1">
                  <c:v>101.85328</c:v>
                </c:pt>
                <c:pt idx="2">
                  <c:v>204.59528</c:v>
                </c:pt>
                <c:pt idx="3">
                  <c:v>303.69054</c:v>
                </c:pt>
              </c:numCache>
            </c:numRef>
          </c:xVal>
          <c:yVal>
            <c:numRef>
              <c:f>Sheet2!$F$9:$F$12</c:f>
              <c:numCache>
                <c:formatCode>General</c:formatCode>
                <c:ptCount val="4"/>
                <c:pt idx="0">
                  <c:v>2.855392233174815</c:v>
                </c:pt>
                <c:pt idx="1">
                  <c:v>2.855370613041993</c:v>
                </c:pt>
                <c:pt idx="2">
                  <c:v>2.85688917630535</c:v>
                </c:pt>
                <c:pt idx="3">
                  <c:v>2.859020852488165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13048"/>
        <c:axId val="-2058927288"/>
      </c:scatterChart>
      <c:valAx>
        <c:axId val="-205891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927288"/>
        <c:crosses val="autoZero"/>
        <c:crossBetween val="midCat"/>
      </c:valAx>
      <c:valAx>
        <c:axId val="-2058927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891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Sheet3!$A$3:$A$18</c:f>
              <c:numCache>
                <c:formatCode>General</c:formatCode>
                <c:ptCount val="1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</c:numCache>
            </c:numRef>
          </c:xVal>
          <c:yVal>
            <c:numRef>
              <c:f>Sheet3!$C$3:$C$18</c:f>
              <c:numCache>
                <c:formatCode>General</c:formatCode>
                <c:ptCount val="16"/>
                <c:pt idx="0">
                  <c:v>-727900.45936</c:v>
                </c:pt>
                <c:pt idx="1">
                  <c:v>-727176.70736</c:v>
                </c:pt>
                <c:pt idx="2">
                  <c:v>-726828.28042</c:v>
                </c:pt>
                <c:pt idx="3">
                  <c:v>-726693.90301</c:v>
                </c:pt>
                <c:pt idx="4">
                  <c:v>-726650.62918</c:v>
                </c:pt>
                <c:pt idx="5">
                  <c:v>-726629.84972</c:v>
                </c:pt>
                <c:pt idx="6">
                  <c:v>-726610.57288</c:v>
                </c:pt>
                <c:pt idx="7">
                  <c:v>-726627.91469</c:v>
                </c:pt>
                <c:pt idx="8">
                  <c:v>-726624.53981</c:v>
                </c:pt>
                <c:pt idx="9">
                  <c:v>-726625.46958</c:v>
                </c:pt>
                <c:pt idx="10">
                  <c:v>-726621.74797</c:v>
                </c:pt>
                <c:pt idx="11">
                  <c:v>-726630.58036</c:v>
                </c:pt>
                <c:pt idx="12">
                  <c:v>-726639.82202</c:v>
                </c:pt>
                <c:pt idx="13">
                  <c:v>-726627.024</c:v>
                </c:pt>
                <c:pt idx="14">
                  <c:v>-726616.36575</c:v>
                </c:pt>
                <c:pt idx="15">
                  <c:v>-726607.12044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991208"/>
        <c:axId val="-2107990088"/>
      </c:scatterChart>
      <c:valAx>
        <c:axId val="-210799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990088"/>
        <c:crosses val="autoZero"/>
        <c:crossBetween val="midCat"/>
      </c:valAx>
      <c:valAx>
        <c:axId val="-2107990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99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Sheet3!$A$3:$A$22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Sheet3!$E$3:$E$22</c:f>
              <c:numCache>
                <c:formatCode>General</c:formatCode>
                <c:ptCount val="20"/>
                <c:pt idx="0">
                  <c:v>2.20497581572E6</c:v>
                </c:pt>
                <c:pt idx="1">
                  <c:v>2.20352900403E6</c:v>
                </c:pt>
                <c:pt idx="2">
                  <c:v>2.20438386139E6</c:v>
                </c:pt>
                <c:pt idx="3">
                  <c:v>2.20452151065E6</c:v>
                </c:pt>
                <c:pt idx="4">
                  <c:v>2.20446538435E6</c:v>
                </c:pt>
                <c:pt idx="5">
                  <c:v>2.20465395933E6</c:v>
                </c:pt>
                <c:pt idx="6">
                  <c:v>2.20473103206E6</c:v>
                </c:pt>
                <c:pt idx="7">
                  <c:v>2.20468894062E6</c:v>
                </c:pt>
                <c:pt idx="8">
                  <c:v>2.20471721616E6</c:v>
                </c:pt>
                <c:pt idx="9">
                  <c:v>2.20469620786E6</c:v>
                </c:pt>
                <c:pt idx="10">
                  <c:v>2.20468647874E6</c:v>
                </c:pt>
                <c:pt idx="11">
                  <c:v>2.20457001332E6</c:v>
                </c:pt>
                <c:pt idx="12">
                  <c:v>2.20464330993E6</c:v>
                </c:pt>
                <c:pt idx="13">
                  <c:v>2.20460202175E6</c:v>
                </c:pt>
                <c:pt idx="14">
                  <c:v>2.2046855473E6</c:v>
                </c:pt>
                <c:pt idx="15">
                  <c:v>2.20475718091E6</c:v>
                </c:pt>
                <c:pt idx="16">
                  <c:v>2.20465600954E6</c:v>
                </c:pt>
                <c:pt idx="17">
                  <c:v>2.20468251813E6</c:v>
                </c:pt>
                <c:pt idx="18">
                  <c:v>2.2047405395E6</c:v>
                </c:pt>
                <c:pt idx="19">
                  <c:v>2.20468616563E6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67112"/>
        <c:axId val="-2067704904"/>
      </c:scatterChart>
      <c:valAx>
        <c:axId val="206466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04904"/>
        <c:crosses val="autoZero"/>
        <c:crossBetween val="midCat"/>
      </c:valAx>
      <c:valAx>
        <c:axId val="-206770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66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99.26581</c:v>
                </c:pt>
                <c:pt idx="1">
                  <c:v>200.37761</c:v>
                </c:pt>
                <c:pt idx="2">
                  <c:v>299.87077</c:v>
                </c:pt>
                <c:pt idx="3">
                  <c:v>401.19752</c:v>
                </c:pt>
                <c:pt idx="4">
                  <c:v>499.67798</c:v>
                </c:pt>
                <c:pt idx="5">
                  <c:v>592.28563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2.951345846118607</c:v>
                </c:pt>
                <c:pt idx="1">
                  <c:v>2.972334502852556</c:v>
                </c:pt>
                <c:pt idx="2">
                  <c:v>2.976423164482658</c:v>
                </c:pt>
                <c:pt idx="3">
                  <c:v>2.98102842527532</c:v>
                </c:pt>
                <c:pt idx="4">
                  <c:v>2.986086668003287</c:v>
                </c:pt>
                <c:pt idx="5">
                  <c:v>2.991618390981177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774328"/>
        <c:axId val="-2110771304"/>
      </c:scatterChart>
      <c:valAx>
        <c:axId val="-21107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71304"/>
        <c:crosses val="autoZero"/>
        <c:crossBetween val="midCat"/>
      </c:valAx>
      <c:valAx>
        <c:axId val="-211077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77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100.81961</c:v>
                </c:pt>
                <c:pt idx="1">
                  <c:v>201.95854</c:v>
                </c:pt>
                <c:pt idx="2">
                  <c:v>299.69022</c:v>
                </c:pt>
                <c:pt idx="3">
                  <c:v>403.5859</c:v>
                </c:pt>
                <c:pt idx="4">
                  <c:v>500.69032</c:v>
                </c:pt>
                <c:pt idx="5">
                  <c:v>602.74332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-4.102169909375</c:v>
                </c:pt>
                <c:pt idx="1">
                  <c:v>-4.0882945590625</c:v>
                </c:pt>
                <c:pt idx="2">
                  <c:v>-4.07462855125</c:v>
                </c:pt>
                <c:pt idx="3">
                  <c:v>-4.059862124375</c:v>
                </c:pt>
                <c:pt idx="4">
                  <c:v>-4.0457670003125</c:v>
                </c:pt>
                <c:pt idx="5">
                  <c:v>-4.0305570234375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22760"/>
        <c:axId val="-2105824280"/>
      </c:scatterChart>
      <c:valAx>
        <c:axId val="-210582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824280"/>
        <c:crosses val="autoZero"/>
        <c:crossBetween val="midCat"/>
      </c:valAx>
      <c:valAx>
        <c:axId val="-2105824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2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42851083009"/>
          <c:y val="0.112359550561798"/>
          <c:w val="0.806520851560222"/>
          <c:h val="0.8539325842696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Sheet1!$B$52:$B$57</c:f>
              <c:numCache>
                <c:formatCode>General</c:formatCode>
                <c:ptCount val="6"/>
                <c:pt idx="0">
                  <c:v>105.42284</c:v>
                </c:pt>
                <c:pt idx="1">
                  <c:v>203.95822</c:v>
                </c:pt>
                <c:pt idx="2">
                  <c:v>305.14222</c:v>
                </c:pt>
                <c:pt idx="3">
                  <c:v>406.77075</c:v>
                </c:pt>
                <c:pt idx="4">
                  <c:v>503.35993</c:v>
                </c:pt>
                <c:pt idx="5">
                  <c:v>610.5365</c:v>
                </c:pt>
              </c:numCache>
            </c:numRef>
          </c:xVal>
          <c:yVal>
            <c:numRef>
              <c:f>Sheet1!$D$52:$D$57</c:f>
              <c:numCache>
                <c:formatCode>General</c:formatCode>
                <c:ptCount val="6"/>
                <c:pt idx="0">
                  <c:v>-4.108471779999999</c:v>
                </c:pt>
                <c:pt idx="1">
                  <c:v>-4.09489765</c:v>
                </c:pt>
                <c:pt idx="2">
                  <c:v>-4.0806788</c:v>
                </c:pt>
                <c:pt idx="3">
                  <c:v>-4.0663263</c:v>
                </c:pt>
                <c:pt idx="4">
                  <c:v>-4.052569195</c:v>
                </c:pt>
                <c:pt idx="5">
                  <c:v>-4.03719553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90744"/>
        <c:axId val="-2109871800"/>
      </c:scatterChart>
      <c:valAx>
        <c:axId val="-210599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71800"/>
        <c:crosses val="autoZero"/>
        <c:crossBetween val="midCat"/>
      </c:valAx>
      <c:valAx>
        <c:axId val="-2109871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99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Sheet1!$B$52:$B$57</c:f>
              <c:numCache>
                <c:formatCode>General</c:formatCode>
                <c:ptCount val="6"/>
                <c:pt idx="0">
                  <c:v>105.42284</c:v>
                </c:pt>
                <c:pt idx="1">
                  <c:v>203.95822</c:v>
                </c:pt>
                <c:pt idx="2">
                  <c:v>305.14222</c:v>
                </c:pt>
                <c:pt idx="3">
                  <c:v>406.77075</c:v>
                </c:pt>
                <c:pt idx="4">
                  <c:v>503.35993</c:v>
                </c:pt>
                <c:pt idx="5">
                  <c:v>610.5365</c:v>
                </c:pt>
              </c:numCache>
            </c:numRef>
          </c:xVal>
          <c:yVal>
            <c:numRef>
              <c:f>Sheet1!$F$52:$F$57</c:f>
              <c:numCache>
                <c:formatCode>General</c:formatCode>
                <c:ptCount val="6"/>
                <c:pt idx="0">
                  <c:v>2.855417796529581</c:v>
                </c:pt>
                <c:pt idx="1">
                  <c:v>2.856870259637774</c:v>
                </c:pt>
                <c:pt idx="2">
                  <c:v>2.85916349278608</c:v>
                </c:pt>
                <c:pt idx="3">
                  <c:v>2.861689996248553</c:v>
                </c:pt>
                <c:pt idx="4">
                  <c:v>2.864295756089269</c:v>
                </c:pt>
                <c:pt idx="5">
                  <c:v>2.867581435586604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17720"/>
        <c:axId val="-2067915304"/>
      </c:scatterChart>
      <c:valAx>
        <c:axId val="-20679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915304"/>
        <c:crosses val="autoZero"/>
        <c:crossBetween val="midCat"/>
      </c:valAx>
      <c:valAx>
        <c:axId val="-2067915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791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100.81961</c:v>
                </c:pt>
                <c:pt idx="1">
                  <c:v>201.95854</c:v>
                </c:pt>
                <c:pt idx="2">
                  <c:v>299.69022</c:v>
                </c:pt>
                <c:pt idx="3">
                  <c:v>403.5859</c:v>
                </c:pt>
                <c:pt idx="4">
                  <c:v>500.69032</c:v>
                </c:pt>
                <c:pt idx="5">
                  <c:v>602.74332</c:v>
                </c:pt>
              </c:numCache>
            </c:numRef>
          </c:xVal>
          <c:yVal>
            <c:numRef>
              <c:f>Sheet1!$F$19:$F$24</c:f>
              <c:numCache>
                <c:formatCode>General</c:formatCode>
                <c:ptCount val="6"/>
                <c:pt idx="0">
                  <c:v>2.913781376890296</c:v>
                </c:pt>
                <c:pt idx="1">
                  <c:v>2.916720688464268</c:v>
                </c:pt>
                <c:pt idx="2">
                  <c:v>2.919896206610412</c:v>
                </c:pt>
                <c:pt idx="3">
                  <c:v>2.923628161533158</c:v>
                </c:pt>
                <c:pt idx="4">
                  <c:v>2.927453725029847</c:v>
                </c:pt>
                <c:pt idx="5">
                  <c:v>2.931891758000754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27592"/>
        <c:axId val="-2068699944"/>
      </c:scatterChart>
      <c:valAx>
        <c:axId val="-206862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699944"/>
        <c:crosses val="autoZero"/>
        <c:crossBetween val="midCat"/>
      </c:valAx>
      <c:valAx>
        <c:axId val="-2068699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862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Sheet1!$B$27:$B$32</c:f>
              <c:numCache>
                <c:formatCode>General</c:formatCode>
                <c:ptCount val="6"/>
                <c:pt idx="0">
                  <c:v>100.62386</c:v>
                </c:pt>
                <c:pt idx="1">
                  <c:v>201.46474</c:v>
                </c:pt>
                <c:pt idx="2">
                  <c:v>301.63057</c:v>
                </c:pt>
                <c:pt idx="3">
                  <c:v>402.21474</c:v>
                </c:pt>
                <c:pt idx="4">
                  <c:v>503.42445</c:v>
                </c:pt>
                <c:pt idx="5">
                  <c:v>601.55283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-4.102475675648148</c:v>
                </c:pt>
                <c:pt idx="1">
                  <c:v>-4.08867933037037</c:v>
                </c:pt>
                <c:pt idx="2">
                  <c:v>-4.074673800740741</c:v>
                </c:pt>
                <c:pt idx="3">
                  <c:v>-4.060378505462963</c:v>
                </c:pt>
                <c:pt idx="4">
                  <c:v>-4.04569800074074</c:v>
                </c:pt>
                <c:pt idx="5">
                  <c:v>-4.031083173796296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33896"/>
        <c:axId val="-2065751656"/>
      </c:scatterChart>
      <c:valAx>
        <c:axId val="-21061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751656"/>
        <c:crosses val="autoZero"/>
        <c:crossBetween val="midCat"/>
      </c:valAx>
      <c:valAx>
        <c:axId val="-2065751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13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Sheet1!$B$27:$B$32</c:f>
              <c:numCache>
                <c:formatCode>General</c:formatCode>
                <c:ptCount val="6"/>
                <c:pt idx="0">
                  <c:v>100.62386</c:v>
                </c:pt>
                <c:pt idx="1">
                  <c:v>201.46474</c:v>
                </c:pt>
                <c:pt idx="2">
                  <c:v>301.63057</c:v>
                </c:pt>
                <c:pt idx="3">
                  <c:v>402.21474</c:v>
                </c:pt>
                <c:pt idx="4">
                  <c:v>503.42445</c:v>
                </c:pt>
                <c:pt idx="5">
                  <c:v>601.55283</c:v>
                </c:pt>
              </c:numCache>
            </c:numRef>
          </c:xVal>
          <c:yVal>
            <c:numRef>
              <c:f>Sheet1!$F$27:$F$32</c:f>
              <c:numCache>
                <c:formatCode>General</c:formatCode>
                <c:ptCount val="6"/>
                <c:pt idx="0">
                  <c:v>2.913831818018599</c:v>
                </c:pt>
                <c:pt idx="1">
                  <c:v>2.916730020661042</c:v>
                </c:pt>
                <c:pt idx="2">
                  <c:v>2.919998823298375</c:v>
                </c:pt>
                <c:pt idx="3">
                  <c:v>2.923589449945091</c:v>
                </c:pt>
                <c:pt idx="4">
                  <c:v>2.9275551609086</c:v>
                </c:pt>
                <c:pt idx="5">
                  <c:v>2.93181672125736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03208"/>
        <c:axId val="-2071710632"/>
      </c:scatterChart>
      <c:valAx>
        <c:axId val="-207140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10632"/>
        <c:crosses val="autoZero"/>
        <c:crossBetween val="midCat"/>
      </c:valAx>
      <c:valAx>
        <c:axId val="-2071710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140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Sheet1!$B$35:$B$40</c:f>
              <c:numCache>
                <c:formatCode>General</c:formatCode>
                <c:ptCount val="6"/>
                <c:pt idx="0">
                  <c:v>100.81037</c:v>
                </c:pt>
                <c:pt idx="1">
                  <c:v>201.29517</c:v>
                </c:pt>
                <c:pt idx="2">
                  <c:v>301.58629</c:v>
                </c:pt>
                <c:pt idx="3">
                  <c:v>401.79474</c:v>
                </c:pt>
                <c:pt idx="4">
                  <c:v>501.30611</c:v>
                </c:pt>
                <c:pt idx="5">
                  <c:v>603.0340200000001</c:v>
                </c:pt>
              </c:numCache>
            </c:numRef>
          </c:xVal>
          <c:yVal>
            <c:numRef>
              <c:f>Sheet1!$F$35:$F$40</c:f>
              <c:numCache>
                <c:formatCode>General</c:formatCode>
                <c:ptCount val="6"/>
                <c:pt idx="0">
                  <c:v>2.913854873694717</c:v>
                </c:pt>
                <c:pt idx="1">
                  <c:v>2.916750718854867</c:v>
                </c:pt>
                <c:pt idx="2">
                  <c:v>2.920005008824539</c:v>
                </c:pt>
                <c:pt idx="3">
                  <c:v>2.923573174980711</c:v>
                </c:pt>
                <c:pt idx="4">
                  <c:v>2.927463972864188</c:v>
                </c:pt>
                <c:pt idx="5">
                  <c:v>2.931865981196477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88440"/>
        <c:axId val="-2059039928"/>
      </c:scatterChart>
      <c:valAx>
        <c:axId val="-210588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039928"/>
        <c:crosses val="autoZero"/>
        <c:crossBetween val="midCat"/>
      </c:valAx>
      <c:valAx>
        <c:axId val="-2059039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8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63500</xdr:rowOff>
    </xdr:from>
    <xdr:to>
      <xdr:col>11</xdr:col>
      <xdr:colOff>152400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0</xdr:row>
      <xdr:rowOff>152400</xdr:rowOff>
    </xdr:from>
    <xdr:to>
      <xdr:col>16</xdr:col>
      <xdr:colOff>444500</xdr:colOff>
      <xdr:row>13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13</xdr:row>
      <xdr:rowOff>165100</xdr:rowOff>
    </xdr:from>
    <xdr:to>
      <xdr:col>10</xdr:col>
      <xdr:colOff>469900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469900</xdr:colOff>
      <xdr:row>46</xdr:row>
      <xdr:rowOff>12700</xdr:rowOff>
    </xdr:from>
    <xdr:to>
      <xdr:col>11</xdr:col>
      <xdr:colOff>114300</xdr:colOff>
      <xdr:row>57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647700</xdr:colOff>
      <xdr:row>46</xdr:row>
      <xdr:rowOff>76200</xdr:rowOff>
    </xdr:from>
    <xdr:to>
      <xdr:col>16</xdr:col>
      <xdr:colOff>342900</xdr:colOff>
      <xdr:row>58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812800</xdr:colOff>
      <xdr:row>13</xdr:row>
      <xdr:rowOff>165100</xdr:rowOff>
    </xdr:from>
    <xdr:to>
      <xdr:col>16</xdr:col>
      <xdr:colOff>241300</xdr:colOff>
      <xdr:row>24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215900</xdr:colOff>
      <xdr:row>24</xdr:row>
      <xdr:rowOff>139700</xdr:rowOff>
    </xdr:from>
    <xdr:to>
      <xdr:col>10</xdr:col>
      <xdr:colOff>508000</xdr:colOff>
      <xdr:row>34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609600</xdr:colOff>
      <xdr:row>24</xdr:row>
      <xdr:rowOff>127000</xdr:rowOff>
    </xdr:from>
    <xdr:to>
      <xdr:col>16</xdr:col>
      <xdr:colOff>0</xdr:colOff>
      <xdr:row>34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812800</xdr:colOff>
      <xdr:row>35</xdr:row>
      <xdr:rowOff>63500</xdr:rowOff>
    </xdr:from>
    <xdr:to>
      <xdr:col>16</xdr:col>
      <xdr:colOff>203200</xdr:colOff>
      <xdr:row>45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584200</xdr:colOff>
      <xdr:row>35</xdr:row>
      <xdr:rowOff>63500</xdr:rowOff>
    </xdr:from>
    <xdr:to>
      <xdr:col>11</xdr:col>
      <xdr:colOff>50800</xdr:colOff>
      <xdr:row>45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32</xdr:row>
      <xdr:rowOff>38100</xdr:rowOff>
    </xdr:from>
    <xdr:to>
      <xdr:col>13</xdr:col>
      <xdr:colOff>76200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32</xdr:row>
      <xdr:rowOff>38100</xdr:rowOff>
    </xdr:from>
    <xdr:to>
      <xdr:col>17</xdr:col>
      <xdr:colOff>368300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6</xdr:row>
      <xdr:rowOff>114300</xdr:rowOff>
    </xdr:from>
    <xdr:to>
      <xdr:col>13</xdr:col>
      <xdr:colOff>88900</xdr:colOff>
      <xdr:row>18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292100</xdr:colOff>
      <xdr:row>6</xdr:row>
      <xdr:rowOff>101600</xdr:rowOff>
    </xdr:from>
    <xdr:to>
      <xdr:col>17</xdr:col>
      <xdr:colOff>317500</xdr:colOff>
      <xdr:row>18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</xdr:row>
      <xdr:rowOff>146050</xdr:rowOff>
    </xdr:from>
    <xdr:to>
      <xdr:col>13</xdr:col>
      <xdr:colOff>381000</xdr:colOff>
      <xdr:row>17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13</xdr:col>
      <xdr:colOff>444500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9"/>
  <sheetViews>
    <sheetView topLeftCell="A21" workbookViewId="0">
      <selection activeCell="D43" sqref="D43"/>
    </sheetView>
  </sheetViews>
  <sheetFormatPr baseColWidth="10" defaultRowHeight="15" x14ac:dyDescent="0"/>
  <cols>
    <col min="16" max="16" width="12.1640625" bestFit="1" customWidth="1"/>
  </cols>
  <sheetData>
    <row r="2" spans="1:6">
      <c r="A2" t="s">
        <v>0</v>
      </c>
    </row>
    <row r="4" spans="1:6">
      <c r="A4">
        <v>100</v>
      </c>
      <c r="B4">
        <v>99.265810000000002</v>
      </c>
      <c r="C4">
        <v>-8071.2206399999995</v>
      </c>
      <c r="D4">
        <f>C4/2000</f>
        <v>-4.03561032</v>
      </c>
      <c r="E4">
        <v>25707.527709999998</v>
      </c>
      <c r="F4">
        <f>E4^(1/3)/10</f>
        <v>2.9513458461186071</v>
      </c>
    </row>
    <row r="5" spans="1:6">
      <c r="A5">
        <v>200</v>
      </c>
      <c r="B5">
        <v>200.37761</v>
      </c>
      <c r="C5">
        <v>-8194.3436399999991</v>
      </c>
      <c r="D5">
        <f t="shared" ref="D5:D9" si="0">C5/2000</f>
        <v>-4.0971718199999998</v>
      </c>
      <c r="E5">
        <v>26259.898819999999</v>
      </c>
      <c r="F5">
        <f t="shared" ref="F5:F9" si="1">E5^(1/3)/10</f>
        <v>2.972334502852557</v>
      </c>
    </row>
    <row r="6" spans="1:6">
      <c r="A6">
        <v>300</v>
      </c>
      <c r="B6">
        <v>299.87076999999999</v>
      </c>
      <c r="C6">
        <v>-8167.0960999999998</v>
      </c>
      <c r="D6">
        <f t="shared" si="0"/>
        <v>-4.0835480500000001</v>
      </c>
      <c r="E6">
        <v>26368.415140000001</v>
      </c>
      <c r="F6">
        <f t="shared" si="1"/>
        <v>2.9764231644826582</v>
      </c>
    </row>
    <row r="7" spans="1:6">
      <c r="A7">
        <v>400</v>
      </c>
      <c r="B7">
        <v>401.19752</v>
      </c>
      <c r="C7">
        <v>-8138.4210700000003</v>
      </c>
      <c r="D7">
        <f t="shared" si="0"/>
        <v>-4.0692105349999999</v>
      </c>
      <c r="E7">
        <v>26490.999940000002</v>
      </c>
      <c r="F7">
        <f t="shared" si="1"/>
        <v>2.9810284252753196</v>
      </c>
    </row>
    <row r="8" spans="1:6">
      <c r="A8">
        <v>500</v>
      </c>
      <c r="B8">
        <v>499.67797999999999</v>
      </c>
      <c r="C8">
        <v>-8109.5147100000004</v>
      </c>
      <c r="D8">
        <f t="shared" si="0"/>
        <v>-4.0547573550000005</v>
      </c>
      <c r="E8">
        <v>26626.079570000002</v>
      </c>
      <c r="F8">
        <f t="shared" si="1"/>
        <v>2.9860866680032871</v>
      </c>
    </row>
    <row r="9" spans="1:6">
      <c r="A9">
        <v>600</v>
      </c>
      <c r="B9">
        <v>592.28562999999997</v>
      </c>
      <c r="C9">
        <v>-8080.9306699999997</v>
      </c>
      <c r="D9">
        <f t="shared" si="0"/>
        <v>-4.0404653349999995</v>
      </c>
      <c r="E9">
        <v>26774.328229999999</v>
      </c>
      <c r="F9">
        <f t="shared" si="1"/>
        <v>2.9916183909811775</v>
      </c>
    </row>
    <row r="18" spans="1:6">
      <c r="A18" t="s">
        <v>1</v>
      </c>
    </row>
    <row r="19" spans="1:6">
      <c r="A19">
        <v>100</v>
      </c>
      <c r="B19">
        <v>100.81961</v>
      </c>
      <c r="C19">
        <v>-131269.43710000001</v>
      </c>
      <c r="D19">
        <f>C19/32000</f>
        <v>-4.1021699093750001</v>
      </c>
      <c r="E19">
        <v>395813.74585000001</v>
      </c>
      <c r="F19">
        <f>(E19/16000)^(1/3)</f>
        <v>2.913781376890296</v>
      </c>
    </row>
    <row r="20" spans="1:6">
      <c r="A20">
        <v>200</v>
      </c>
      <c r="B20">
        <v>201.95854</v>
      </c>
      <c r="C20">
        <v>-130825.42589</v>
      </c>
      <c r="D20">
        <f t="shared" ref="D20:D24" si="2">C20/32000</f>
        <v>-4.0882945590624997</v>
      </c>
      <c r="E20">
        <v>397012.80005000002</v>
      </c>
      <c r="F20">
        <f t="shared" ref="F20:F24" si="3">(E20/16000)^(1/3)</f>
        <v>2.9167206884642676</v>
      </c>
    </row>
    <row r="21" spans="1:6">
      <c r="A21">
        <v>300</v>
      </c>
      <c r="B21">
        <v>299.69022000000001</v>
      </c>
      <c r="C21">
        <v>-130388.11364</v>
      </c>
      <c r="D21">
        <f t="shared" si="2"/>
        <v>-4.07462855125</v>
      </c>
      <c r="E21">
        <v>398310.93027999997</v>
      </c>
      <c r="F21">
        <f t="shared" si="3"/>
        <v>2.9198962066104119</v>
      </c>
    </row>
    <row r="22" spans="1:6">
      <c r="A22">
        <v>400</v>
      </c>
      <c r="B22">
        <v>403.58589999999998</v>
      </c>
      <c r="C22">
        <v>-129915.58798</v>
      </c>
      <c r="D22">
        <f t="shared" si="2"/>
        <v>-4.0598621243749999</v>
      </c>
      <c r="E22">
        <v>399840.14127999998</v>
      </c>
      <c r="F22">
        <f t="shared" si="3"/>
        <v>2.9236281615331579</v>
      </c>
    </row>
    <row r="23" spans="1:6">
      <c r="A23">
        <v>500</v>
      </c>
      <c r="B23">
        <v>500.69031999999999</v>
      </c>
      <c r="C23">
        <v>-129464.54401</v>
      </c>
      <c r="D23">
        <f t="shared" si="2"/>
        <v>-4.0457670003124999</v>
      </c>
      <c r="E23">
        <v>401411.76681</v>
      </c>
      <c r="F23">
        <f t="shared" si="3"/>
        <v>2.9274537250298471</v>
      </c>
    </row>
    <row r="24" spans="1:6">
      <c r="A24">
        <v>600</v>
      </c>
      <c r="B24">
        <v>602.74332000000004</v>
      </c>
      <c r="C24">
        <v>-128977.82475</v>
      </c>
      <c r="D24">
        <f t="shared" si="2"/>
        <v>-4.0305570234374999</v>
      </c>
      <c r="E24">
        <v>403240.16197999998</v>
      </c>
      <c r="F24">
        <f t="shared" si="3"/>
        <v>2.931891758000754</v>
      </c>
    </row>
    <row r="26" spans="1:6">
      <c r="A26" t="s">
        <v>5</v>
      </c>
    </row>
    <row r="27" spans="1:6">
      <c r="A27">
        <v>100</v>
      </c>
      <c r="B27">
        <v>100.62385999999999</v>
      </c>
      <c r="C27">
        <v>-443067.37297000003</v>
      </c>
      <c r="D27">
        <f>C27/108000</f>
        <v>-4.1024756756481482</v>
      </c>
      <c r="E27">
        <v>1335940.7701600001</v>
      </c>
      <c r="F27">
        <f>(E27/54000)^(1/3)</f>
        <v>2.9138318180185987</v>
      </c>
    </row>
    <row r="28" spans="1:6">
      <c r="A28">
        <v>200</v>
      </c>
      <c r="B28">
        <v>201.46474000000001</v>
      </c>
      <c r="C28">
        <v>-441577.36768000002</v>
      </c>
      <c r="D28">
        <f t="shared" ref="D28:D32" si="4">C28/108000</f>
        <v>-4.088679330370371</v>
      </c>
      <c r="E28">
        <v>1339931.0616200001</v>
      </c>
      <c r="F28">
        <f t="shared" ref="F28:F32" si="5">(E28/54000)^(1/3)</f>
        <v>2.9167300206610425</v>
      </c>
    </row>
    <row r="29" spans="1:6">
      <c r="A29">
        <v>300</v>
      </c>
      <c r="B29">
        <v>301.63056999999998</v>
      </c>
      <c r="C29">
        <v>-440064.77048000001</v>
      </c>
      <c r="D29">
        <f t="shared" si="4"/>
        <v>-4.074673800740741</v>
      </c>
      <c r="E29">
        <v>1344441.12665</v>
      </c>
      <c r="F29">
        <f t="shared" si="5"/>
        <v>2.9199988232983749</v>
      </c>
    </row>
    <row r="30" spans="1:6">
      <c r="A30">
        <v>400</v>
      </c>
      <c r="B30">
        <v>402.21474000000001</v>
      </c>
      <c r="C30">
        <v>-438520.87858999998</v>
      </c>
      <c r="D30">
        <f t="shared" si="4"/>
        <v>-4.0603785054629631</v>
      </c>
      <c r="E30">
        <v>1349406.8731500001</v>
      </c>
      <c r="F30">
        <f t="shared" si="5"/>
        <v>2.9235894499450907</v>
      </c>
    </row>
    <row r="31" spans="1:6">
      <c r="A31">
        <v>500</v>
      </c>
      <c r="B31">
        <v>503.42444999999998</v>
      </c>
      <c r="C31">
        <v>-436935.38407999999</v>
      </c>
      <c r="D31">
        <f t="shared" si="4"/>
        <v>-4.0456980007407406</v>
      </c>
      <c r="E31">
        <v>1354905.5451100001</v>
      </c>
      <c r="F31">
        <f t="shared" si="5"/>
        <v>2.9275551609085997</v>
      </c>
    </row>
    <row r="32" spans="1:6">
      <c r="A32">
        <v>600</v>
      </c>
      <c r="B32">
        <v>601.55282999999997</v>
      </c>
      <c r="C32">
        <v>-435356.98277</v>
      </c>
      <c r="D32">
        <f t="shared" si="4"/>
        <v>-4.0310831737962962</v>
      </c>
      <c r="E32">
        <v>1360831.0569199999</v>
      </c>
      <c r="F32">
        <f t="shared" si="5"/>
        <v>2.9318167212573605</v>
      </c>
    </row>
    <row r="34" spans="1:6">
      <c r="A34" t="s">
        <v>9</v>
      </c>
    </row>
    <row r="35" spans="1:6">
      <c r="A35">
        <v>100</v>
      </c>
      <c r="B35">
        <v>100.81037000000001</v>
      </c>
      <c r="C35">
        <v>-590780.26249999995</v>
      </c>
      <c r="D35">
        <f>C35/144000</f>
        <v>-4.102640711805555</v>
      </c>
      <c r="E35">
        <v>1781296.64304</v>
      </c>
      <c r="F35">
        <f>(E35/72000)^(1/3)</f>
        <v>2.9138548736947172</v>
      </c>
    </row>
    <row r="36" spans="1:6">
      <c r="A36">
        <v>200</v>
      </c>
      <c r="B36">
        <v>201.29517000000001</v>
      </c>
      <c r="C36">
        <v>-588795.94715000002</v>
      </c>
      <c r="D36">
        <f t="shared" ref="D36:D40" si="6">C36/144000</f>
        <v>-4.0888607440972224</v>
      </c>
      <c r="E36">
        <v>1786612.7836800001</v>
      </c>
      <c r="F36">
        <f t="shared" ref="F36:F40" si="7">(E36/72000)^(1/3)</f>
        <v>2.9167507188548671</v>
      </c>
    </row>
    <row r="37" spans="1:6">
      <c r="A37">
        <v>300</v>
      </c>
      <c r="B37">
        <v>301.58629000000002</v>
      </c>
      <c r="C37">
        <v>-586776.31371000002</v>
      </c>
      <c r="D37">
        <f t="shared" si="6"/>
        <v>-4.0748355118750004</v>
      </c>
      <c r="E37">
        <v>1792599.5607799999</v>
      </c>
      <c r="F37">
        <f t="shared" si="7"/>
        <v>2.9200050088245395</v>
      </c>
    </row>
    <row r="38" spans="1:6">
      <c r="A38">
        <v>400</v>
      </c>
      <c r="B38">
        <v>401.79473999999999</v>
      </c>
      <c r="C38">
        <v>-584726.29484999995</v>
      </c>
      <c r="D38">
        <f t="shared" si="6"/>
        <v>-4.0605992697916662</v>
      </c>
      <c r="E38">
        <v>1799179.11699</v>
      </c>
      <c r="F38">
        <f t="shared" si="7"/>
        <v>2.9235731749807115</v>
      </c>
    </row>
    <row r="39" spans="1:6">
      <c r="A39">
        <v>500</v>
      </c>
      <c r="B39">
        <v>501.30610999999999</v>
      </c>
      <c r="C39">
        <v>-582649.36835</v>
      </c>
      <c r="D39">
        <f t="shared" si="6"/>
        <v>-4.0461761690972224</v>
      </c>
      <c r="E39">
        <v>1806371.92065</v>
      </c>
      <c r="F39">
        <f t="shared" si="7"/>
        <v>2.9274639728641882</v>
      </c>
    </row>
    <row r="40" spans="1:6">
      <c r="A40">
        <v>600</v>
      </c>
      <c r="B40">
        <v>603.03402000000006</v>
      </c>
      <c r="C40">
        <v>-580467.06931000005</v>
      </c>
      <c r="D40">
        <f t="shared" si="6"/>
        <v>-4.0310213146527785</v>
      </c>
      <c r="E40">
        <v>1814532.86867</v>
      </c>
      <c r="F40">
        <f t="shared" si="7"/>
        <v>2.9318659811964767</v>
      </c>
    </row>
    <row r="42" spans="1:6">
      <c r="A42" t="s">
        <v>10</v>
      </c>
    </row>
    <row r="43" spans="1:6">
      <c r="A43">
        <v>100</v>
      </c>
      <c r="B43">
        <v>100.86743</v>
      </c>
      <c r="C43">
        <v>-738491.50818</v>
      </c>
      <c r="D43">
        <f>C43/180000</f>
        <v>-4.1027306010000002</v>
      </c>
      <c r="E43">
        <v>2226650.13698</v>
      </c>
      <c r="F43">
        <f>(E43/90000)^(1/3)</f>
        <v>2.9138676692058985</v>
      </c>
    </row>
    <row r="44" spans="1:6">
      <c r="A44">
        <v>200</v>
      </c>
      <c r="D44">
        <f t="shared" ref="D44:D48" si="8">C44/144000</f>
        <v>0</v>
      </c>
      <c r="F44">
        <f t="shared" ref="F44:F48" si="9">(E44/72000)^(1/3)</f>
        <v>0</v>
      </c>
    </row>
    <row r="45" spans="1:6">
      <c r="A45">
        <v>300</v>
      </c>
      <c r="D45">
        <f t="shared" si="8"/>
        <v>0</v>
      </c>
      <c r="F45">
        <f t="shared" si="9"/>
        <v>0</v>
      </c>
    </row>
    <row r="46" spans="1:6">
      <c r="A46">
        <v>400</v>
      </c>
      <c r="D46">
        <f t="shared" si="8"/>
        <v>0</v>
      </c>
      <c r="F46">
        <f t="shared" si="9"/>
        <v>0</v>
      </c>
    </row>
    <row r="47" spans="1:6">
      <c r="A47">
        <v>500</v>
      </c>
      <c r="D47">
        <f t="shared" si="8"/>
        <v>0</v>
      </c>
      <c r="F47">
        <f t="shared" si="9"/>
        <v>0</v>
      </c>
    </row>
    <row r="48" spans="1:6">
      <c r="A48">
        <v>600</v>
      </c>
      <c r="D48">
        <f t="shared" si="8"/>
        <v>0</v>
      </c>
      <c r="F48">
        <f t="shared" si="9"/>
        <v>0</v>
      </c>
    </row>
    <row r="51" spans="1:16">
      <c r="A51" t="s">
        <v>2</v>
      </c>
    </row>
    <row r="52" spans="1:16">
      <c r="A52">
        <v>100</v>
      </c>
      <c r="B52">
        <v>105.42283999999999</v>
      </c>
      <c r="C52">
        <v>-8216.9435599999997</v>
      </c>
      <c r="D52">
        <f>C52/2000</f>
        <v>-4.1084717799999995</v>
      </c>
      <c r="E52">
        <v>23281.39428</v>
      </c>
      <c r="F52">
        <f>E52^(1/3)/10</f>
        <v>2.8554177965295806</v>
      </c>
    </row>
    <row r="53" spans="1:16">
      <c r="A53">
        <v>200</v>
      </c>
      <c r="B53">
        <v>203.95822000000001</v>
      </c>
      <c r="C53">
        <v>-8189.7952999999998</v>
      </c>
      <c r="D53">
        <f t="shared" ref="D53:D57" si="10">C53/2000</f>
        <v>-4.0948976500000001</v>
      </c>
      <c r="E53">
        <v>23316.93994</v>
      </c>
      <c r="F53">
        <f t="shared" ref="F53:F57" si="11">E53^(1/3)/10</f>
        <v>2.8568702596377737</v>
      </c>
    </row>
    <row r="54" spans="1:16">
      <c r="A54">
        <v>300</v>
      </c>
      <c r="B54">
        <v>305.14222000000001</v>
      </c>
      <c r="C54">
        <v>-8161.3576000000003</v>
      </c>
      <c r="D54">
        <f t="shared" si="10"/>
        <v>-4.0806788000000003</v>
      </c>
      <c r="E54">
        <v>23373.135119999999</v>
      </c>
      <c r="F54">
        <f t="shared" si="11"/>
        <v>2.8591634927860805</v>
      </c>
    </row>
    <row r="55" spans="1:16">
      <c r="A55">
        <v>400</v>
      </c>
      <c r="B55">
        <v>406.77075000000002</v>
      </c>
      <c r="C55">
        <v>-8132.6526000000003</v>
      </c>
      <c r="D55">
        <f t="shared" si="10"/>
        <v>-4.0663263000000001</v>
      </c>
      <c r="E55">
        <v>23435.150989999998</v>
      </c>
      <c r="F55">
        <f t="shared" si="11"/>
        <v>2.8616899962485527</v>
      </c>
    </row>
    <row r="56" spans="1:16">
      <c r="A56">
        <v>500</v>
      </c>
      <c r="B56">
        <v>503.35993000000002</v>
      </c>
      <c r="C56">
        <v>-8105.1383900000001</v>
      </c>
      <c r="D56">
        <f t="shared" si="10"/>
        <v>-4.0525691950000002</v>
      </c>
      <c r="E56">
        <v>23499.22711</v>
      </c>
      <c r="F56">
        <f t="shared" si="11"/>
        <v>2.8642957560892688</v>
      </c>
    </row>
    <row r="57" spans="1:16">
      <c r="A57">
        <v>600</v>
      </c>
      <c r="B57">
        <v>610.53650000000005</v>
      </c>
      <c r="C57">
        <v>-8074.3910599999999</v>
      </c>
      <c r="D57">
        <f t="shared" si="10"/>
        <v>-4.03719553</v>
      </c>
      <c r="E57">
        <v>23580.18893</v>
      </c>
      <c r="F57">
        <f t="shared" si="11"/>
        <v>2.8675814355866036</v>
      </c>
    </row>
    <row r="59" spans="1:16">
      <c r="A59" t="s">
        <v>6</v>
      </c>
      <c r="D59" t="s">
        <v>3</v>
      </c>
      <c r="E59" t="s">
        <v>4</v>
      </c>
    </row>
    <row r="60" spans="1:16">
      <c r="A60">
        <v>100</v>
      </c>
      <c r="D60">
        <f>C19-16400*D52-15600*D4</f>
        <v>-934.97891600001458</v>
      </c>
      <c r="E60">
        <f>D60/(2*(20*F19)^2)</f>
        <v>-0.13765687431473619</v>
      </c>
    </row>
    <row r="61" spans="1:16">
      <c r="A61">
        <v>200</v>
      </c>
      <c r="D61">
        <f t="shared" ref="D61:D65" si="12">C20-16400*D53-15600*D5</f>
        <v>246.77596200000698</v>
      </c>
      <c r="E61">
        <f t="shared" ref="E61:E65" si="13">D61/(2*(20*F20)^2)</f>
        <v>3.6259614485499886E-2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3</v>
      </c>
    </row>
    <row r="62" spans="1:16">
      <c r="A62">
        <v>300</v>
      </c>
      <c r="D62">
        <f t="shared" si="12"/>
        <v>238.3682600000102</v>
      </c>
      <c r="E62">
        <f t="shared" si="13"/>
        <v>3.4948103365432658E-2</v>
      </c>
      <c r="H62" t="s">
        <v>12</v>
      </c>
      <c r="I62">
        <v>101.14328999999999</v>
      </c>
      <c r="J62">
        <v>-16404.71326</v>
      </c>
      <c r="K62">
        <f>J62/4000</f>
        <v>-4.1011783150000003</v>
      </c>
      <c r="L62">
        <v>49469.944889999999</v>
      </c>
      <c r="M62">
        <f>(L62/2000)^(1/3)</f>
        <v>2.9136484056869643</v>
      </c>
      <c r="N62">
        <f>J62-2100*D52-1900*D4</f>
        <v>-109.26291400000082</v>
      </c>
      <c r="O62">
        <f>N62/4000</f>
        <v>-2.7315728500000205E-2</v>
      </c>
      <c r="P62">
        <f>N62/(2*(20*M71)^2)</f>
        <v>-1.6085239927488868E-2</v>
      </c>
    </row>
    <row r="63" spans="1:16">
      <c r="A63">
        <v>400</v>
      </c>
      <c r="D63">
        <f t="shared" si="12"/>
        <v>251.8476859999937</v>
      </c>
      <c r="E63">
        <f t="shared" si="13"/>
        <v>3.6830168419279323E-2</v>
      </c>
      <c r="H63" t="s">
        <v>13</v>
      </c>
      <c r="I63">
        <v>102.04154</v>
      </c>
      <c r="J63">
        <v>-24610.126209999999</v>
      </c>
      <c r="K63">
        <f>J63/6000</f>
        <v>-4.1016877016666662</v>
      </c>
      <c r="L63">
        <v>74214.767460000003</v>
      </c>
      <c r="M63">
        <f>(L63/3000)^(1/3)</f>
        <v>2.9137773213627924</v>
      </c>
      <c r="N63">
        <f>J63-3100*D52-2900*D4</f>
        <v>-170.5937640000011</v>
      </c>
      <c r="O63">
        <f>N63/6000</f>
        <v>-2.8432294000000184E-2</v>
      </c>
      <c r="P63">
        <f>N63/(2*(20*M72)^2)</f>
        <v>-2.5114461916186867E-2</v>
      </c>
    </row>
    <row r="64" spans="1:16">
      <c r="A64">
        <v>500</v>
      </c>
      <c r="D64">
        <f t="shared" si="12"/>
        <v>251.80552600001101</v>
      </c>
      <c r="E64">
        <f t="shared" si="13"/>
        <v>3.6727823448222272E-2</v>
      </c>
      <c r="H64" t="s">
        <v>14</v>
      </c>
      <c r="I64">
        <v>100.31591</v>
      </c>
      <c r="J64">
        <v>-32817.91792</v>
      </c>
      <c r="K64">
        <f>J64/8000</f>
        <v>-4.1022397399999999</v>
      </c>
      <c r="L64">
        <v>98952.829490000004</v>
      </c>
      <c r="M64">
        <f>(L64/4000)^(1/3)</f>
        <v>2.9137754192437968</v>
      </c>
      <c r="N64">
        <f>J64-4100*D52-3900*D4</f>
        <v>-234.30337400000099</v>
      </c>
      <c r="O64">
        <f>N64/8000</f>
        <v>-2.9287921750000123E-2</v>
      </c>
      <c r="P64">
        <f>N64/(2*(20*M73)^2)</f>
        <v>-3.4488451269978147E-2</v>
      </c>
    </row>
    <row r="65" spans="1:16">
      <c r="A65">
        <v>600</v>
      </c>
      <c r="D65">
        <f t="shared" si="12"/>
        <v>263.44116799999028</v>
      </c>
      <c r="E65">
        <f t="shared" si="13"/>
        <v>3.8308733206766858E-2</v>
      </c>
      <c r="H65" t="s">
        <v>20</v>
      </c>
      <c r="I65">
        <v>100.9833</v>
      </c>
      <c r="J65">
        <v>-49229.570189999999</v>
      </c>
      <c r="K65">
        <f>J65/12000</f>
        <v>-4.1024641824999994</v>
      </c>
      <c r="L65">
        <v>148438.20035</v>
      </c>
      <c r="M65">
        <f>(L65/6000)^(1/3)</f>
        <v>2.9138340231103901</v>
      </c>
      <c r="N65">
        <f>J65-6100*D52-5900*D4</f>
        <v>-357.79144400000223</v>
      </c>
      <c r="O65">
        <f>N65/12000</f>
        <v>-2.9815953666666853E-2</v>
      </c>
      <c r="P65">
        <f>N65/(2*(20*M74)^2)</f>
        <v>-5.2674041154000845E-2</v>
      </c>
    </row>
    <row r="66" spans="1:16">
      <c r="H66" t="s">
        <v>21</v>
      </c>
      <c r="I66">
        <v>100.77113</v>
      </c>
      <c r="J66">
        <v>-82054.882299999997</v>
      </c>
      <c r="K66">
        <f>J66/20000</f>
        <v>-4.1027441150000001</v>
      </c>
      <c r="L66">
        <v>247406.62635000001</v>
      </c>
      <c r="M66">
        <f>(L66/10000)^(1/3)</f>
        <v>2.9138718132784054</v>
      </c>
      <c r="N66">
        <f>J66-10100*D52-9900*D4</f>
        <v>-606.77515400000266</v>
      </c>
      <c r="O66">
        <f>N66/20000</f>
        <v>-3.0338757700000132E-2</v>
      </c>
      <c r="P66">
        <f>N66/(2*(20*M75)^2)</f>
        <v>-8.9334317585377951E-2</v>
      </c>
    </row>
    <row r="67" spans="1:16">
      <c r="A67" t="s">
        <v>7</v>
      </c>
      <c r="D67" t="s">
        <v>3</v>
      </c>
      <c r="E67" t="s">
        <v>4</v>
      </c>
      <c r="I67">
        <v>100.69605</v>
      </c>
      <c r="J67">
        <v>-82055.07028</v>
      </c>
      <c r="K67">
        <f>J67/20000</f>
        <v>-4.1027535139999998</v>
      </c>
      <c r="L67">
        <v>247403.68363000001</v>
      </c>
      <c r="N67">
        <f>J67-10100*D52-9900*D4</f>
        <v>-606.96313400000508</v>
      </c>
      <c r="O67">
        <f>N67/20000</f>
        <v>-3.0348156700000253E-2</v>
      </c>
      <c r="P67">
        <f>N67/(2*(20*M76)^2)</f>
        <v>-8.9359540079903918E-2</v>
      </c>
    </row>
    <row r="68" spans="1:16">
      <c r="A68">
        <v>100</v>
      </c>
      <c r="D68">
        <f>C27-54900*D52-53100*D4</f>
        <v>-3221.364256000059</v>
      </c>
      <c r="E68">
        <f>D68/(2*(30*F27)^2)</f>
        <v>-0.21078435233554407</v>
      </c>
      <c r="I68">
        <v>100.75774</v>
      </c>
      <c r="J68">
        <v>-82054.898260000002</v>
      </c>
      <c r="L68">
        <v>247404.01814999999</v>
      </c>
    </row>
    <row r="69" spans="1:16">
      <c r="A69">
        <v>200</v>
      </c>
      <c r="D69">
        <f t="shared" ref="D69:D73" si="14">C28-54900*D53-53100*D5</f>
        <v>792.33694699997432</v>
      </c>
      <c r="E69">
        <f>D69/(2*(30*F28)^2)</f>
        <v>5.1742205834074712E-2</v>
      </c>
      <c r="I69">
        <v>101.23215999999999</v>
      </c>
      <c r="J69">
        <v>-82053.645080000002</v>
      </c>
      <c r="L69">
        <v>247409.51626</v>
      </c>
    </row>
    <row r="70" spans="1:16">
      <c r="A70">
        <v>300</v>
      </c>
      <c r="D70">
        <f t="shared" si="14"/>
        <v>800.89709500002209</v>
      </c>
      <c r="E70">
        <f>D70/(2*(30*F29)^2)</f>
        <v>5.2184179625858022E-2</v>
      </c>
    </row>
    <row r="71" spans="1:16">
      <c r="A71">
        <v>400</v>
      </c>
      <c r="D71">
        <f t="shared" si="14"/>
        <v>795.51468850002857</v>
      </c>
      <c r="E71">
        <f>D71/(2*(30*F30)^2)</f>
        <v>5.170623620315238E-2</v>
      </c>
      <c r="L71">
        <v>14.569599999999999</v>
      </c>
      <c r="M71">
        <f t="shared" ref="M71:M74" si="15">2*L71/10</f>
        <v>2.9139200000000001</v>
      </c>
      <c r="P71">
        <f>AVERAGE(P62:P66)</f>
        <v>-4.3539302370606534E-2</v>
      </c>
    </row>
    <row r="72" spans="1:16">
      <c r="A72">
        <v>500</v>
      </c>
      <c r="D72">
        <f t="shared" si="14"/>
        <v>858.28027600003406</v>
      </c>
      <c r="E72">
        <f>D72/(2*(30*F31)^2)</f>
        <v>5.5634790054076358E-2</v>
      </c>
      <c r="L72">
        <v>14.5695</v>
      </c>
      <c r="M72">
        <f t="shared" si="15"/>
        <v>2.9138999999999999</v>
      </c>
    </row>
    <row r="73" spans="1:16">
      <c r="A73">
        <v>600</v>
      </c>
      <c r="D73">
        <f t="shared" si="14"/>
        <v>833.76111549997586</v>
      </c>
      <c r="E73">
        <f>D73/(2*(30*F32)^2)</f>
        <v>5.3888425771739024E-2</v>
      </c>
      <c r="L73">
        <v>14.570600000000001</v>
      </c>
      <c r="M73">
        <f t="shared" si="15"/>
        <v>2.91412</v>
      </c>
    </row>
    <row r="74" spans="1:16">
      <c r="L74">
        <v>14.5694</v>
      </c>
      <c r="M74">
        <f t="shared" si="15"/>
        <v>2.9138799999999998</v>
      </c>
    </row>
    <row r="75" spans="1:16">
      <c r="A75" t="s">
        <v>8</v>
      </c>
      <c r="D75" t="s">
        <v>3</v>
      </c>
      <c r="E75" t="s">
        <v>4</v>
      </c>
      <c r="L75">
        <v>14.569000000000001</v>
      </c>
      <c r="M75">
        <f>2*L75/10</f>
        <v>2.9138000000000002</v>
      </c>
    </row>
    <row r="76" spans="1:16">
      <c r="A76">
        <v>100</v>
      </c>
      <c r="D76">
        <f>C35-72900*D52-71100*D4</f>
        <v>-4340.7759859999642</v>
      </c>
      <c r="E76">
        <f>D76/(2*(30*F35)^2)</f>
        <v>-0.28402661200409546</v>
      </c>
      <c r="L76">
        <v>14.5692</v>
      </c>
      <c r="M76">
        <f>2*L76/10</f>
        <v>2.91384</v>
      </c>
    </row>
    <row r="77" spans="1:16">
      <c r="A77">
        <v>200</v>
      </c>
      <c r="D77">
        <f t="shared" ref="D77:D81" si="16">C36-72900*D53-71100*D5</f>
        <v>1031.0079369999585</v>
      </c>
      <c r="E77">
        <f>D77/(2*(30*F36)^2)</f>
        <v>6.7327250064685998E-2</v>
      </c>
      <c r="L77">
        <v>14.569800000000001</v>
      </c>
      <c r="M77">
        <f t="shared" ref="M77:M78" si="17">2*L77/10</f>
        <v>2.9139600000000003</v>
      </c>
    </row>
    <row r="78" spans="1:16">
      <c r="A78">
        <v>300</v>
      </c>
      <c r="D78">
        <f t="shared" si="16"/>
        <v>1045.4371650000103</v>
      </c>
      <c r="E78">
        <f>D78/(2*(30*F37)^2)</f>
        <v>6.8117427338497571E-2</v>
      </c>
      <c r="L78">
        <v>14.5685</v>
      </c>
      <c r="M78">
        <f t="shared" si="17"/>
        <v>2.9137</v>
      </c>
    </row>
    <row r="79" spans="1:16">
      <c r="A79">
        <v>400</v>
      </c>
      <c r="D79">
        <f t="shared" si="16"/>
        <v>1029.7614585000556</v>
      </c>
      <c r="E79">
        <f>D79/(2*(30*F38)^2)</f>
        <v>6.6932368173246409E-2</v>
      </c>
    </row>
    <row r="80" spans="1:16">
      <c r="A80">
        <v>500</v>
      </c>
      <c r="D80">
        <f t="shared" si="16"/>
        <v>1076.17390600004</v>
      </c>
      <c r="E80">
        <f>D80/(2*(30*F39)^2)</f>
        <v>6.9763270837779556E-2</v>
      </c>
    </row>
    <row r="81" spans="1:13">
      <c r="A81">
        <v>600</v>
      </c>
      <c r="D81">
        <f t="shared" si="16"/>
        <v>1121.5701454998925</v>
      </c>
      <c r="E81">
        <f>D81/(2*(30*F40)^2)</f>
        <v>7.2487931453717708E-2</v>
      </c>
      <c r="L81">
        <v>14.2743</v>
      </c>
      <c r="M81">
        <f>L81*2/10</f>
        <v>2.85486</v>
      </c>
    </row>
    <row r="83" spans="1:13">
      <c r="A83" t="s">
        <v>11</v>
      </c>
      <c r="D83" t="s">
        <v>3</v>
      </c>
      <c r="E83" t="s">
        <v>4</v>
      </c>
    </row>
    <row r="84" spans="1:13">
      <c r="A84">
        <v>100</v>
      </c>
      <c r="D84">
        <f>C43-90900*D52-89100*D4</f>
        <v>-5458.5438660000218</v>
      </c>
      <c r="E84">
        <f>D84/(2*(30*F43)^2)</f>
        <v>-0.35716150974782673</v>
      </c>
    </row>
    <row r="85" spans="1:13">
      <c r="A85">
        <v>200</v>
      </c>
      <c r="D85">
        <f t="shared" ref="D85:D89" si="18">C44-90900*D53-89100*D5</f>
        <v>737284.20554700005</v>
      </c>
      <c r="E85" t="e">
        <f t="shared" ref="E85:E89" si="19">D85/(2*(30*F44)^2)</f>
        <v>#DIV/0!</v>
      </c>
    </row>
    <row r="86" spans="1:13">
      <c r="A86">
        <v>300</v>
      </c>
      <c r="D86">
        <f t="shared" si="18"/>
        <v>734777.83417499997</v>
      </c>
      <c r="E86" t="e">
        <f t="shared" si="19"/>
        <v>#DIV/0!</v>
      </c>
    </row>
    <row r="87" spans="1:13">
      <c r="A87">
        <v>400</v>
      </c>
      <c r="D87">
        <f t="shared" si="18"/>
        <v>732195.71933849994</v>
      </c>
      <c r="E87" t="e">
        <f t="shared" si="19"/>
        <v>#DIV/0!</v>
      </c>
    </row>
    <row r="88" spans="1:13">
      <c r="A88">
        <v>500</v>
      </c>
      <c r="D88">
        <f t="shared" si="18"/>
        <v>729657.42015600007</v>
      </c>
      <c r="E88" t="e">
        <f t="shared" si="19"/>
        <v>#DIV/0!</v>
      </c>
    </row>
    <row r="89" spans="1:13">
      <c r="A89">
        <v>600</v>
      </c>
      <c r="D89">
        <f t="shared" si="18"/>
        <v>726986.53502549999</v>
      </c>
      <c r="E89" t="e">
        <f t="shared" si="19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28" workbookViewId="0">
      <selection activeCell="M73" sqref="M73"/>
    </sheetView>
  </sheetViews>
  <sheetFormatPr baseColWidth="10" defaultRowHeight="15" x14ac:dyDescent="0"/>
  <sheetData>
    <row r="1" spans="1:8">
      <c r="A1" t="s">
        <v>38</v>
      </c>
      <c r="B1" t="s">
        <v>22</v>
      </c>
    </row>
    <row r="2" spans="1:8">
      <c r="A2">
        <v>0</v>
      </c>
      <c r="B2">
        <v>0</v>
      </c>
      <c r="C2">
        <v>-13440</v>
      </c>
      <c r="D2">
        <f>C2/4000</f>
        <v>-3.36</v>
      </c>
      <c r="E2">
        <v>66429.740999999995</v>
      </c>
      <c r="F2">
        <f>(E2^(1/3))/10</f>
        <v>4.0499921962964995</v>
      </c>
    </row>
    <row r="3" spans="1:8">
      <c r="A3">
        <v>100</v>
      </c>
      <c r="B3">
        <v>100.25436000000001</v>
      </c>
      <c r="C3">
        <v>-13388.50542</v>
      </c>
      <c r="D3">
        <f t="shared" ref="D3:D5" si="0">C3/4000</f>
        <v>-3.3471263549999999</v>
      </c>
      <c r="E3">
        <v>66634.997430000003</v>
      </c>
      <c r="F3">
        <f>(E3^(1/3))/10</f>
        <v>4.0541591663724663</v>
      </c>
    </row>
    <row r="4" spans="1:8">
      <c r="A4">
        <v>200</v>
      </c>
      <c r="B4">
        <v>199.00630000000001</v>
      </c>
      <c r="C4">
        <v>-13337.899670000001</v>
      </c>
      <c r="D4">
        <f t="shared" si="0"/>
        <v>-3.3344749175000001</v>
      </c>
      <c r="E4">
        <v>66882.987129999994</v>
      </c>
      <c r="F4">
        <f t="shared" ref="F4:F5" si="1">(E4^(1/3))/10</f>
        <v>4.0591822778630942</v>
      </c>
    </row>
    <row r="5" spans="1:8">
      <c r="A5">
        <v>300</v>
      </c>
      <c r="B5">
        <v>299.47406999999998</v>
      </c>
      <c r="C5">
        <v>-13285.43405</v>
      </c>
      <c r="D5">
        <f t="shared" si="0"/>
        <v>-3.3213585124999998</v>
      </c>
      <c r="E5">
        <v>67170.407749999998</v>
      </c>
      <c r="F5">
        <f t="shared" si="1"/>
        <v>4.0649885647366268</v>
      </c>
    </row>
    <row r="8" spans="1:8">
      <c r="A8" t="s">
        <v>2</v>
      </c>
      <c r="B8" t="s">
        <v>22</v>
      </c>
    </row>
    <row r="9" spans="1:8">
      <c r="A9">
        <v>0</v>
      </c>
      <c r="B9">
        <v>0</v>
      </c>
      <c r="C9">
        <v>-8244.9720981699993</v>
      </c>
      <c r="D9">
        <f>C9/2000</f>
        <v>-4.1224860490849995</v>
      </c>
      <c r="E9">
        <v>23280.769</v>
      </c>
      <c r="F9">
        <f>(E9^(1/3))/10</f>
        <v>2.8553922331748152</v>
      </c>
      <c r="H9" t="s">
        <v>26</v>
      </c>
    </row>
    <row r="10" spans="1:8">
      <c r="A10">
        <v>100</v>
      </c>
      <c r="B10">
        <v>101.85328</v>
      </c>
      <c r="C10">
        <v>-8217.9219900000007</v>
      </c>
      <c r="D10">
        <f>C10/2000</f>
        <v>-4.1089609950000003</v>
      </c>
      <c r="E10">
        <v>23280.240180000001</v>
      </c>
      <c r="F10">
        <f>(E10^(1/3))/10</f>
        <v>2.8553706130419929</v>
      </c>
      <c r="H10">
        <f>(F9+F33)/2</f>
        <v>2.9024224279636526</v>
      </c>
    </row>
    <row r="11" spans="1:8">
      <c r="A11">
        <v>200</v>
      </c>
      <c r="B11">
        <v>204.59528</v>
      </c>
      <c r="C11">
        <v>-8189.6240600000001</v>
      </c>
      <c r="D11">
        <f t="shared" ref="D11:D12" si="2">C11/2000</f>
        <v>-4.0948120299999999</v>
      </c>
      <c r="E11">
        <v>23317.403119999999</v>
      </c>
      <c r="F11">
        <f t="shared" ref="F11:F12" si="3">(E11^(1/3))/10</f>
        <v>2.8568891763053497</v>
      </c>
      <c r="H11">
        <f>(F10+F34)/2</f>
        <v>2.903358791931935</v>
      </c>
    </row>
    <row r="12" spans="1:8">
      <c r="A12">
        <v>300</v>
      </c>
      <c r="B12">
        <v>303.69054</v>
      </c>
      <c r="C12">
        <v>-8161.8060500000001</v>
      </c>
      <c r="D12">
        <f t="shared" si="2"/>
        <v>-4.0809030250000005</v>
      </c>
      <c r="E12">
        <v>23369.637119999999</v>
      </c>
      <c r="F12">
        <f t="shared" si="3"/>
        <v>2.8590208524881651</v>
      </c>
      <c r="H12">
        <f>(F11+F35)/2</f>
        <v>2.9145734267306853</v>
      </c>
    </row>
    <row r="13" spans="1:8">
      <c r="H13">
        <f>(F12+F36)/2</f>
        <v>2.9176855258730923</v>
      </c>
    </row>
    <row r="14" spans="1:8">
      <c r="A14" t="s">
        <v>2</v>
      </c>
      <c r="B14" t="s">
        <v>23</v>
      </c>
    </row>
    <row r="15" spans="1:8">
      <c r="A15">
        <v>0</v>
      </c>
      <c r="C15">
        <v>-8126.4252622699996</v>
      </c>
      <c r="D15">
        <f t="shared" ref="D15:D48" si="4">C15/2000</f>
        <v>-4.0632126311349994</v>
      </c>
      <c r="F15">
        <v>2.9494500000000001</v>
      </c>
    </row>
    <row r="16" spans="1:8">
      <c r="A16">
        <v>100</v>
      </c>
      <c r="B16">
        <v>100.87209</v>
      </c>
      <c r="C16">
        <v>-8095.95676</v>
      </c>
      <c r="D16">
        <f t="shared" si="4"/>
        <v>-4.04797838</v>
      </c>
      <c r="E16">
        <v>25707.636259999999</v>
      </c>
      <c r="F16">
        <f t="shared" ref="F16:F48" si="5">(E16^(1/3))/10</f>
        <v>2.9513500001306712</v>
      </c>
    </row>
    <row r="17" spans="1:7">
      <c r="A17">
        <v>200</v>
      </c>
      <c r="B17">
        <v>196.54058000000001</v>
      </c>
      <c r="C17">
        <v>-8019.5818499999996</v>
      </c>
      <c r="D17">
        <f t="shared" si="4"/>
        <v>-4.0097909249999999</v>
      </c>
      <c r="E17">
        <v>26257.924220000001</v>
      </c>
      <c r="F17">
        <f t="shared" si="5"/>
        <v>2.9722599999147565</v>
      </c>
    </row>
    <row r="18" spans="1:7">
      <c r="A18">
        <v>300</v>
      </c>
      <c r="B18">
        <v>298.79111</v>
      </c>
      <c r="C18">
        <v>-7981.7674399999996</v>
      </c>
      <c r="D18">
        <f t="shared" si="4"/>
        <v>-3.9908837199999998</v>
      </c>
      <c r="E18">
        <v>26366.470669999999</v>
      </c>
      <c r="F18">
        <f t="shared" si="5"/>
        <v>2.9763499998298126</v>
      </c>
    </row>
    <row r="20" spans="1:7">
      <c r="A20" t="s">
        <v>2</v>
      </c>
      <c r="B20" t="s">
        <v>25</v>
      </c>
    </row>
    <row r="21" spans="1:7">
      <c r="A21">
        <v>0</v>
      </c>
      <c r="C21">
        <v>-8213.5997000000007</v>
      </c>
      <c r="D21">
        <f t="shared" si="4"/>
        <v>-4.1067998500000007</v>
      </c>
      <c r="F21">
        <v>2.9024200000000002</v>
      </c>
    </row>
    <row r="22" spans="1:7">
      <c r="A22">
        <v>100</v>
      </c>
      <c r="B22">
        <v>99.21669</v>
      </c>
      <c r="C22">
        <v>-8185.46468</v>
      </c>
      <c r="D22">
        <f t="shared" si="4"/>
        <v>-4.0927323400000004</v>
      </c>
      <c r="E22">
        <v>24473.871060000001</v>
      </c>
      <c r="F22">
        <f t="shared" si="5"/>
        <v>2.9033600001007156</v>
      </c>
    </row>
    <row r="23" spans="1:7">
      <c r="A23">
        <v>200</v>
      </c>
      <c r="B23">
        <v>199.28765999999999</v>
      </c>
      <c r="C23">
        <v>-8141.5088599999999</v>
      </c>
      <c r="D23">
        <f t="shared" si="4"/>
        <v>-4.07075443</v>
      </c>
      <c r="E23">
        <v>24758.451069999999</v>
      </c>
      <c r="F23">
        <f t="shared" si="5"/>
        <v>2.914569999936393</v>
      </c>
    </row>
    <row r="24" spans="1:7">
      <c r="A24">
        <v>300</v>
      </c>
      <c r="B24">
        <v>296.21697999999998</v>
      </c>
      <c r="C24">
        <v>-8109.8538799999997</v>
      </c>
      <c r="D24">
        <f t="shared" si="4"/>
        <v>-4.0549269399999996</v>
      </c>
      <c r="E24">
        <v>24838.046780000001</v>
      </c>
      <c r="F24">
        <f t="shared" si="5"/>
        <v>2.9176900000035393</v>
      </c>
    </row>
    <row r="26" spans="1:7">
      <c r="A26" t="s">
        <v>2</v>
      </c>
      <c r="B26" t="s">
        <v>35</v>
      </c>
      <c r="E26" t="s">
        <v>30</v>
      </c>
      <c r="F26" t="s">
        <v>18</v>
      </c>
      <c r="G26" t="s">
        <v>31</v>
      </c>
    </row>
    <row r="27" spans="1:7">
      <c r="A27">
        <v>0</v>
      </c>
      <c r="C27">
        <v>-8211.4407002099997</v>
      </c>
      <c r="D27">
        <f t="shared" si="4"/>
        <v>-4.1057203501049999</v>
      </c>
      <c r="E27">
        <v>2.94945262275249</v>
      </c>
      <c r="F27">
        <v>23862.959999999999</v>
      </c>
      <c r="G27">
        <f>(F27/((10*E27)^2))/10</f>
        <v>2.743098889587432</v>
      </c>
    </row>
    <row r="28" spans="1:7">
      <c r="A28">
        <v>100</v>
      </c>
      <c r="B28">
        <v>102.27476</v>
      </c>
      <c r="C28">
        <v>-8182.1722099999997</v>
      </c>
      <c r="D28">
        <f t="shared" si="4"/>
        <v>-4.0910861049999996</v>
      </c>
      <c r="E28">
        <v>2.9513469708218771</v>
      </c>
      <c r="F28">
        <v>23854.663629999999</v>
      </c>
      <c r="G28">
        <f t="shared" ref="G28:G30" si="6">(F28/((10*E28)^2))/10</f>
        <v>2.7386261934773759</v>
      </c>
    </row>
    <row r="29" spans="1:7">
      <c r="A29">
        <v>200</v>
      </c>
      <c r="B29">
        <v>203.24977999999999</v>
      </c>
      <c r="C29">
        <v>-8135.6711800000003</v>
      </c>
      <c r="D29">
        <f t="shared" si="4"/>
        <v>-4.0678355900000005</v>
      </c>
      <c r="E29">
        <v>2.9722576771560214</v>
      </c>
      <c r="F29">
        <v>24025.49078</v>
      </c>
      <c r="G29">
        <f t="shared" si="6"/>
        <v>2.7195644345828205</v>
      </c>
    </row>
    <row r="30" spans="1:7">
      <c r="A30">
        <v>300</v>
      </c>
      <c r="B30">
        <v>303.51623999999998</v>
      </c>
      <c r="C30">
        <v>-8102.6538399999999</v>
      </c>
      <c r="D30">
        <f t="shared" si="4"/>
        <v>-4.0513269200000002</v>
      </c>
      <c r="E30">
        <v>2.9763501992580199</v>
      </c>
      <c r="F30">
        <v>24119.556240000002</v>
      </c>
      <c r="G30">
        <f t="shared" si="6"/>
        <v>2.7227091744312117</v>
      </c>
    </row>
    <row r="32" spans="1:7">
      <c r="A32" t="s">
        <v>24</v>
      </c>
      <c r="B32" t="s">
        <v>22</v>
      </c>
    </row>
    <row r="33" spans="1:7">
      <c r="A33">
        <v>0</v>
      </c>
      <c r="B33">
        <v>0</v>
      </c>
      <c r="C33">
        <v>-8097.2623131099999</v>
      </c>
      <c r="D33">
        <f t="shared" si="4"/>
        <v>-4.0486311565550004</v>
      </c>
      <c r="E33">
        <v>25658.087</v>
      </c>
      <c r="F33">
        <f t="shared" si="5"/>
        <v>2.94945262275249</v>
      </c>
      <c r="G33">
        <f>(C33-1000*D$9-1000*D$2)/2000</f>
        <v>-0.30738813201250015</v>
      </c>
    </row>
    <row r="34" spans="1:7">
      <c r="A34">
        <v>100</v>
      </c>
      <c r="B34">
        <v>99.342519999999993</v>
      </c>
      <c r="C34">
        <v>-8071.1467499999999</v>
      </c>
      <c r="D34">
        <f t="shared" si="4"/>
        <v>-4.0355733750000002</v>
      </c>
      <c r="E34">
        <v>25707.557100000002</v>
      </c>
      <c r="F34">
        <f t="shared" si="5"/>
        <v>2.9513469708218771</v>
      </c>
      <c r="G34">
        <f>(C34-1000*D$10-1000*D$3)/2000</f>
        <v>-0.30752969999999979</v>
      </c>
    </row>
    <row r="35" spans="1:7">
      <c r="A35">
        <v>200</v>
      </c>
      <c r="B35">
        <v>198.23079000000001</v>
      </c>
      <c r="C35">
        <v>-8194.92605</v>
      </c>
      <c r="D35">
        <f t="shared" si="4"/>
        <v>-4.0974630249999997</v>
      </c>
      <c r="E35">
        <v>26257.862659999999</v>
      </c>
      <c r="F35">
        <f t="shared" si="5"/>
        <v>2.9722576771560214</v>
      </c>
      <c r="G35">
        <f>(C35-1000*D$11-1000*D$4)/2000</f>
        <v>-0.38281955124999989</v>
      </c>
    </row>
    <row r="36" spans="1:7">
      <c r="A36">
        <v>300</v>
      </c>
      <c r="B36">
        <v>297.87725999999998</v>
      </c>
      <c r="C36">
        <v>-8167.68768</v>
      </c>
      <c r="D36">
        <f t="shared" si="4"/>
        <v>-4.0838438400000001</v>
      </c>
      <c r="E36">
        <v>26366.47597</v>
      </c>
      <c r="F36">
        <f t="shared" si="5"/>
        <v>2.9763501992580199</v>
      </c>
      <c r="G36">
        <f>(C36-1000*D$12-1000*D$5)/2000</f>
        <v>-0.38271307124999976</v>
      </c>
    </row>
    <row r="38" spans="1:7">
      <c r="A38" t="s">
        <v>24</v>
      </c>
      <c r="B38" t="s">
        <v>23</v>
      </c>
    </row>
    <row r="39" spans="1:7">
      <c r="A39">
        <v>0</v>
      </c>
      <c r="C39">
        <v>-7919.9241312800004</v>
      </c>
      <c r="D39">
        <f t="shared" si="4"/>
        <v>-3.9599620656400001</v>
      </c>
      <c r="F39">
        <v>2.8553899999999999</v>
      </c>
      <c r="G39">
        <f>(C39-1000*D$9-1000*D$2)/2000</f>
        <v>-0.2187190410975004</v>
      </c>
    </row>
    <row r="40" spans="1:7">
      <c r="A40">
        <v>100</v>
      </c>
      <c r="B40">
        <v>99.332759999999993</v>
      </c>
      <c r="C40">
        <v>-7893.9786199999999</v>
      </c>
      <c r="D40">
        <f t="shared" si="4"/>
        <v>-3.9469893099999998</v>
      </c>
      <c r="E40">
        <v>23280.225190000001</v>
      </c>
      <c r="F40">
        <f t="shared" si="5"/>
        <v>2.8553700001901445</v>
      </c>
      <c r="G40">
        <f>(C40-1000*D$10-1000*D$3)/2000</f>
        <v>-0.21894563499999981</v>
      </c>
    </row>
    <row r="41" spans="1:7">
      <c r="A41">
        <v>200</v>
      </c>
      <c r="B41">
        <v>201.13049000000001</v>
      </c>
      <c r="C41">
        <v>-7917.31675</v>
      </c>
      <c r="D41">
        <f t="shared" si="4"/>
        <v>-3.9586583750000002</v>
      </c>
      <c r="E41">
        <v>23317.423289999999</v>
      </c>
      <c r="F41">
        <f t="shared" si="5"/>
        <v>2.8568900000597184</v>
      </c>
      <c r="G41">
        <f>(C41-1000*D$11-1000*D$4)/2000</f>
        <v>-0.24401490124999986</v>
      </c>
    </row>
    <row r="42" spans="1:7">
      <c r="A42">
        <v>300</v>
      </c>
      <c r="B42">
        <v>301.54208999999997</v>
      </c>
      <c r="C42">
        <v>-7903.4173199999996</v>
      </c>
      <c r="D42">
        <f t="shared" si="4"/>
        <v>-3.95170866</v>
      </c>
      <c r="E42">
        <v>23369.61622</v>
      </c>
      <c r="F42">
        <f t="shared" si="5"/>
        <v>2.8590200001920385</v>
      </c>
      <c r="G42">
        <f>(C42-1000*D$12-1000*D$5)/2000</f>
        <v>-0.25057789124999952</v>
      </c>
    </row>
    <row r="44" spans="1:7">
      <c r="A44" t="s">
        <v>24</v>
      </c>
      <c r="B44" t="s">
        <v>25</v>
      </c>
    </row>
    <row r="45" spans="1:7">
      <c r="A45">
        <v>0</v>
      </c>
      <c r="C45">
        <v>-8055.8959000000004</v>
      </c>
      <c r="D45">
        <f t="shared" si="4"/>
        <v>-4.0279479500000006</v>
      </c>
      <c r="F45">
        <v>2.9024200000000002</v>
      </c>
      <c r="G45">
        <f>(C45-1000*D$9-1000*D$2)/2000</f>
        <v>-0.28670492545750037</v>
      </c>
    </row>
    <row r="46" spans="1:7">
      <c r="A46">
        <v>100</v>
      </c>
      <c r="B46">
        <v>99.338250000000002</v>
      </c>
      <c r="C46">
        <v>-8031.8189199999997</v>
      </c>
      <c r="D46">
        <f t="shared" si="4"/>
        <v>-4.0159094599999996</v>
      </c>
      <c r="E46">
        <v>24473.871060000001</v>
      </c>
      <c r="F46">
        <f t="shared" si="5"/>
        <v>2.9033600001007156</v>
      </c>
      <c r="G46">
        <f>(C46-1000*D$10-1000*D$3)/2000</f>
        <v>-0.28786578499999971</v>
      </c>
    </row>
    <row r="47" spans="1:7">
      <c r="A47">
        <v>200</v>
      </c>
      <c r="B47">
        <v>199.53326999999999</v>
      </c>
      <c r="C47">
        <v>-8141.7461999999996</v>
      </c>
      <c r="D47">
        <f t="shared" si="4"/>
        <v>-4.0708731</v>
      </c>
      <c r="E47">
        <v>24758.451069999999</v>
      </c>
      <c r="F47">
        <f t="shared" si="5"/>
        <v>2.914569999936393</v>
      </c>
      <c r="G47">
        <f>(C47-1000*D$11-1000*D$4)/2000</f>
        <v>-0.35622962624999971</v>
      </c>
    </row>
    <row r="48" spans="1:7">
      <c r="A48">
        <v>300</v>
      </c>
      <c r="B48">
        <v>302.83307000000002</v>
      </c>
      <c r="C48">
        <v>-8121.9080400000003</v>
      </c>
      <c r="D48">
        <f t="shared" si="4"/>
        <v>-4.0609540200000005</v>
      </c>
      <c r="E48">
        <v>24838.046780000001</v>
      </c>
      <c r="F48">
        <f t="shared" si="5"/>
        <v>2.9176900000035393</v>
      </c>
      <c r="G48">
        <f>(C48-1000*D$12-1000*D$5)/2000</f>
        <v>-0.35982325124999986</v>
      </c>
    </row>
    <row r="50" spans="1:24">
      <c r="A50" t="s">
        <v>24</v>
      </c>
      <c r="B50" t="s">
        <v>35</v>
      </c>
      <c r="E50" t="s">
        <v>30</v>
      </c>
      <c r="F50" t="s">
        <v>18</v>
      </c>
      <c r="G50" t="s">
        <v>31</v>
      </c>
    </row>
    <row r="51" spans="1:24">
      <c r="A51">
        <v>0</v>
      </c>
      <c r="C51">
        <v>-8063.3612886399997</v>
      </c>
      <c r="D51">
        <f t="shared" ref="D51:D54" si="7">C51/2000</f>
        <v>-4.0316806443199997</v>
      </c>
      <c r="E51">
        <v>2.8553922331748152</v>
      </c>
      <c r="F51">
        <v>25257.393</v>
      </c>
      <c r="G51">
        <f>(F51/((10*E51)^2))/10</f>
        <v>3.097825669007928</v>
      </c>
      <c r="H51">
        <f>(C51-1000*D$9-1000*D$2)/2000</f>
        <v>-0.29043761977749999</v>
      </c>
    </row>
    <row r="52" spans="1:24">
      <c r="A52">
        <v>100</v>
      </c>
      <c r="B52">
        <v>92.913899999999998</v>
      </c>
      <c r="C52">
        <v>-8037.2978700000003</v>
      </c>
      <c r="D52">
        <f t="shared" si="7"/>
        <v>-4.0186489349999999</v>
      </c>
      <c r="E52">
        <v>2.8553706130419929</v>
      </c>
      <c r="F52">
        <v>25356.721850000002</v>
      </c>
      <c r="G52">
        <f t="shared" ref="G52:G54" si="8">(F52/((10*E52)^2))/10</f>
        <v>3.1100554742459652</v>
      </c>
      <c r="H52">
        <f>(C52-1000*D$10-1000*D$3)/2000</f>
        <v>-0.29060526000000003</v>
      </c>
      <c r="J52">
        <f>H52*5900</f>
        <v>-1714.5710340000003</v>
      </c>
    </row>
    <row r="53" spans="1:24">
      <c r="A53">
        <v>200</v>
      </c>
      <c r="B53">
        <v>200.54931999999999</v>
      </c>
      <c r="C53">
        <v>-8140.3912600000003</v>
      </c>
      <c r="D53">
        <f t="shared" si="7"/>
        <v>-4.0701956299999997</v>
      </c>
      <c r="E53">
        <v>2.8568891763053497</v>
      </c>
      <c r="F53">
        <v>25633.566879999998</v>
      </c>
      <c r="G53">
        <f t="shared" si="8"/>
        <v>3.1406696274319623</v>
      </c>
      <c r="H53">
        <f>(C53-1000*D$11-1000*D$4)/2000</f>
        <v>-0.35555215625000003</v>
      </c>
    </row>
    <row r="54" spans="1:24">
      <c r="A54">
        <v>300</v>
      </c>
      <c r="B54">
        <v>303.56535000000002</v>
      </c>
      <c r="C54">
        <v>-8113.7310299999999</v>
      </c>
      <c r="D54">
        <f t="shared" si="7"/>
        <v>-4.0568655150000001</v>
      </c>
      <c r="E54">
        <v>2.8590208524881651</v>
      </c>
      <c r="F54">
        <v>25776.23832</v>
      </c>
      <c r="G54">
        <f t="shared" si="8"/>
        <v>3.1534423267751897</v>
      </c>
      <c r="H54">
        <f>(C54-1000*D$12-1000*D$5)/2000</f>
        <v>-0.35573474624999973</v>
      </c>
    </row>
    <row r="56" spans="1:24">
      <c r="A56" t="s">
        <v>27</v>
      </c>
      <c r="B56" t="s">
        <v>28</v>
      </c>
      <c r="M56" t="s">
        <v>27</v>
      </c>
      <c r="N56" t="s">
        <v>21</v>
      </c>
    </row>
    <row r="57" spans="1:24">
      <c r="A57" t="s">
        <v>29</v>
      </c>
      <c r="F57" t="s">
        <v>30</v>
      </c>
      <c r="G57" t="s">
        <v>31</v>
      </c>
      <c r="H57" t="s">
        <v>32</v>
      </c>
      <c r="I57" t="s">
        <v>36</v>
      </c>
      <c r="J57" t="s">
        <v>37</v>
      </c>
      <c r="M57" t="s">
        <v>29</v>
      </c>
      <c r="R57" t="s">
        <v>30</v>
      </c>
      <c r="S57" t="s">
        <v>31</v>
      </c>
      <c r="T57" t="s">
        <v>32</v>
      </c>
      <c r="U57" t="s">
        <v>36</v>
      </c>
      <c r="V57" t="s">
        <v>37</v>
      </c>
    </row>
    <row r="58" spans="1:24">
      <c r="A58">
        <v>0</v>
      </c>
      <c r="M58">
        <v>0</v>
      </c>
    </row>
    <row r="59" spans="1:24">
      <c r="A59" t="s">
        <v>34</v>
      </c>
      <c r="B59">
        <v>101.24527</v>
      </c>
      <c r="C59">
        <v>-40638.708059999997</v>
      </c>
      <c r="D59">
        <f>C59/10000</f>
        <v>-4.0638708059999997</v>
      </c>
      <c r="E59">
        <f>C59-5100*D10-4900*D40</f>
        <v>-342.75936649999858</v>
      </c>
      <c r="F59">
        <v>2.8553700001901445</v>
      </c>
      <c r="G59">
        <f>74.4907/25</f>
        <v>2.9796279999999999</v>
      </c>
      <c r="H59">
        <f>(10*F59)^2</f>
        <v>815.31378379858666</v>
      </c>
      <c r="I59">
        <f t="shared" ref="I59:I63" si="9">E59/(2*H59)</f>
        <v>-0.21020089032658443</v>
      </c>
      <c r="M59" t="s">
        <v>34</v>
      </c>
      <c r="N59">
        <v>101.09820000000001</v>
      </c>
      <c r="O59">
        <v>-81276.624540000004</v>
      </c>
      <c r="P59">
        <f>O59/20000</f>
        <v>-4.0638312270000005</v>
      </c>
      <c r="Q59">
        <f>O59-10100*D10-9900*D40</f>
        <v>-700.92432150000968</v>
      </c>
      <c r="R59">
        <v>2.8553700001901445</v>
      </c>
      <c r="S59">
        <f>149.074/50</f>
        <v>2.9814800000000004</v>
      </c>
      <c r="T59">
        <f>(10*R59)^2</f>
        <v>815.31378379858666</v>
      </c>
      <c r="U59">
        <f>Q59/(2*T59)</f>
        <v>-0.42984942449664537</v>
      </c>
    </row>
    <row r="60" spans="1:24">
      <c r="A60" t="s">
        <v>34</v>
      </c>
      <c r="B60">
        <v>101.24527</v>
      </c>
      <c r="C60">
        <v>-40638.708059999997</v>
      </c>
      <c r="D60">
        <f>C60/10000</f>
        <v>-4.0638708059999997</v>
      </c>
      <c r="E60">
        <f>C60-5100*D10-4900*D34</f>
        <v>91.302552000004653</v>
      </c>
      <c r="F60">
        <v>2.8553700001901445</v>
      </c>
      <c r="G60">
        <f>74.4907/25</f>
        <v>2.9796279999999999</v>
      </c>
      <c r="H60">
        <f>(10*F60)^2</f>
        <v>815.31378379858666</v>
      </c>
      <c r="I60">
        <f t="shared" si="9"/>
        <v>5.5992277951331583E-2</v>
      </c>
      <c r="N60">
        <v>101.09820000000001</v>
      </c>
      <c r="O60">
        <v>-81276.624540000004</v>
      </c>
      <c r="P60">
        <f t="shared" ref="P60:P64" si="10">O60/20000</f>
        <v>-4.0638312270000005</v>
      </c>
      <c r="Q60">
        <f>O60-10100*D10-9900*D34</f>
        <v>176.05792199999996</v>
      </c>
      <c r="R60">
        <v>2.8553700001901445</v>
      </c>
      <c r="S60">
        <f t="shared" ref="S60:S61" si="11">149.074/50</f>
        <v>2.9814800000000004</v>
      </c>
      <c r="T60">
        <f t="shared" ref="T60:T62" si="12">(10*R60)^2</f>
        <v>815.31378379858666</v>
      </c>
      <c r="U60">
        <f t="shared" ref="U60:U64" si="13">Q60/(2*T60)</f>
        <v>0.10796942569751337</v>
      </c>
    </row>
    <row r="61" spans="1:24">
      <c r="A61" t="s">
        <v>34</v>
      </c>
      <c r="B61">
        <v>101.24527</v>
      </c>
      <c r="C61">
        <v>-40638.708059999997</v>
      </c>
      <c r="D61">
        <f>C61/10000</f>
        <v>-4.0638708059999997</v>
      </c>
      <c r="E61">
        <f>C61-5100*D10-4900*D52</f>
        <v>8.3727960000032908</v>
      </c>
      <c r="F61">
        <v>2.8553700001901445</v>
      </c>
      <c r="G61">
        <f>74.4907/25</f>
        <v>2.9796279999999999</v>
      </c>
      <c r="H61">
        <f>(10*F61)^2</f>
        <v>815.31378379858666</v>
      </c>
      <c r="I61">
        <f>E61/(2*H61)</f>
        <v>5.1347077446636715E-3</v>
      </c>
      <c r="J61">
        <f>I61*(1.602*10^-19)/((10^-10)^2)</f>
        <v>8.2258018069512009E-2</v>
      </c>
      <c r="K61">
        <f>C61-7500*$D10-2500*$D3</f>
        <v>-1453.6847099999959</v>
      </c>
      <c r="L61">
        <f>$K61-4900*$H52</f>
        <v>-29.718935999995665</v>
      </c>
      <c r="N61">
        <v>101.09820000000001</v>
      </c>
      <c r="O61">
        <v>-81276.624540000004</v>
      </c>
      <c r="P61">
        <f t="shared" si="10"/>
        <v>-4.0638312270000005</v>
      </c>
      <c r="Q61">
        <f>O61-10100*D10-9900*D52</f>
        <v>8.5059659999969881</v>
      </c>
      <c r="R61">
        <v>2.8553700001901445</v>
      </c>
      <c r="S61">
        <f t="shared" si="11"/>
        <v>2.9814800000000004</v>
      </c>
      <c r="T61">
        <f t="shared" si="12"/>
        <v>815.31378379858666</v>
      </c>
      <c r="U61">
        <f t="shared" si="13"/>
        <v>5.2163756881229689E-3</v>
      </c>
      <c r="V61">
        <f>U61*(1.602*10^-19)/((10^-10)^2)</f>
        <v>8.3566338523729952E-2</v>
      </c>
      <c r="W61">
        <f>O61-15000*$D10-5000*$D3</f>
        <v>-2906.5778400000017</v>
      </c>
      <c r="X61">
        <f>$W61-9900*$H52</f>
        <v>-29.585766000001513</v>
      </c>
    </row>
    <row r="62" spans="1:24">
      <c r="A62" t="s">
        <v>33</v>
      </c>
      <c r="B62">
        <v>104.21595000000001</v>
      </c>
      <c r="C62">
        <v>-40494.622669999997</v>
      </c>
      <c r="D62">
        <f>C62/10000</f>
        <v>-4.049462267</v>
      </c>
      <c r="E62">
        <f>C62-5100*D10-4900*D40</f>
        <v>-198.67397649999839</v>
      </c>
      <c r="F62">
        <v>2.8553700001901445</v>
      </c>
      <c r="G62">
        <f>71.3843/25</f>
        <v>2.855372</v>
      </c>
      <c r="H62">
        <f>(10*F62)^2</f>
        <v>815.31378379858666</v>
      </c>
      <c r="I62">
        <f t="shared" si="9"/>
        <v>-0.12183896583617576</v>
      </c>
      <c r="M62" t="s">
        <v>33</v>
      </c>
      <c r="N62">
        <v>103.87629</v>
      </c>
      <c r="O62">
        <v>-80981.725080000004</v>
      </c>
      <c r="P62">
        <f t="shared" si="10"/>
        <v>-4.0490862540000006</v>
      </c>
      <c r="Q62">
        <f>O62-10100*D10-9900*D40</f>
        <v>-406.02486150000914</v>
      </c>
      <c r="R62">
        <v>2.8553700001901445</v>
      </c>
      <c r="S62">
        <v>2.8553700001901445</v>
      </c>
      <c r="T62">
        <f t="shared" si="12"/>
        <v>815.31378379858666</v>
      </c>
      <c r="U62">
        <f t="shared" si="13"/>
        <v>-0.24899913969828863</v>
      </c>
    </row>
    <row r="63" spans="1:24">
      <c r="A63">
        <v>200</v>
      </c>
      <c r="B63">
        <v>202.21825000000001</v>
      </c>
      <c r="C63">
        <v>-40504.294110000003</v>
      </c>
      <c r="D63">
        <f>C63/10000</f>
        <v>-4.0504294110000005</v>
      </c>
      <c r="E63">
        <f>C63-5100*$D11-4900*$D53</f>
        <v>323.20582999999533</v>
      </c>
      <c r="F63">
        <f>14.2844/5</f>
        <v>2.8568799999999999</v>
      </c>
      <c r="G63">
        <f>74.6627/25</f>
        <v>2.9865080000000002</v>
      </c>
      <c r="H63">
        <f>(10*F63)^2</f>
        <v>816.17633344000001</v>
      </c>
      <c r="I63">
        <f t="shared" si="9"/>
        <v>0.1980000011993458</v>
      </c>
      <c r="J63">
        <f>I63*(1.602*10^-19)/((10^-10)^2)</f>
        <v>3.1719600192135191</v>
      </c>
      <c r="K63">
        <f>C63-7500*$D11-2500*$D4</f>
        <v>-1457.0165912500015</v>
      </c>
      <c r="L63">
        <f>$K63-4900*$H53</f>
        <v>285.18897437499868</v>
      </c>
      <c r="M63">
        <v>200</v>
      </c>
      <c r="N63">
        <v>201.53942000000001</v>
      </c>
      <c r="O63">
        <v>-81009.151620000004</v>
      </c>
      <c r="P63">
        <f t="shared" si="10"/>
        <v>-4.0504575809999999</v>
      </c>
      <c r="Q63">
        <f>O63-10100*$D11-9900*$D53</f>
        <v>643.38661999999022</v>
      </c>
      <c r="R63">
        <f>14.2844/5</f>
        <v>2.8568799999999999</v>
      </c>
      <c r="S63">
        <f>149.424/50</f>
        <v>2.98848</v>
      </c>
      <c r="T63">
        <f>(10*R63)^2</f>
        <v>816.17633344000001</v>
      </c>
      <c r="U63">
        <f t="shared" si="13"/>
        <v>0.39414682442963034</v>
      </c>
      <c r="V63">
        <f>U63*(1.602*10^-19)/((10^-10)^2)</f>
        <v>6.3142321273626774</v>
      </c>
      <c r="W63">
        <f>O63-15000*$D11-5000*$D4</f>
        <v>-2914.5965825000021</v>
      </c>
      <c r="X63">
        <f>$W63-9900*$H53</f>
        <v>605.36976437499834</v>
      </c>
    </row>
    <row r="64" spans="1:24">
      <c r="A64">
        <v>300</v>
      </c>
      <c r="B64">
        <v>303.37306000000001</v>
      </c>
      <c r="C64">
        <v>-40367.008289999998</v>
      </c>
      <c r="D64">
        <f>C64/10000</f>
        <v>-4.0367008289999999</v>
      </c>
      <c r="E64">
        <f>C64-5100*$D12-4900*$D54</f>
        <v>324.23816100000477</v>
      </c>
      <c r="F64">
        <f>14.2951/5</f>
        <v>2.8590200000000001</v>
      </c>
      <c r="G64">
        <f>74.9133/25</f>
        <v>2.9965320000000002</v>
      </c>
      <c r="H64">
        <f>(10*F64)^2</f>
        <v>817.39953604000016</v>
      </c>
      <c r="I64">
        <f>E64/(2*H64)</f>
        <v>0.19833517558060976</v>
      </c>
      <c r="J64">
        <f>I64*(1.602*10^-19)/((10^-10)^2)</f>
        <v>3.1773295128013679</v>
      </c>
      <c r="K64">
        <f>C64-7500*$D12-2500*$D5</f>
        <v>-1456.8393212499941</v>
      </c>
      <c r="L64">
        <f>$K64-4900*$H54</f>
        <v>286.26093537500469</v>
      </c>
      <c r="M64">
        <v>300</v>
      </c>
      <c r="N64">
        <v>302.21318000000002</v>
      </c>
      <c r="O64">
        <v>-80735.856780000002</v>
      </c>
      <c r="P64">
        <f t="shared" si="10"/>
        <v>-4.0367928390000003</v>
      </c>
      <c r="Q64">
        <f>O64-10100*$D12-9900*$D54</f>
        <v>644.23237100000551</v>
      </c>
      <c r="R64">
        <f>14.2951/5</f>
        <v>2.8590200000000001</v>
      </c>
      <c r="S64">
        <f>149.788
/50</f>
        <v>2.9957600000000002</v>
      </c>
      <c r="T64">
        <f>(10*R64)^2</f>
        <v>817.39953604000016</v>
      </c>
      <c r="U64">
        <f t="shared" si="13"/>
        <v>0.3940743434484158</v>
      </c>
      <c r="V64">
        <f>U64*(1.602*10^-19)/((10^-10)^2)</f>
        <v>6.3130709820436213</v>
      </c>
      <c r="W64">
        <f>O64-15000*$D12-5000*$D5</f>
        <v>-2915.5188424999942</v>
      </c>
      <c r="X64">
        <f>$W64-9900*$H54</f>
        <v>606.25514537500294</v>
      </c>
    </row>
    <row r="66" spans="1:13">
      <c r="A66" t="s">
        <v>27</v>
      </c>
      <c r="B66" t="s">
        <v>20</v>
      </c>
    </row>
    <row r="67" spans="1:13">
      <c r="A67" t="s">
        <v>29</v>
      </c>
      <c r="F67" t="s">
        <v>30</v>
      </c>
      <c r="G67" t="s">
        <v>31</v>
      </c>
      <c r="H67" t="s">
        <v>32</v>
      </c>
      <c r="I67" t="s">
        <v>36</v>
      </c>
      <c r="J67" t="s">
        <v>37</v>
      </c>
      <c r="M67">
        <f>U63/I63</f>
        <v>1.9906405153644646</v>
      </c>
    </row>
    <row r="68" spans="1:13">
      <c r="A68">
        <v>0</v>
      </c>
    </row>
    <row r="69" spans="1:13">
      <c r="A69" t="s">
        <v>34</v>
      </c>
      <c r="B69">
        <v>101.01900999999999</v>
      </c>
      <c r="C69">
        <v>-48766.57933</v>
      </c>
      <c r="D69">
        <f>C69/12000</f>
        <v>-4.0638816108333335</v>
      </c>
      <c r="E69">
        <f>C69-9000*D10-3000*D3-H52*5900</f>
        <v>-29.98027599999682</v>
      </c>
      <c r="F69">
        <f>14.2769/5</f>
        <v>2.8553799999999998</v>
      </c>
      <c r="G69">
        <f>89.4151/30</f>
        <v>2.9805033333333331</v>
      </c>
      <c r="H69">
        <f>(10*F69)^2</f>
        <v>815.31949443999997</v>
      </c>
      <c r="I69">
        <f>E69/(2*H69)</f>
        <v>-1.8385599881055644E-2</v>
      </c>
      <c r="J69">
        <f>I69*(1.602*10^-19)/((10^-10)^2)</f>
        <v>-0.2945373100945114</v>
      </c>
      <c r="K69">
        <f>C69-9000*D10-3000*D3</f>
        <v>-1744.5513099999971</v>
      </c>
      <c r="L69">
        <f>K69-5900*H52</f>
        <v>-29.98027599999682</v>
      </c>
    </row>
    <row r="70" spans="1:13">
      <c r="A70">
        <v>200</v>
      </c>
      <c r="B70">
        <v>201.88142999999999</v>
      </c>
      <c r="C70">
        <v>-48605.516770000002</v>
      </c>
      <c r="D70">
        <f t="shared" ref="D70:D71" si="14">C70/12000</f>
        <v>-4.0504597308333334</v>
      </c>
      <c r="E70">
        <f>C70-6100*D11-5900*D53</f>
        <v>386.99082999999519</v>
      </c>
      <c r="F70">
        <f>14.2844/5</f>
        <v>2.8568799999999999</v>
      </c>
      <c r="G70">
        <f>74.6627/25</f>
        <v>2.9865080000000002</v>
      </c>
      <c r="H70">
        <f>(10*F70)^2</f>
        <v>816.17633344000001</v>
      </c>
      <c r="I70">
        <f t="shared" ref="I70" si="15">E70/(2*H70)</f>
        <v>0.23707550326099</v>
      </c>
      <c r="J70">
        <f t="shared" ref="J70:J71" si="16">I70*(1.602*10^-19)/((10^-10)^2)</f>
        <v>3.7979495622410595</v>
      </c>
      <c r="K70">
        <f t="shared" ref="K70:K71" si="17">C70-9000*D11-3000*D4</f>
        <v>-1748.7837474999997</v>
      </c>
      <c r="L70">
        <f>K70-5900*H53</f>
        <v>348.97397437500058</v>
      </c>
    </row>
    <row r="71" spans="1:13">
      <c r="A71">
        <v>300</v>
      </c>
      <c r="B71">
        <v>302.27280999999999</v>
      </c>
      <c r="C71">
        <v>-48442.069649999998</v>
      </c>
      <c r="D71">
        <f t="shared" si="14"/>
        <v>-4.0368391374999995</v>
      </c>
      <c r="E71">
        <f>C71-6100*D12-5900*D54</f>
        <v>386.94534100000601</v>
      </c>
      <c r="F71">
        <f>14.2951/5</f>
        <v>2.8590200000000001</v>
      </c>
      <c r="G71">
        <f>74.9133/25</f>
        <v>2.9965320000000002</v>
      </c>
      <c r="H71">
        <f>(10*F71)^2</f>
        <v>817.39953604000016</v>
      </c>
      <c r="I71">
        <f>E71/(2*H71)</f>
        <v>0.23669290471744928</v>
      </c>
      <c r="J71">
        <f t="shared" si="16"/>
        <v>3.7918203335735368</v>
      </c>
      <c r="K71">
        <f t="shared" si="17"/>
        <v>-1749.8668874999948</v>
      </c>
      <c r="L71">
        <f>K71-5900*H54</f>
        <v>348.96811537500344</v>
      </c>
    </row>
    <row r="73" spans="1:13">
      <c r="J73">
        <f>J71/J64</f>
        <v>1.1933985185661113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workbookViewId="0">
      <selection activeCell="Q23" sqref="Q23"/>
    </sheetView>
  </sheetViews>
  <sheetFormatPr baseColWidth="10" defaultRowHeight="15" x14ac:dyDescent="0"/>
  <sheetData>
    <row r="3" spans="1:7">
      <c r="A3">
        <v>10000</v>
      </c>
      <c r="B3">
        <v>245.53996000000001</v>
      </c>
      <c r="C3">
        <v>-727900.45935999998</v>
      </c>
      <c r="D3">
        <v>-722187.55565999995</v>
      </c>
      <c r="E3">
        <v>2204975.8157199998</v>
      </c>
      <c r="F3">
        <v>15459.536889999999</v>
      </c>
      <c r="G3">
        <v>21.416450000000001</v>
      </c>
    </row>
    <row r="4" spans="1:7">
      <c r="A4">
        <v>20000</v>
      </c>
      <c r="B4">
        <v>280.75810999999999</v>
      </c>
      <c r="C4">
        <v>-727176.70736</v>
      </c>
      <c r="D4">
        <v>-720644.39343000005</v>
      </c>
      <c r="E4">
        <v>2203529.00403</v>
      </c>
      <c r="F4">
        <v>15268.28688</v>
      </c>
      <c r="G4">
        <v>19.269600000000001</v>
      </c>
    </row>
    <row r="5" spans="1:7">
      <c r="A5">
        <v>30000</v>
      </c>
      <c r="B5">
        <v>293.70152999999999</v>
      </c>
      <c r="C5">
        <v>-726828.28041999997</v>
      </c>
      <c r="D5">
        <v>-719994.81597</v>
      </c>
      <c r="E5">
        <v>2204383.8613900002</v>
      </c>
      <c r="F5">
        <v>15092.42988</v>
      </c>
      <c r="G5">
        <v>19.669280000000001</v>
      </c>
    </row>
    <row r="6" spans="1:7">
      <c r="A6">
        <v>40000</v>
      </c>
      <c r="B6">
        <v>299.26199000000003</v>
      </c>
      <c r="C6">
        <v>-726693.90301000001</v>
      </c>
      <c r="D6">
        <v>-719731.06498000002</v>
      </c>
      <c r="E6">
        <v>2204521.5106500001</v>
      </c>
      <c r="F6">
        <v>15177.11183</v>
      </c>
      <c r="G6">
        <v>19.71529</v>
      </c>
    </row>
    <row r="7" spans="1:7">
      <c r="A7">
        <v>50000</v>
      </c>
      <c r="B7">
        <v>301.20632999999998</v>
      </c>
      <c r="C7">
        <v>-726650.62918000005</v>
      </c>
      <c r="D7">
        <v>-719642.55278000003</v>
      </c>
      <c r="E7">
        <v>2204465.3843499999</v>
      </c>
      <c r="F7">
        <v>15292.546469999999</v>
      </c>
      <c r="G7">
        <v>19.63571</v>
      </c>
    </row>
    <row r="8" spans="1:7">
      <c r="A8">
        <v>60000</v>
      </c>
      <c r="B8">
        <v>301.93714</v>
      </c>
      <c r="C8">
        <v>-726629.84972000006</v>
      </c>
      <c r="D8">
        <v>-719604.76980000001</v>
      </c>
      <c r="E8">
        <v>2204653.95933</v>
      </c>
      <c r="F8">
        <v>15215.230079999999</v>
      </c>
      <c r="G8">
        <v>19.722280000000001</v>
      </c>
    </row>
    <row r="9" spans="1:7">
      <c r="A9">
        <v>70000</v>
      </c>
      <c r="B9">
        <v>302.69130000000001</v>
      </c>
      <c r="C9">
        <v>-726610.57287999999</v>
      </c>
      <c r="D9">
        <v>-719567.94614000001</v>
      </c>
      <c r="E9">
        <v>2204731.0320600001</v>
      </c>
      <c r="F9">
        <v>15212.63407</v>
      </c>
      <c r="G9">
        <v>19.734110000000001</v>
      </c>
    </row>
    <row r="10" spans="1:7">
      <c r="A10">
        <v>80000</v>
      </c>
      <c r="B10">
        <v>302.01976999999999</v>
      </c>
      <c r="C10">
        <v>-726627.91469000001</v>
      </c>
      <c r="D10">
        <v>-719600.91229999997</v>
      </c>
      <c r="E10">
        <v>2204688.94062</v>
      </c>
      <c r="F10">
        <v>15204.49834</v>
      </c>
      <c r="G10">
        <v>19.736470000000001</v>
      </c>
    </row>
    <row r="11" spans="1:7">
      <c r="A11">
        <v>90000</v>
      </c>
      <c r="B11">
        <v>302.13789000000003</v>
      </c>
      <c r="C11">
        <v>-726624.53980999999</v>
      </c>
      <c r="D11">
        <v>-719594.78919000004</v>
      </c>
      <c r="E11">
        <v>2204717.2161599998</v>
      </c>
      <c r="F11">
        <v>15196.829250000001</v>
      </c>
      <c r="G11">
        <v>19.733309999999999</v>
      </c>
    </row>
    <row r="12" spans="1:7">
      <c r="A12">
        <v>100000</v>
      </c>
      <c r="B12">
        <v>302.09530000000001</v>
      </c>
      <c r="C12">
        <v>-726625.46958000003</v>
      </c>
      <c r="D12">
        <v>-719596.70984999998</v>
      </c>
      <c r="E12">
        <v>2204696.20786</v>
      </c>
      <c r="F12">
        <v>15200.2799</v>
      </c>
      <c r="G12">
        <v>19.716740000000001</v>
      </c>
    </row>
    <row r="13" spans="1:7">
      <c r="A13">
        <v>110000</v>
      </c>
      <c r="B13">
        <v>302.25290000000001</v>
      </c>
      <c r="C13">
        <v>-726621.74797000003</v>
      </c>
      <c r="D13">
        <v>-719589.32135999994</v>
      </c>
      <c r="E13">
        <v>2204686.4787400002</v>
      </c>
      <c r="F13">
        <v>15215.05119</v>
      </c>
      <c r="G13">
        <v>19.740400000000001</v>
      </c>
    </row>
    <row r="14" spans="1:7">
      <c r="A14">
        <v>120000</v>
      </c>
      <c r="B14">
        <v>301.95978000000002</v>
      </c>
      <c r="C14">
        <v>-726630.58036000002</v>
      </c>
      <c r="D14">
        <v>-719604.97381</v>
      </c>
      <c r="E14">
        <v>2204570.0133199999</v>
      </c>
      <c r="F14">
        <v>15266.60317</v>
      </c>
      <c r="G14">
        <v>19.644770000000001</v>
      </c>
    </row>
    <row r="15" spans="1:7">
      <c r="A15">
        <v>130000</v>
      </c>
      <c r="B15">
        <v>301.48149999999998</v>
      </c>
      <c r="C15">
        <v>-726639.82201999996</v>
      </c>
      <c r="D15">
        <v>-719625.34346</v>
      </c>
      <c r="E15">
        <v>2204643.30993</v>
      </c>
      <c r="F15">
        <v>15199.0458</v>
      </c>
      <c r="G15">
        <v>19.68985</v>
      </c>
    </row>
    <row r="16" spans="1:7">
      <c r="A16">
        <v>140000</v>
      </c>
      <c r="B16">
        <v>302.07593000000003</v>
      </c>
      <c r="C16">
        <v>-726627.02399999998</v>
      </c>
      <c r="D16">
        <v>-719598.71481999999</v>
      </c>
      <c r="E16">
        <v>2204602.0217499998</v>
      </c>
      <c r="F16">
        <v>15251.620860000001</v>
      </c>
      <c r="G16">
        <v>19.68469</v>
      </c>
    </row>
    <row r="17" spans="1:7">
      <c r="A17">
        <v>150000</v>
      </c>
      <c r="B17">
        <v>302.44751000000002</v>
      </c>
      <c r="C17">
        <v>-726616.36575</v>
      </c>
      <c r="D17">
        <v>-719579.41122999997</v>
      </c>
      <c r="E17">
        <v>2204685.5473000002</v>
      </c>
      <c r="F17">
        <v>15221.781080000001</v>
      </c>
      <c r="G17">
        <v>19.705819999999999</v>
      </c>
    </row>
    <row r="18" spans="1:7">
      <c r="A18">
        <v>160000</v>
      </c>
      <c r="B18">
        <v>302.82227</v>
      </c>
      <c r="C18">
        <v>-726607.12043999997</v>
      </c>
      <c r="D18">
        <v>-719561.44637999998</v>
      </c>
      <c r="E18">
        <v>2204757.1809100001</v>
      </c>
      <c r="F18">
        <v>15195.3704</v>
      </c>
      <c r="G18">
        <v>19.74746</v>
      </c>
    </row>
    <row r="19" spans="1:7">
      <c r="A19">
        <v>170000</v>
      </c>
      <c r="B19">
        <v>302.47582</v>
      </c>
      <c r="C19">
        <v>-726616.65755</v>
      </c>
      <c r="D19">
        <v>-719579.04426999995</v>
      </c>
      <c r="E19">
        <v>2204656.00954</v>
      </c>
      <c r="F19">
        <v>15232.97659</v>
      </c>
      <c r="G19">
        <v>19.711780000000001</v>
      </c>
    </row>
    <row r="20" spans="1:7">
      <c r="A20">
        <v>180000</v>
      </c>
      <c r="B20">
        <v>301.65577999999999</v>
      </c>
      <c r="C20">
        <v>-726636.14494999999</v>
      </c>
      <c r="D20">
        <v>-719617.61132999999</v>
      </c>
      <c r="E20">
        <v>2204682.5181300002</v>
      </c>
      <c r="F20">
        <v>15194.79091</v>
      </c>
      <c r="G20">
        <v>19.711469999999998</v>
      </c>
    </row>
    <row r="21" spans="1:7">
      <c r="A21">
        <v>190000</v>
      </c>
      <c r="B21">
        <v>302.20871</v>
      </c>
      <c r="C21">
        <v>-726621.98308000003</v>
      </c>
      <c r="D21">
        <v>-719590.58453999995</v>
      </c>
      <c r="E21">
        <v>2204740.5395</v>
      </c>
      <c r="F21">
        <v>15182.606449999999</v>
      </c>
      <c r="G21">
        <v>19.76248</v>
      </c>
    </row>
    <row r="22" spans="1:7">
      <c r="A22">
        <v>200000</v>
      </c>
      <c r="B22">
        <v>302.44295</v>
      </c>
      <c r="C22">
        <v>-726617.02792999998</v>
      </c>
      <c r="D22">
        <v>-719580.17958999996</v>
      </c>
      <c r="E22">
        <v>2204686.1656300002</v>
      </c>
      <c r="F22">
        <v>15216.57007</v>
      </c>
      <c r="G22">
        <v>19.735749999999999</v>
      </c>
    </row>
    <row r="26" spans="1:7">
      <c r="A26">
        <v>10000</v>
      </c>
      <c r="B26">
        <v>269.22793999999999</v>
      </c>
      <c r="C26">
        <v>-587334.41853999998</v>
      </c>
      <c r="D26">
        <v>-582323.18958000001</v>
      </c>
      <c r="E26">
        <v>1791165.41289</v>
      </c>
      <c r="F26">
        <v>-636.30305999999996</v>
      </c>
      <c r="G26">
        <v>6.8893800000000001</v>
      </c>
    </row>
    <row r="27" spans="1:7">
      <c r="A27">
        <v>20000</v>
      </c>
      <c r="B27">
        <v>289.42428999999998</v>
      </c>
      <c r="C27">
        <v>-587045.60513000004</v>
      </c>
      <c r="D27">
        <v>-581658.45489000005</v>
      </c>
      <c r="E27">
        <v>1792316.27519</v>
      </c>
      <c r="F27">
        <v>209.39892</v>
      </c>
      <c r="G27">
        <v>5.5286900000000001</v>
      </c>
    </row>
    <row r="28" spans="1:7">
      <c r="A28">
        <v>30000</v>
      </c>
      <c r="B28">
        <v>296.45105000000001</v>
      </c>
      <c r="C28">
        <v>-586884.91327000002</v>
      </c>
      <c r="D28">
        <v>-581366.97157000005</v>
      </c>
      <c r="E28">
        <v>1792261.3117200001</v>
      </c>
      <c r="F28">
        <v>-19.521650000000001</v>
      </c>
      <c r="G28">
        <v>5.5842099999999997</v>
      </c>
    </row>
    <row r="29" spans="1:7">
      <c r="A29">
        <v>40000</v>
      </c>
      <c r="B29">
        <v>299.69740999999999</v>
      </c>
      <c r="C29">
        <v>-586816.70753999997</v>
      </c>
      <c r="D29">
        <v>-581238.34031</v>
      </c>
      <c r="E29">
        <v>1792445.2260700001</v>
      </c>
      <c r="F29">
        <v>39.609220000000001</v>
      </c>
      <c r="G29">
        <v>5.5392299999999999</v>
      </c>
    </row>
    <row r="30" spans="1:7">
      <c r="A30">
        <v>50000</v>
      </c>
      <c r="B30">
        <v>301.16196000000002</v>
      </c>
      <c r="C30">
        <v>-586786.06967999996</v>
      </c>
      <c r="D30">
        <v>-581180.44217000005</v>
      </c>
      <c r="E30">
        <v>1792623.63741</v>
      </c>
      <c r="F30">
        <v>-3.87358</v>
      </c>
      <c r="G30">
        <v>5.5221200000000001</v>
      </c>
    </row>
    <row r="31" spans="1:7">
      <c r="A31">
        <v>60000</v>
      </c>
      <c r="B31">
        <v>301.33465999999999</v>
      </c>
      <c r="C31">
        <v>-586780.95716999995</v>
      </c>
      <c r="D31">
        <v>-581172.11523999996</v>
      </c>
      <c r="E31">
        <v>1792520.50807</v>
      </c>
      <c r="F31">
        <v>23.24052</v>
      </c>
      <c r="G31">
        <v>5.5394500000000004</v>
      </c>
    </row>
    <row r="32" spans="1:7">
      <c r="A32">
        <v>70000</v>
      </c>
      <c r="B32">
        <v>301.29545999999999</v>
      </c>
      <c r="C32">
        <v>-586782.3885</v>
      </c>
      <c r="D32">
        <v>-581174.27610999998</v>
      </c>
      <c r="E32">
        <v>1792623.70949</v>
      </c>
      <c r="F32">
        <v>-7.3065199999999999</v>
      </c>
      <c r="G32">
        <v>5.52515</v>
      </c>
    </row>
    <row r="33" spans="1:7">
      <c r="A33">
        <v>80000</v>
      </c>
      <c r="B33">
        <v>301.28147999999999</v>
      </c>
      <c r="C33">
        <v>-586782.08606999996</v>
      </c>
      <c r="D33">
        <v>-581174.23390999995</v>
      </c>
      <c r="E33">
        <v>1792572.7861299999</v>
      </c>
      <c r="F33">
        <v>7.23909</v>
      </c>
      <c r="G33">
        <v>5.5275600000000003</v>
      </c>
    </row>
    <row r="34" spans="1:7">
      <c r="A34">
        <v>90000</v>
      </c>
      <c r="B34">
        <v>301.65429999999998</v>
      </c>
      <c r="C34">
        <v>-586775.58984999999</v>
      </c>
      <c r="D34">
        <v>-581160.79833000002</v>
      </c>
      <c r="E34">
        <v>1792621.4217399999</v>
      </c>
      <c r="F34">
        <v>-1.12653</v>
      </c>
      <c r="G34">
        <v>5.5302199999999999</v>
      </c>
    </row>
    <row r="35" spans="1:7">
      <c r="A35">
        <v>100000</v>
      </c>
      <c r="B35">
        <v>301.65354000000002</v>
      </c>
      <c r="C35">
        <v>-586774.83797999995</v>
      </c>
      <c r="D35">
        <v>-581160.06056999997</v>
      </c>
      <c r="E35">
        <v>1792580.3401899999</v>
      </c>
      <c r="F35">
        <v>3.24769</v>
      </c>
      <c r="G35">
        <v>5.5358200000000002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2014-07-16T18:15:50Z</dcterms:created>
  <dcterms:modified xsi:type="dcterms:W3CDTF">2014-07-28T17:46:56Z</dcterms:modified>
</cp:coreProperties>
</file>