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beelbw/Documents/davis_work/"/>
    </mc:Choice>
  </mc:AlternateContent>
  <xr:revisionPtr revIDLastSave="0" documentId="13_ncr:1_{4FAAA9AB-7E43-0742-9522-C596BA2ED685}" xr6:coauthVersionLast="36" xr6:coauthVersionMax="36" xr10:uidLastSave="{00000000-0000-0000-0000-000000000000}"/>
  <bookViews>
    <workbookView xWindow="4300" yWindow="1640" windowWidth="37760" windowHeight="2184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84" i="2" l="1"/>
  <c r="Q84" i="2"/>
  <c r="Q11" i="3"/>
  <c r="R11" i="3" s="1"/>
  <c r="R10" i="3"/>
  <c r="Q10" i="3"/>
  <c r="O11" i="3"/>
  <c r="N11" i="3"/>
  <c r="N10" i="3" l="1"/>
  <c r="O10" i="3" s="1"/>
  <c r="O12" i="3"/>
  <c r="O13" i="3"/>
  <c r="O14" i="3"/>
  <c r="T27" i="3"/>
  <c r="S27" i="3"/>
  <c r="P27" i="3"/>
  <c r="N27" i="3"/>
  <c r="M27" i="3"/>
  <c r="T26" i="3"/>
  <c r="S26" i="3"/>
  <c r="P26" i="3"/>
  <c r="N26" i="3"/>
  <c r="M26" i="3"/>
  <c r="T25" i="3"/>
  <c r="S25" i="3"/>
  <c r="P25" i="3"/>
  <c r="N25" i="3"/>
  <c r="M25" i="3"/>
  <c r="T24" i="3"/>
  <c r="S24" i="3"/>
  <c r="P24" i="3"/>
  <c r="N24" i="3"/>
  <c r="M24" i="3"/>
  <c r="T23" i="3"/>
  <c r="S23" i="3"/>
  <c r="P23" i="3"/>
  <c r="N23" i="3"/>
  <c r="M23" i="3"/>
  <c r="T22" i="3"/>
  <c r="S22" i="3"/>
  <c r="P22" i="3"/>
  <c r="N22" i="3"/>
  <c r="M22" i="3"/>
  <c r="T21" i="3"/>
  <c r="S21" i="3"/>
  <c r="P21" i="3"/>
  <c r="N21" i="3"/>
  <c r="M21" i="3"/>
  <c r="T20" i="3"/>
  <c r="S20" i="3"/>
  <c r="P20" i="3"/>
  <c r="N20" i="3"/>
  <c r="M20" i="3"/>
  <c r="T19" i="3"/>
  <c r="S19" i="3"/>
  <c r="P19" i="3"/>
  <c r="N19" i="3"/>
  <c r="M19" i="3"/>
  <c r="T18" i="3"/>
  <c r="S18" i="3"/>
  <c r="P18" i="3"/>
  <c r="N18" i="3"/>
  <c r="M18" i="3"/>
  <c r="T17" i="3"/>
  <c r="S17" i="3"/>
  <c r="P17" i="3"/>
  <c r="N17" i="3"/>
  <c r="M17" i="3"/>
  <c r="T16" i="3"/>
  <c r="S16" i="3"/>
  <c r="P16" i="3"/>
  <c r="N16" i="3"/>
  <c r="M16" i="3"/>
  <c r="T14" i="3"/>
  <c r="S14" i="3"/>
  <c r="N14" i="3"/>
  <c r="M14" i="3"/>
  <c r="T13" i="3"/>
  <c r="S13" i="3"/>
  <c r="N13" i="3"/>
  <c r="M13" i="3"/>
  <c r="T12" i="3"/>
  <c r="S12" i="3"/>
  <c r="N12" i="3"/>
  <c r="M12" i="3"/>
  <c r="T11" i="3"/>
  <c r="S11" i="3"/>
  <c r="M11" i="3"/>
  <c r="T10" i="3"/>
  <c r="S10" i="3"/>
  <c r="M10" i="3"/>
  <c r="T9" i="3"/>
  <c r="M9" i="3"/>
  <c r="M8" i="3"/>
  <c r="M7" i="3"/>
  <c r="N9" i="3" s="1"/>
  <c r="T6" i="3"/>
  <c r="M6" i="3"/>
  <c r="Q83" i="2"/>
  <c r="R85" i="2"/>
  <c r="R100" i="2"/>
  <c r="R83" i="2"/>
  <c r="S120" i="2" l="1"/>
  <c r="T100" i="2"/>
  <c r="P100" i="2"/>
  <c r="S100" i="2"/>
  <c r="Q120" i="2"/>
  <c r="T99" i="2"/>
  <c r="P99" i="2"/>
  <c r="S99" i="2"/>
  <c r="Q118" i="2"/>
  <c r="S118" i="2"/>
  <c r="T98" i="2"/>
  <c r="P98" i="2"/>
  <c r="T97" i="2"/>
  <c r="P97" i="2"/>
  <c r="S95" i="2"/>
  <c r="P95" i="2"/>
  <c r="T95" i="2"/>
  <c r="T96" i="2"/>
  <c r="P96" i="2"/>
  <c r="Q116" i="2"/>
  <c r="S97" i="2"/>
  <c r="S98" i="2"/>
  <c r="S96" i="2"/>
  <c r="P94" i="2"/>
  <c r="S114" i="2"/>
  <c r="Q114" i="2"/>
  <c r="T94" i="2"/>
  <c r="S94" i="2"/>
  <c r="P21" i="2" l="1"/>
  <c r="Q117" i="2"/>
  <c r="S117" i="2"/>
  <c r="S105" i="2"/>
  <c r="S106" i="2"/>
  <c r="S107" i="2"/>
  <c r="S108" i="2"/>
  <c r="O110" i="2"/>
  <c r="S110" i="2" s="1"/>
  <c r="O111" i="2"/>
  <c r="S111" i="2" s="1"/>
  <c r="S112" i="2"/>
  <c r="O115" i="2"/>
  <c r="S115" i="2"/>
  <c r="S113" i="2"/>
  <c r="S103" i="2"/>
  <c r="S119" i="2"/>
  <c r="S104" i="2"/>
  <c r="Q111" i="2"/>
  <c r="Q112" i="2"/>
  <c r="Q115" i="2"/>
  <c r="Q113" i="2"/>
  <c r="Q103" i="2"/>
  <c r="Q119" i="2"/>
  <c r="Q110" i="2"/>
  <c r="T93" i="2"/>
  <c r="P79" i="2"/>
  <c r="P82" i="2"/>
  <c r="R93" i="2"/>
  <c r="Q93" i="2"/>
  <c r="P93" i="2"/>
  <c r="S93" i="2"/>
  <c r="T92" i="2"/>
  <c r="P92" i="2"/>
  <c r="S92" i="2"/>
  <c r="P91" i="2"/>
  <c r="T91" i="2"/>
  <c r="S91" i="2"/>
  <c r="T90" i="2"/>
  <c r="P90" i="2"/>
  <c r="S90" i="2"/>
  <c r="P89" i="2"/>
  <c r="T89" i="2"/>
  <c r="S89" i="2"/>
  <c r="T87" i="2"/>
  <c r="T86" i="2"/>
  <c r="T85" i="2"/>
  <c r="T84" i="2"/>
  <c r="S86" i="2"/>
  <c r="P84" i="2"/>
  <c r="P87" i="2"/>
  <c r="P85" i="2"/>
  <c r="P86" i="2"/>
  <c r="S84" i="2"/>
  <c r="S85" i="2"/>
  <c r="S87" i="2"/>
  <c r="T83" i="2"/>
  <c r="S83" i="2"/>
  <c r="P83" i="2"/>
  <c r="T82" i="2"/>
  <c r="P80" i="2"/>
  <c r="Q82" i="2" s="1"/>
  <c r="P81" i="2"/>
  <c r="T79" i="2"/>
  <c r="P65" i="2"/>
  <c r="P66" i="2"/>
  <c r="P75" i="2"/>
  <c r="T75" i="2"/>
  <c r="S75" i="2"/>
  <c r="T74" i="2"/>
  <c r="S74" i="2"/>
  <c r="P74" i="2"/>
  <c r="T73" i="2"/>
  <c r="P73" i="2"/>
  <c r="T72" i="2"/>
  <c r="P72" i="2"/>
  <c r="S72" i="2"/>
  <c r="S73" i="2"/>
  <c r="T70" i="2"/>
  <c r="S70" i="2"/>
  <c r="T71" i="2"/>
  <c r="S71" i="2"/>
  <c r="P71" i="2"/>
  <c r="P70" i="2"/>
  <c r="T68" i="2"/>
  <c r="P69" i="2"/>
  <c r="S68" i="2"/>
  <c r="P68" i="2"/>
  <c r="T69" i="2"/>
  <c r="S69" i="2"/>
  <c r="P45" i="2"/>
  <c r="P46" i="2"/>
  <c r="P50" i="2"/>
  <c r="Q52" i="2" s="1"/>
  <c r="Q53" i="2" s="1"/>
  <c r="P51" i="2"/>
  <c r="P55" i="2"/>
  <c r="P56" i="2"/>
  <c r="Q57" i="2"/>
  <c r="Q58" i="2" s="1"/>
  <c r="P60" i="2"/>
  <c r="P61" i="2"/>
  <c r="Q62" i="2"/>
  <c r="Q63" i="2" s="1"/>
  <c r="S66" i="2"/>
  <c r="S65" i="2"/>
  <c r="T67" i="2"/>
  <c r="S67" i="2"/>
  <c r="P67" i="2"/>
  <c r="R62" i="2"/>
  <c r="T28" i="2"/>
  <c r="S28" i="2"/>
  <c r="P25" i="2"/>
  <c r="P26" i="2"/>
  <c r="R27" i="2"/>
  <c r="S62" i="2"/>
  <c r="P62" i="2"/>
  <c r="T62" i="2"/>
  <c r="T60" i="2"/>
  <c r="T61" i="2"/>
  <c r="U61" i="2"/>
  <c r="T55" i="2"/>
  <c r="U56" i="2" s="1"/>
  <c r="T57" i="2"/>
  <c r="S57" i="2"/>
  <c r="R57" i="2"/>
  <c r="P57" i="2"/>
  <c r="T56" i="2"/>
  <c r="T50" i="2"/>
  <c r="T51" i="2"/>
  <c r="U51" i="2"/>
  <c r="T36" i="2"/>
  <c r="T39" i="2"/>
  <c r="U38" i="2"/>
  <c r="P52" i="2"/>
  <c r="S52" i="2"/>
  <c r="T52" i="2"/>
  <c r="T45" i="2"/>
  <c r="T46" i="2"/>
  <c r="T47" i="2"/>
  <c r="P47" i="2"/>
  <c r="S47" i="2"/>
  <c r="P36" i="2"/>
  <c r="R41" i="2" s="1"/>
  <c r="P40" i="2"/>
  <c r="P37" i="2"/>
  <c r="Q39" i="2" s="1"/>
  <c r="P38" i="2"/>
  <c r="P41" i="2"/>
  <c r="P39" i="2"/>
  <c r="T42" i="2"/>
  <c r="S42" i="2"/>
  <c r="P42" i="2"/>
  <c r="T41" i="2"/>
  <c r="S41" i="2"/>
  <c r="P22" i="2"/>
  <c r="P11" i="2"/>
  <c r="P14" i="2"/>
  <c r="S22" i="2"/>
  <c r="T22" i="2"/>
  <c r="S29" i="2"/>
  <c r="P29" i="2"/>
  <c r="P28" i="2"/>
  <c r="P12" i="2"/>
  <c r="P13" i="2"/>
  <c r="Q14" i="2"/>
  <c r="T20" i="2"/>
  <c r="T19" i="2"/>
  <c r="T18" i="2"/>
  <c r="T21" i="2"/>
  <c r="S21" i="2"/>
  <c r="S32" i="2"/>
  <c r="P32" i="2"/>
  <c r="S27" i="2"/>
  <c r="P27" i="2"/>
  <c r="S26" i="2"/>
  <c r="S25" i="2"/>
  <c r="P19" i="2"/>
  <c r="S19" i="2"/>
  <c r="S11" i="2"/>
  <c r="S14" i="2"/>
  <c r="S20" i="2"/>
  <c r="S18" i="2"/>
  <c r="S16" i="2"/>
  <c r="S17" i="2"/>
  <c r="S15" i="2"/>
  <c r="P18" i="2"/>
  <c r="P20" i="2"/>
  <c r="P15" i="2"/>
  <c r="P16" i="2"/>
  <c r="P17" i="2"/>
  <c r="D3" i="2"/>
  <c r="D7" i="2"/>
  <c r="C16" i="2"/>
  <c r="C17" i="2"/>
  <c r="C20" i="2"/>
  <c r="H7" i="2"/>
  <c r="D5" i="2"/>
  <c r="D4" i="2"/>
  <c r="E7" i="2"/>
  <c r="F7" i="2"/>
  <c r="H5" i="2"/>
  <c r="H4" i="2"/>
  <c r="H3" i="2"/>
  <c r="G7" i="1"/>
  <c r="G18" i="1"/>
  <c r="D17" i="1"/>
  <c r="G17" i="1"/>
  <c r="E17" i="1"/>
  <c r="G14" i="1"/>
  <c r="D14" i="1"/>
  <c r="E14" i="1" s="1"/>
  <c r="D15" i="1"/>
  <c r="G15" i="1"/>
  <c r="E15" i="1"/>
  <c r="G11" i="1"/>
  <c r="D3" i="1"/>
  <c r="D11" i="1" s="1"/>
  <c r="E11" i="1" s="1"/>
  <c r="D5" i="1"/>
  <c r="D7" i="1" s="1"/>
  <c r="E7" i="1" s="1"/>
  <c r="G9" i="1"/>
  <c r="G8" i="1"/>
  <c r="D4" i="1"/>
  <c r="D8" i="1"/>
  <c r="E8" i="1"/>
  <c r="F5" i="1"/>
  <c r="H4" i="1"/>
  <c r="H5" i="1"/>
  <c r="F4" i="1"/>
  <c r="H3" i="1"/>
  <c r="F3" i="1"/>
  <c r="Q98" i="2" l="1"/>
  <c r="R99" i="2"/>
  <c r="Q96" i="2"/>
  <c r="R97" i="2"/>
  <c r="Q99" i="2"/>
  <c r="Q97" i="2"/>
  <c r="R95" i="2"/>
  <c r="R94" i="2"/>
  <c r="Q94" i="2"/>
  <c r="R96" i="2"/>
  <c r="Q100" i="2"/>
  <c r="Q95" i="2"/>
  <c r="R98" i="2"/>
  <c r="Q41" i="2"/>
  <c r="Q42" i="2"/>
  <c r="D9" i="1"/>
  <c r="E9" i="1" s="1"/>
  <c r="Q40" i="2"/>
  <c r="D18" i="1"/>
  <c r="E18" i="1" s="1"/>
  <c r="R42" i="2"/>
  <c r="Q92" i="2"/>
  <c r="R92" i="2"/>
  <c r="T14" i="2"/>
  <c r="U46" i="2"/>
  <c r="Q20" i="2"/>
  <c r="Q32" i="2"/>
  <c r="R47" i="2"/>
  <c r="R70" i="2"/>
  <c r="R32" i="2"/>
  <c r="R52" i="2"/>
  <c r="R91" i="2"/>
  <c r="Q47" i="2"/>
  <c r="Q48" i="2" s="1"/>
  <c r="R71" i="2"/>
  <c r="Q71" i="2"/>
  <c r="Q33" i="2"/>
  <c r="Q18" i="2"/>
  <c r="Q21" i="2"/>
  <c r="R72" i="2"/>
  <c r="Q73" i="2"/>
  <c r="R73" i="2"/>
  <c r="Q19" i="2"/>
  <c r="R33" i="2"/>
  <c r="Q69" i="2"/>
  <c r="R68" i="2"/>
  <c r="Q67" i="2"/>
  <c r="R67" i="2"/>
  <c r="Q90" i="2"/>
  <c r="R19" i="2"/>
  <c r="Q72" i="2"/>
  <c r="Q89" i="2"/>
  <c r="R89" i="2"/>
  <c r="R90" i="2"/>
  <c r="R28" i="2"/>
  <c r="R74" i="2"/>
  <c r="Q75" i="2"/>
  <c r="Q16" i="2"/>
  <c r="Q29" i="2"/>
  <c r="Q17" i="2"/>
  <c r="Q15" i="2"/>
  <c r="Q70" i="2"/>
  <c r="R69" i="2"/>
  <c r="R87" i="2"/>
  <c r="R20" i="2"/>
  <c r="R18" i="2"/>
  <c r="R21" i="2"/>
  <c r="Q68" i="2"/>
  <c r="Q22" i="2"/>
  <c r="X20" i="2"/>
  <c r="R16" i="2"/>
  <c r="R17" i="2"/>
  <c r="Q28" i="2"/>
  <c r="Q86" i="2"/>
  <c r="X21" i="2"/>
  <c r="R86" i="2"/>
  <c r="Q74" i="2"/>
  <c r="R29" i="2"/>
  <c r="Q85" i="2"/>
  <c r="R15" i="2"/>
  <c r="R75" i="2"/>
  <c r="Q91" i="2"/>
  <c r="X22" i="2"/>
  <c r="Q27" i="2"/>
  <c r="Q87" i="2"/>
  <c r="R22" i="2"/>
  <c r="AB21" i="2" l="1"/>
  <c r="Y21" i="2"/>
  <c r="Z21" i="2" s="1"/>
  <c r="AB20" i="2"/>
  <c r="Y20" i="2"/>
  <c r="Z20" i="2" s="1"/>
  <c r="AB22" i="2"/>
  <c r="Y22" i="2"/>
  <c r="Z22" i="2" s="1"/>
</calcChain>
</file>

<file path=xl/sharedStrings.xml><?xml version="1.0" encoding="utf-8"?>
<sst xmlns="http://schemas.openxmlformats.org/spreadsheetml/2006/main" count="247" uniqueCount="95">
  <si>
    <t>FeNiAl testing</t>
  </si>
  <si>
    <t>bcc Fe</t>
  </si>
  <si>
    <t>fcc Ni</t>
  </si>
  <si>
    <t>fcc Al</t>
  </si>
  <si>
    <t>E</t>
  </si>
  <si>
    <t>E/at</t>
  </si>
  <si>
    <t>V</t>
  </si>
  <si>
    <t>V/at</t>
  </si>
  <si>
    <t>a0</t>
  </si>
  <si>
    <t>Lx</t>
  </si>
  <si>
    <t>B2 FeNi</t>
  </si>
  <si>
    <t>Ef</t>
  </si>
  <si>
    <t>Ef/at</t>
  </si>
  <si>
    <t>B2 FeAl</t>
  </si>
  <si>
    <t>B1 FeNi</t>
  </si>
  <si>
    <t>L12 FeNi3</t>
  </si>
  <si>
    <t>L12 Fe3Ni</t>
  </si>
  <si>
    <t>L12 FeAl3</t>
  </si>
  <si>
    <t>L12 Fe3Al</t>
  </si>
  <si>
    <t>all looks good here… same data as in paper :)</t>
  </si>
  <si>
    <t>interface testing</t>
  </si>
  <si>
    <t>Ly</t>
  </si>
  <si>
    <t>Lz</t>
  </si>
  <si>
    <t>B2 NiAl</t>
  </si>
  <si>
    <t>A</t>
  </si>
  <si>
    <t>E nf</t>
  </si>
  <si>
    <t>E (J/m^2)</t>
  </si>
  <si>
    <t>0 K</t>
  </si>
  <si>
    <t>0.01 K</t>
  </si>
  <si>
    <t>Step</t>
  </si>
  <si>
    <t>T</t>
  </si>
  <si>
    <t>TE</t>
  </si>
  <si>
    <t>P</t>
  </si>
  <si>
    <t>bccFe</t>
  </si>
  <si>
    <t>fccNi</t>
  </si>
  <si>
    <t>fccAl</t>
  </si>
  <si>
    <t>100 nf b</t>
  </si>
  <si>
    <t>100 nf a</t>
  </si>
  <si>
    <t>100 nf c</t>
  </si>
  <si>
    <t>100 nf d</t>
  </si>
  <si>
    <t>100 nf e</t>
  </si>
  <si>
    <t>6x6x20</t>
  </si>
  <si>
    <t>6x6x40</t>
  </si>
  <si>
    <t>6x6x60</t>
  </si>
  <si>
    <t>4x4x60</t>
  </si>
  <si>
    <t>5x5x100</t>
  </si>
  <si>
    <t>100 nf f</t>
  </si>
  <si>
    <t>10x10x50</t>
  </si>
  <si>
    <t>nvt studies w/ a0 at 2.843</t>
  </si>
  <si>
    <t>nph-z</t>
  </si>
  <si>
    <t>E nf (J/m^2)</t>
  </si>
  <si>
    <t>4x4x100</t>
  </si>
  <si>
    <t>100 nf g</t>
  </si>
  <si>
    <t>4x4x200</t>
  </si>
  <si>
    <t>100 nf h</t>
  </si>
  <si>
    <t>100 K</t>
  </si>
  <si>
    <t>B2 NiAl b</t>
  </si>
  <si>
    <t>bcc fe</t>
  </si>
  <si>
    <t>b2nial</t>
  </si>
  <si>
    <t>nph-z, with 2.843 a0, 4x4x100 total</t>
  </si>
  <si>
    <t>100kg-nph-z</t>
  </si>
  <si>
    <t>nph-z, with 2.843 a0, 5x5x60 total</t>
  </si>
  <si>
    <t>5x5x60</t>
  </si>
  <si>
    <t>nph-z, with 2.836 a0, 5x5x60 total</t>
  </si>
  <si>
    <t>nph-z, with 2.836 a0, 4x4x60 total</t>
  </si>
  <si>
    <t>100K nvt 2.836</t>
  </si>
  <si>
    <t>5x5x60 20Fe</t>
  </si>
  <si>
    <t>5x5x60 40Fe</t>
  </si>
  <si>
    <t>5x5x80 30B2</t>
  </si>
  <si>
    <t>5x5x50 30B2</t>
  </si>
  <si>
    <t>5x5x50 30Fe</t>
  </si>
  <si>
    <t>5x5x80 30Fe</t>
  </si>
  <si>
    <t>doing this for npt aniso</t>
  </si>
  <si>
    <t>decrease iron, very small decrease Enf</t>
  </si>
  <si>
    <t>increase iron, very small increase Enf</t>
  </si>
  <si>
    <t>increase B2, increase Enf</t>
  </si>
  <si>
    <t>increase iron, decrease Enf</t>
  </si>
  <si>
    <t>decrease iron, increase Enf</t>
  </si>
  <si>
    <t>increase B2, decrease Enf</t>
  </si>
  <si>
    <t>decrease B2, increase Eng</t>
  </si>
  <si>
    <t>opposite behavior in npt vs nvt</t>
  </si>
  <si>
    <t>10x10x100</t>
  </si>
  <si>
    <t>10x10x150</t>
  </si>
  <si>
    <t>20x20x80</t>
  </si>
  <si>
    <t>20x20x60</t>
  </si>
  <si>
    <t>20x20x100</t>
  </si>
  <si>
    <t>4x4x40</t>
  </si>
  <si>
    <t>4x4x80</t>
  </si>
  <si>
    <t>4x4x120</t>
  </si>
  <si>
    <t>4x4x160</t>
  </si>
  <si>
    <t>decrease B2, decrease Enf</t>
  </si>
  <si>
    <t>old</t>
  </si>
  <si>
    <t>new</t>
  </si>
  <si>
    <t>Ef GrB</t>
  </si>
  <si>
    <t>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</si>
</sst>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E+00"/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620209973753281"/>
                  <c:y val="-9.267279090113735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Sheet2!$P$114:$P$120</c:f>
              <c:numCache>
                <c:formatCode>General</c:formatCode>
                <c:ptCount val="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160</c:v>
                </c:pt>
                <c:pt idx="6">
                  <c:v>200</c:v>
                </c:pt>
              </c:numCache>
            </c:numRef>
          </c:xVal>
          <c:yVal>
            <c:numRef>
              <c:f>Sheet2!$R$114:$R$120</c:f>
              <c:numCache>
                <c:formatCode>General</c:formatCode>
                <c:ptCount val="7"/>
                <c:pt idx="0">
                  <c:v>0.17886475713507943</c:v>
                </c:pt>
                <c:pt idx="1">
                  <c:v>0.18811997972253189</c:v>
                </c:pt>
                <c:pt idx="2">
                  <c:v>0.19365318578133972</c:v>
                </c:pt>
                <c:pt idx="3">
                  <c:v>0.2096907150656695</c:v>
                </c:pt>
                <c:pt idx="4">
                  <c:v>0.23190227828620785</c:v>
                </c:pt>
                <c:pt idx="5">
                  <c:v>0.28870110389438725</c:v>
                </c:pt>
                <c:pt idx="6">
                  <c:v>0.36404142224307895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B-4345-8593-8BC906499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100895"/>
        <c:axId val="1440637631"/>
      </c:scatterChart>
      <c:valAx>
        <c:axId val="163310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637631"/>
        <c:crosses val="autoZero"/>
        <c:crossBetween val="midCat"/>
      </c:valAx>
      <c:valAx>
        <c:axId val="1440637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0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501650</xdr:colOff>
      <xdr:row>102</xdr:row>
      <xdr:rowOff>38100</xdr:rowOff>
    </xdr:from>
    <xdr:to>
      <xdr:col>24</xdr:col>
      <xdr:colOff>76200</xdr:colOff>
      <xdr:row>115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E3BD6-32B8-CD4A-BBA6-5E118DB08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workbookViewId="0">
      <selection activeCell="B1" sqref="B1:H5"/>
    </sheetView>
  </sheetViews>
  <sheetFormatPr baseColWidth="10" defaultRowHeight="16" x14ac:dyDescent="0.2"/>
  <sheetData>
    <row r="1" spans="2:8" x14ac:dyDescent="0.2">
      <c r="B1" t="s">
        <v>0</v>
      </c>
    </row>
    <row r="2" spans="2:8" x14ac:dyDescent="0.2">
      <c r="C2" t="s">
        <v>4</v>
      </c>
      <c r="D2" t="s">
        <v>5</v>
      </c>
      <c r="E2" t="s">
        <v>6</v>
      </c>
      <c r="F2" t="s">
        <v>7</v>
      </c>
      <c r="G2" t="s">
        <v>9</v>
      </c>
      <c r="H2" t="s">
        <v>8</v>
      </c>
    </row>
    <row r="3" spans="2:8" x14ac:dyDescent="0.2">
      <c r="B3" t="s">
        <v>1</v>
      </c>
      <c r="C3">
        <v>-222.60902999999999</v>
      </c>
      <c r="D3">
        <f>C3/54</f>
        <v>-4.122389444444444</v>
      </c>
      <c r="E3">
        <v>629.06987000000004</v>
      </c>
      <c r="F3">
        <f>E3/54</f>
        <v>11.649442037037037</v>
      </c>
      <c r="G3">
        <v>8.5683979288778698</v>
      </c>
      <c r="H3">
        <f>G3/3</f>
        <v>2.8561326429592899</v>
      </c>
    </row>
    <row r="4" spans="2:8" x14ac:dyDescent="0.2">
      <c r="B4" t="s">
        <v>2</v>
      </c>
      <c r="C4">
        <v>-480.6</v>
      </c>
      <c r="D4">
        <f>C4/108</f>
        <v>-4.45</v>
      </c>
      <c r="E4">
        <v>1177.5836999999999</v>
      </c>
      <c r="F4">
        <f>E4/108</f>
        <v>10.903552777777778</v>
      </c>
      <c r="G4">
        <v>10.5600001682896</v>
      </c>
      <c r="H4">
        <f t="shared" ref="H4:H5" si="0">G4/3</f>
        <v>3.5200000560965332</v>
      </c>
    </row>
    <row r="5" spans="2:8" x14ac:dyDescent="0.2">
      <c r="B5" t="s">
        <v>3</v>
      </c>
      <c r="C5">
        <v>-362.88</v>
      </c>
      <c r="D5">
        <f>C5/108</f>
        <v>-3.36</v>
      </c>
      <c r="E5">
        <v>1793.6134</v>
      </c>
      <c r="F5">
        <f>E5/108</f>
        <v>16.60753148148148</v>
      </c>
      <c r="G5">
        <v>12.1500000095179</v>
      </c>
      <c r="H5">
        <f t="shared" si="0"/>
        <v>4.0500000031726335</v>
      </c>
    </row>
    <row r="6" spans="2:8" x14ac:dyDescent="0.2">
      <c r="C6" s="1" t="s">
        <v>4</v>
      </c>
      <c r="D6" s="1" t="s">
        <v>11</v>
      </c>
      <c r="E6" s="1" t="s">
        <v>12</v>
      </c>
      <c r="F6" s="1" t="s">
        <v>9</v>
      </c>
      <c r="G6" s="1" t="s">
        <v>8</v>
      </c>
    </row>
    <row r="7" spans="2:8" x14ac:dyDescent="0.2">
      <c r="B7" t="s">
        <v>23</v>
      </c>
      <c r="C7" s="3">
        <v>-243.587034890908</v>
      </c>
      <c r="D7">
        <f>C7-27*D5-27*D4</f>
        <v>-32.717034890907996</v>
      </c>
      <c r="E7" s="2">
        <f>D7/54</f>
        <v>-0.60587101649829622</v>
      </c>
      <c r="F7" s="3">
        <v>8.4959697530175902</v>
      </c>
      <c r="G7" s="2">
        <f>F7/3</f>
        <v>2.8319899176725301</v>
      </c>
    </row>
    <row r="8" spans="2:8" x14ac:dyDescent="0.2">
      <c r="B8" t="s">
        <v>10</v>
      </c>
      <c r="C8">
        <v>-226.93691000000001</v>
      </c>
      <c r="D8">
        <f>C8-27*D3-27*D4</f>
        <v>4.5176049999999748</v>
      </c>
      <c r="E8" s="2">
        <f>D8/54</f>
        <v>8.3659351851851388E-2</v>
      </c>
      <c r="F8">
        <v>8.5222580214889199</v>
      </c>
      <c r="G8" s="2">
        <f>F8/3</f>
        <v>2.8407526738296398</v>
      </c>
    </row>
    <row r="9" spans="2:8" x14ac:dyDescent="0.2">
      <c r="B9" t="s">
        <v>13</v>
      </c>
      <c r="C9">
        <v>-220.01344</v>
      </c>
      <c r="D9">
        <f>C9-27*D3-27*D5</f>
        <v>-17.988925000000023</v>
      </c>
      <c r="E9" s="2">
        <f>D9/54</f>
        <v>-0.33312824074074115</v>
      </c>
      <c r="F9">
        <v>8.6350256811491999</v>
      </c>
      <c r="G9" s="2">
        <f>F9/3</f>
        <v>2.8783418937163998</v>
      </c>
    </row>
    <row r="10" spans="2:8" x14ac:dyDescent="0.2">
      <c r="E10" s="2"/>
      <c r="G10" s="2"/>
    </row>
    <row r="11" spans="2:8" x14ac:dyDescent="0.2">
      <c r="B11" t="s">
        <v>14</v>
      </c>
      <c r="C11">
        <v>-814.65071386635702</v>
      </c>
      <c r="D11">
        <f>C11-108*D$3-108*D$4</f>
        <v>111.16734613364292</v>
      </c>
      <c r="E11" s="2">
        <f>D11/216</f>
        <v>0.51466363950760607</v>
      </c>
      <c r="F11">
        <v>13.3924243170084</v>
      </c>
      <c r="G11" s="2">
        <f>F11/3</f>
        <v>4.4641414390028</v>
      </c>
    </row>
    <row r="12" spans="2:8" x14ac:dyDescent="0.2">
      <c r="E12" s="2"/>
      <c r="G12" s="2"/>
    </row>
    <row r="13" spans="2:8" x14ac:dyDescent="0.2">
      <c r="E13" s="2"/>
      <c r="G13" s="2"/>
    </row>
    <row r="14" spans="2:8" x14ac:dyDescent="0.2">
      <c r="B14" t="s">
        <v>15</v>
      </c>
      <c r="C14">
        <v>-467.68477783126298</v>
      </c>
      <c r="D14">
        <f>C14-27*D$3-81*D$4</f>
        <v>4.0697371687369923</v>
      </c>
      <c r="E14" s="2">
        <f>D14/108</f>
        <v>3.768275156237956E-2</v>
      </c>
      <c r="F14">
        <v>10.5617334515441</v>
      </c>
      <c r="G14" s="2">
        <f>F14/3</f>
        <v>3.5205778171813669</v>
      </c>
    </row>
    <row r="15" spans="2:8" x14ac:dyDescent="0.2">
      <c r="B15" t="s">
        <v>16</v>
      </c>
      <c r="C15">
        <v>-439.10039656180498</v>
      </c>
      <c r="D15">
        <f>C15-81*D$3-27*D$4</f>
        <v>14.963148438194963</v>
      </c>
      <c r="E15" s="2">
        <f>D15/108</f>
        <v>0.13854767072402743</v>
      </c>
      <c r="F15">
        <v>11.018084865977301</v>
      </c>
      <c r="G15" s="2">
        <f>F15/3</f>
        <v>3.6726949553257668</v>
      </c>
    </row>
    <row r="17" spans="2:7" x14ac:dyDescent="0.2">
      <c r="B17" t="s">
        <v>17</v>
      </c>
      <c r="C17">
        <v>-395.38722675864</v>
      </c>
      <c r="D17">
        <f>C17-27*D$3-81*D$5</f>
        <v>-11.922711758640048</v>
      </c>
      <c r="E17" s="2">
        <f>D17/108</f>
        <v>-0.11039547924666711</v>
      </c>
      <c r="F17">
        <v>11.6972992069234</v>
      </c>
      <c r="G17" s="2">
        <f>F17/3</f>
        <v>3.8990997356411334</v>
      </c>
    </row>
    <row r="18" spans="2:7" x14ac:dyDescent="0.2">
      <c r="B18" t="s">
        <v>18</v>
      </c>
      <c r="C18">
        <v>-439.412714223553</v>
      </c>
      <c r="D18">
        <f>C18-81*D$3-27*D$5</f>
        <v>-14.779169223553055</v>
      </c>
      <c r="E18" s="2">
        <f>D18/108</f>
        <v>-0.1368441594773431</v>
      </c>
      <c r="F18">
        <v>10.7511989946945</v>
      </c>
      <c r="G18" s="2">
        <f>F18/3</f>
        <v>3.5837329982315</v>
      </c>
    </row>
    <row r="20" spans="2:7" x14ac:dyDescent="0.2">
      <c r="B20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20"/>
  <sheetViews>
    <sheetView tabSelected="1" topLeftCell="C51" workbookViewId="0">
      <selection activeCell="S84" sqref="S84"/>
    </sheetView>
  </sheetViews>
  <sheetFormatPr baseColWidth="10" defaultRowHeight="16" x14ac:dyDescent="0.2"/>
  <cols>
    <col min="3" max="3" width="12.83203125" bestFit="1" customWidth="1"/>
    <col min="17" max="17" width="12.1640625" bestFit="1" customWidth="1"/>
  </cols>
  <sheetData>
    <row r="2" spans="2:22" x14ac:dyDescent="0.2">
      <c r="C2" t="s">
        <v>4</v>
      </c>
      <c r="D2" t="s">
        <v>5</v>
      </c>
      <c r="G2" t="s">
        <v>9</v>
      </c>
      <c r="H2" t="s">
        <v>8</v>
      </c>
    </row>
    <row r="3" spans="2:22" x14ac:dyDescent="0.2">
      <c r="B3" t="s">
        <v>1</v>
      </c>
      <c r="C3">
        <v>-222.60902999999999</v>
      </c>
      <c r="D3" s="2">
        <f>C3/54</f>
        <v>-4.122389444444444</v>
      </c>
      <c r="G3">
        <v>8.5683979288778698</v>
      </c>
      <c r="H3">
        <f>G3/3</f>
        <v>2.8561326429592899</v>
      </c>
    </row>
    <row r="4" spans="2:22" x14ac:dyDescent="0.2">
      <c r="B4" t="s">
        <v>2</v>
      </c>
      <c r="C4">
        <v>-480.6</v>
      </c>
      <c r="D4">
        <f>C4/108</f>
        <v>-4.45</v>
      </c>
      <c r="G4">
        <v>10.5600001682896</v>
      </c>
      <c r="H4">
        <f t="shared" ref="H4:H5" si="0">G4/3</f>
        <v>3.5200000560965332</v>
      </c>
    </row>
    <row r="5" spans="2:22" x14ac:dyDescent="0.2">
      <c r="B5" t="s">
        <v>3</v>
      </c>
      <c r="C5">
        <v>-362.88</v>
      </c>
      <c r="D5">
        <f>C5/108</f>
        <v>-3.36</v>
      </c>
      <c r="G5">
        <v>12.1500000095179</v>
      </c>
      <c r="H5">
        <f t="shared" si="0"/>
        <v>4.0500000031726335</v>
      </c>
    </row>
    <row r="6" spans="2:22" x14ac:dyDescent="0.2">
      <c r="C6" s="1" t="s">
        <v>4</v>
      </c>
      <c r="D6" s="1" t="s">
        <v>5</v>
      </c>
      <c r="E6" s="1" t="s">
        <v>11</v>
      </c>
      <c r="F6" s="1" t="s">
        <v>12</v>
      </c>
      <c r="G6" s="1" t="s">
        <v>9</v>
      </c>
      <c r="H6" s="1" t="s">
        <v>8</v>
      </c>
    </row>
    <row r="7" spans="2:22" x14ac:dyDescent="0.2">
      <c r="B7" t="s">
        <v>23</v>
      </c>
      <c r="C7" s="3">
        <v>-243.587034890908</v>
      </c>
      <c r="D7" s="4">
        <f>C7/54</f>
        <v>-4.5108710164982959</v>
      </c>
      <c r="E7">
        <f>C7-27*D5-27*D4</f>
        <v>-32.717034890907996</v>
      </c>
      <c r="F7" s="2">
        <f>E7/54</f>
        <v>-0.60587101649829622</v>
      </c>
      <c r="G7" s="3">
        <v>8.4959697530175902</v>
      </c>
      <c r="H7" s="2">
        <f>G7/3</f>
        <v>2.8319899176725301</v>
      </c>
    </row>
    <row r="9" spans="2:22" x14ac:dyDescent="0.2">
      <c r="B9" t="s">
        <v>20</v>
      </c>
    </row>
    <row r="10" spans="2:22" x14ac:dyDescent="0.2">
      <c r="C10" t="s">
        <v>27</v>
      </c>
      <c r="G10" t="s">
        <v>29</v>
      </c>
      <c r="H10" t="s">
        <v>30</v>
      </c>
      <c r="I10" t="s">
        <v>4</v>
      </c>
      <c r="J10" t="s">
        <v>31</v>
      </c>
      <c r="K10" t="s">
        <v>9</v>
      </c>
      <c r="L10" t="s">
        <v>21</v>
      </c>
      <c r="M10" t="s">
        <v>22</v>
      </c>
      <c r="N10" t="s">
        <v>6</v>
      </c>
      <c r="O10" t="s">
        <v>32</v>
      </c>
      <c r="P10" t="s">
        <v>5</v>
      </c>
      <c r="Q10" t="s">
        <v>12</v>
      </c>
      <c r="R10" t="s">
        <v>50</v>
      </c>
      <c r="S10" t="s">
        <v>8</v>
      </c>
    </row>
    <row r="11" spans="2:22" x14ac:dyDescent="0.2">
      <c r="B11" t="s">
        <v>4</v>
      </c>
      <c r="C11">
        <v>-6209.3885242553997</v>
      </c>
      <c r="E11" t="s">
        <v>28</v>
      </c>
      <c r="F11" t="s">
        <v>33</v>
      </c>
      <c r="G11">
        <v>50000</v>
      </c>
      <c r="H11">
        <v>1.0714599999999999E-2</v>
      </c>
      <c r="I11">
        <v>-1780.87</v>
      </c>
      <c r="J11">
        <v>-1780.87</v>
      </c>
      <c r="K11">
        <v>17.1279</v>
      </c>
      <c r="L11">
        <v>17.127500000000001</v>
      </c>
      <c r="M11">
        <v>17.127800000000001</v>
      </c>
      <c r="N11">
        <v>5024.58</v>
      </c>
      <c r="O11">
        <v>5.5599800000000004</v>
      </c>
      <c r="P11">
        <f>I11/432</f>
        <v>-4.1223842592592588</v>
      </c>
      <c r="S11" s="2">
        <f>L11/6</f>
        <v>2.8545833333333337</v>
      </c>
    </row>
    <row r="12" spans="2:22" x14ac:dyDescent="0.2">
      <c r="B12" t="s">
        <v>6</v>
      </c>
      <c r="C12">
        <v>16476.588480765698</v>
      </c>
      <c r="F12" t="s">
        <v>34</v>
      </c>
      <c r="G12">
        <v>50000</v>
      </c>
      <c r="H12">
        <v>9.3099099999999994E-3</v>
      </c>
      <c r="I12">
        <v>-1139.19</v>
      </c>
      <c r="J12">
        <v>-1139.19</v>
      </c>
      <c r="K12">
        <v>14.0802</v>
      </c>
      <c r="L12">
        <v>14.08</v>
      </c>
      <c r="M12">
        <v>14.079700000000001</v>
      </c>
      <c r="N12">
        <v>2791.3</v>
      </c>
      <c r="O12">
        <v>0.109956</v>
      </c>
      <c r="P12">
        <f>I12/256</f>
        <v>-4.4499609375000002</v>
      </c>
    </row>
    <row r="13" spans="2:22" x14ac:dyDescent="0.2">
      <c r="B13" t="s">
        <v>9</v>
      </c>
      <c r="C13">
        <v>17.0816226202165</v>
      </c>
      <c r="F13" t="s">
        <v>35</v>
      </c>
      <c r="G13">
        <v>50000</v>
      </c>
      <c r="H13">
        <v>9.3106700000000001E-3</v>
      </c>
      <c r="I13">
        <v>-860.15200000000004</v>
      </c>
      <c r="J13">
        <v>-860.15200000000004</v>
      </c>
      <c r="K13">
        <v>16.2</v>
      </c>
      <c r="L13">
        <v>16.2</v>
      </c>
      <c r="M13">
        <v>16.2</v>
      </c>
      <c r="N13">
        <v>4251.54</v>
      </c>
      <c r="O13">
        <v>1.67482</v>
      </c>
      <c r="P13">
        <f>I13/256</f>
        <v>-3.3599687500000002</v>
      </c>
    </row>
    <row r="14" spans="2:22" x14ac:dyDescent="0.2">
      <c r="B14" t="s">
        <v>21</v>
      </c>
      <c r="C14">
        <v>17.082222724737701</v>
      </c>
      <c r="F14" t="s">
        <v>23</v>
      </c>
      <c r="G14">
        <v>50000</v>
      </c>
      <c r="H14">
        <v>9.2922500000000002E-3</v>
      </c>
      <c r="I14">
        <v>-1948.69</v>
      </c>
      <c r="J14">
        <v>-1948.69</v>
      </c>
      <c r="K14">
        <v>16.992000000000001</v>
      </c>
      <c r="L14">
        <v>16.992000000000001</v>
      </c>
      <c r="M14">
        <v>16.992000000000001</v>
      </c>
      <c r="N14">
        <v>4906.07</v>
      </c>
      <c r="O14">
        <v>5.9108799999999997</v>
      </c>
      <c r="P14">
        <f>I14/432</f>
        <v>-4.5108564814814818</v>
      </c>
      <c r="Q14" s="2">
        <f>(I14-216*P12-216*P13)/432</f>
        <v>-0.60589163773148158</v>
      </c>
      <c r="R14" s="2"/>
      <c r="S14" s="2">
        <f>L14/6</f>
        <v>2.8320000000000003</v>
      </c>
      <c r="T14" s="2">
        <f>AVERAGE(S11,S14)</f>
        <v>2.843291666666667</v>
      </c>
    </row>
    <row r="15" spans="2:22" x14ac:dyDescent="0.2">
      <c r="B15" t="s">
        <v>22</v>
      </c>
      <c r="C15">
        <v>56.466879986161402</v>
      </c>
      <c r="E15" t="s">
        <v>41</v>
      </c>
      <c r="F15" t="s">
        <v>37</v>
      </c>
      <c r="G15">
        <v>50000</v>
      </c>
      <c r="H15">
        <v>1.0156699999999999E-2</v>
      </c>
      <c r="I15">
        <v>-6209.57</v>
      </c>
      <c r="J15">
        <v>-6209.57</v>
      </c>
      <c r="K15">
        <v>17.084900000000001</v>
      </c>
      <c r="L15">
        <v>17.084399999999999</v>
      </c>
      <c r="M15">
        <v>56.427399999999999</v>
      </c>
      <c r="N15">
        <v>16470.3</v>
      </c>
      <c r="O15">
        <v>1.22445</v>
      </c>
      <c r="P15" s="5">
        <f>I15/1440</f>
        <v>-4.312201388888889</v>
      </c>
      <c r="Q15" s="5">
        <f>(I15-720*P11-720*P14)/1440</f>
        <v>4.4189814814817258E-3</v>
      </c>
      <c r="R15" s="2">
        <f>(I15-720*P11-720*P14)/(K15*L15*2)*16.02</f>
        <v>0.17462443642783107</v>
      </c>
      <c r="S15" s="2">
        <f t="shared" ref="S15:S17" si="1">L15/6</f>
        <v>2.8473999999999999</v>
      </c>
      <c r="T15" s="2"/>
      <c r="V15">
        <v>1440</v>
      </c>
    </row>
    <row r="16" spans="2:22" x14ac:dyDescent="0.2">
      <c r="B16" t="s">
        <v>24</v>
      </c>
      <c r="C16">
        <f>C14*C13*2</f>
        <v>583.58416419691173</v>
      </c>
      <c r="E16" t="s">
        <v>42</v>
      </c>
      <c r="F16" t="s">
        <v>36</v>
      </c>
      <c r="G16">
        <v>50000</v>
      </c>
      <c r="H16">
        <v>9.8935700000000008E-3</v>
      </c>
      <c r="I16">
        <v>-12425.3</v>
      </c>
      <c r="J16">
        <v>-12425.3</v>
      </c>
      <c r="K16">
        <v>17.082000000000001</v>
      </c>
      <c r="L16">
        <v>17.083200000000001</v>
      </c>
      <c r="M16">
        <v>113.18</v>
      </c>
      <c r="N16">
        <v>33027.9</v>
      </c>
      <c r="O16">
        <v>0.47256599999999999</v>
      </c>
      <c r="P16" s="5">
        <f>I16/2880</f>
        <v>-4.3143402777777773</v>
      </c>
      <c r="Q16" s="5">
        <f>(I16-1440*P11-1440*P14)/2880</f>
        <v>2.2800925925928871E-3</v>
      </c>
      <c r="R16" s="2">
        <f>(I16-1440*P11-1440*P14)/(K16*L16*2)*16.02</f>
        <v>0.18024762233927516</v>
      </c>
      <c r="S16" s="2">
        <f t="shared" si="1"/>
        <v>2.8472000000000004</v>
      </c>
      <c r="T16" s="2"/>
      <c r="V16">
        <v>2880</v>
      </c>
    </row>
    <row r="17" spans="2:28" x14ac:dyDescent="0.2">
      <c r="B17" t="s">
        <v>25</v>
      </c>
      <c r="C17">
        <f>(C11-720*D3-720*D7)/C16</f>
        <v>1.1239180268708999E-2</v>
      </c>
      <c r="E17" t="s">
        <v>43</v>
      </c>
      <c r="F17" t="s">
        <v>38</v>
      </c>
      <c r="G17">
        <v>50000</v>
      </c>
      <c r="H17">
        <v>9.93489E-3</v>
      </c>
      <c r="I17">
        <v>-18640.900000000001</v>
      </c>
      <c r="J17">
        <v>-18640.900000000001</v>
      </c>
      <c r="K17">
        <v>17.080400000000001</v>
      </c>
      <c r="L17">
        <v>17.0791</v>
      </c>
      <c r="M17">
        <v>169.98</v>
      </c>
      <c r="N17">
        <v>49586.1</v>
      </c>
      <c r="O17">
        <v>7.6267399999999999E-2</v>
      </c>
      <c r="P17" s="5">
        <f>I17/4320</f>
        <v>-4.3150231481481489</v>
      </c>
      <c r="Q17" s="5">
        <f>(I17-2160*P11-2160*P14)/4320</f>
        <v>1.5972222222217169E-3</v>
      </c>
      <c r="R17" s="2">
        <f>(I17-2160*P11-2160*P14)/(K17*L17*2)*16.02</f>
        <v>0.18946046041948983</v>
      </c>
      <c r="S17" s="2">
        <f t="shared" si="1"/>
        <v>2.8465166666666666</v>
      </c>
      <c r="T17" s="2"/>
      <c r="V17">
        <v>4320</v>
      </c>
    </row>
    <row r="18" spans="2:28" x14ac:dyDescent="0.2">
      <c r="E18" t="s">
        <v>45</v>
      </c>
      <c r="F18" t="s">
        <v>40</v>
      </c>
      <c r="G18">
        <v>50000</v>
      </c>
      <c r="H18">
        <v>9.9998900000000009E-3</v>
      </c>
      <c r="I18">
        <v>-21577.1</v>
      </c>
      <c r="J18">
        <v>-21577.1</v>
      </c>
      <c r="K18">
        <v>14.2287</v>
      </c>
      <c r="L18">
        <v>14.2293</v>
      </c>
      <c r="M18">
        <v>283.72399999999999</v>
      </c>
      <c r="N18">
        <v>57444</v>
      </c>
      <c r="O18">
        <v>0.35334500000000002</v>
      </c>
      <c r="P18" s="5">
        <f>I18/5000</f>
        <v>-4.3154199999999996</v>
      </c>
      <c r="Q18" s="5">
        <f>(I18-2500*P11-2500*P14)/5000</f>
        <v>1.2003703703707287E-3</v>
      </c>
      <c r="R18" s="2">
        <f>(I18-2500*P11-2500*P14)/(K18*L18*2)*16.02</f>
        <v>0.23744828038577909</v>
      </c>
      <c r="S18" s="2">
        <f>L18/5</f>
        <v>2.8458600000000001</v>
      </c>
      <c r="T18">
        <f t="shared" ref="T18" si="2">M18/100</f>
        <v>2.83724</v>
      </c>
      <c r="V18">
        <v>5000</v>
      </c>
    </row>
    <row r="19" spans="2:28" x14ac:dyDescent="0.2">
      <c r="E19" t="s">
        <v>47</v>
      </c>
      <c r="F19" t="s">
        <v>46</v>
      </c>
      <c r="G19">
        <v>50000</v>
      </c>
      <c r="H19">
        <v>9.5559500000000006E-3</v>
      </c>
      <c r="I19">
        <v>-43147.5</v>
      </c>
      <c r="J19">
        <v>-43147.5</v>
      </c>
      <c r="K19">
        <v>28.470500000000001</v>
      </c>
      <c r="L19">
        <v>28.476700000000001</v>
      </c>
      <c r="M19">
        <v>141.54599999999999</v>
      </c>
      <c r="N19">
        <v>114758</v>
      </c>
      <c r="O19">
        <v>0.26940599999999998</v>
      </c>
      <c r="P19" s="5">
        <f>I19/10000</f>
        <v>-4.3147500000000001</v>
      </c>
      <c r="Q19" s="5">
        <f>(I19-5000*P11-5000*P14)/10000</f>
        <v>1.8703703703704378E-3</v>
      </c>
      <c r="R19" s="2">
        <f>(I19-5000*P11-5000*P14)/(K19*L19*2)*16.02</f>
        <v>0.18478868533809287</v>
      </c>
      <c r="S19" s="2">
        <f>L19/10</f>
        <v>2.8476699999999999</v>
      </c>
      <c r="T19">
        <f>M19/50</f>
        <v>2.8309199999999999</v>
      </c>
      <c r="V19">
        <v>1000</v>
      </c>
    </row>
    <row r="20" spans="2:28" x14ac:dyDescent="0.2">
      <c r="B20" t="s">
        <v>26</v>
      </c>
      <c r="C20">
        <f>C17*16.02</f>
        <v>0.18005166790471816</v>
      </c>
      <c r="E20" t="s">
        <v>44</v>
      </c>
      <c r="F20" t="s">
        <v>39</v>
      </c>
      <c r="G20">
        <v>50000</v>
      </c>
      <c r="H20">
        <v>1.02381E-2</v>
      </c>
      <c r="I20">
        <v>-8284.82</v>
      </c>
      <c r="J20">
        <v>-8284.82</v>
      </c>
      <c r="K20">
        <v>11.385999999999999</v>
      </c>
      <c r="L20">
        <v>11.3851</v>
      </c>
      <c r="M20">
        <v>170.00700000000001</v>
      </c>
      <c r="N20">
        <v>22038.2</v>
      </c>
      <c r="O20">
        <v>0.468773</v>
      </c>
      <c r="P20" s="5">
        <f>I20/1920</f>
        <v>-4.3150104166666665</v>
      </c>
      <c r="Q20" s="5">
        <f>(I20-960*P11-960*P14)/1920</f>
        <v>1.6099537037040552E-3</v>
      </c>
      <c r="R20" s="2">
        <f>(I20-960*P11-960*P14)/(K20*L20*2)*16.02</f>
        <v>0.19100252268392293</v>
      </c>
      <c r="S20" s="2">
        <f>L20/4</f>
        <v>2.8462749999999999</v>
      </c>
      <c r="T20">
        <f>M20/60</f>
        <v>2.83345</v>
      </c>
      <c r="V20">
        <v>1920</v>
      </c>
      <c r="X20">
        <f>I20-960*P$11-480*P$12-480*P$13</f>
        <v>-578.5648611111103</v>
      </c>
      <c r="Y20">
        <f>X20-960*Q$14</f>
        <v>3.0911111111120135</v>
      </c>
      <c r="Z20">
        <f>Y20/1920</f>
        <v>1.6099537037041736E-3</v>
      </c>
      <c r="AB20">
        <f>X20/V20</f>
        <v>-0.30133586516203664</v>
      </c>
    </row>
    <row r="21" spans="2:28" x14ac:dyDescent="0.2">
      <c r="E21" t="s">
        <v>51</v>
      </c>
      <c r="F21" t="s">
        <v>52</v>
      </c>
      <c r="G21">
        <v>50000</v>
      </c>
      <c r="H21">
        <v>1.01505E-2</v>
      </c>
      <c r="I21">
        <v>-13809.3</v>
      </c>
      <c r="J21">
        <v>-13809.3</v>
      </c>
      <c r="K21">
        <v>11.3825</v>
      </c>
      <c r="L21">
        <v>11.382199999999999</v>
      </c>
      <c r="M21">
        <v>283.73399999999998</v>
      </c>
      <c r="N21">
        <v>36760</v>
      </c>
      <c r="O21">
        <v>0.250581</v>
      </c>
      <c r="P21" s="5">
        <f>I21/3200</f>
        <v>-4.3154062499999997</v>
      </c>
      <c r="Q21" s="5">
        <f>(I21-1600*P11-1600*P14)/3200</f>
        <v>1.214120370370324E-3</v>
      </c>
      <c r="R21" s="2">
        <f>(I21-1600*P11-1600*P14)/(K21*L21*2)*16.02</f>
        <v>0.24020407381616077</v>
      </c>
      <c r="S21" s="2">
        <f>L21/4</f>
        <v>2.8455499999999998</v>
      </c>
      <c r="T21">
        <f>M21/100</f>
        <v>2.8373399999999998</v>
      </c>
      <c r="V21">
        <v>3200</v>
      </c>
      <c r="X21">
        <f>I21-1600*P$11-800*P$12-800*P$13</f>
        <v>-965.54143518518504</v>
      </c>
      <c r="Y21">
        <f>X21-1600*Q$14</f>
        <v>3.8851851851854917</v>
      </c>
      <c r="Z21">
        <f>Y21/3200</f>
        <v>1.2141203703704662E-3</v>
      </c>
      <c r="AB21">
        <f t="shared" ref="AB21:AB22" si="3">X21/V21</f>
        <v>-0.30173169849537035</v>
      </c>
    </row>
    <row r="22" spans="2:28" x14ac:dyDescent="0.2">
      <c r="E22" t="s">
        <v>53</v>
      </c>
      <c r="F22" t="s">
        <v>54</v>
      </c>
      <c r="G22">
        <v>100000</v>
      </c>
      <c r="H22">
        <v>9.8166799999999995E-3</v>
      </c>
      <c r="I22">
        <v>-27620.799999999999</v>
      </c>
      <c r="J22">
        <v>-27620.799999999999</v>
      </c>
      <c r="K22">
        <v>11.3819</v>
      </c>
      <c r="L22">
        <v>11.3819</v>
      </c>
      <c r="M22">
        <v>567.86699999999996</v>
      </c>
      <c r="N22">
        <v>73565.8</v>
      </c>
      <c r="O22">
        <v>0.25804300000000002</v>
      </c>
      <c r="P22" s="5">
        <f>I22/6400</f>
        <v>-4.3157499999999995</v>
      </c>
      <c r="Q22" s="5">
        <f>(I22-3200*P11-3200*P14)/6400</f>
        <v>8.7037037037021039E-4</v>
      </c>
      <c r="R22" s="2">
        <f>(I22-3200*P11-3200*P14)/(K22*L22*2)*16.02</f>
        <v>0.34441896468071631</v>
      </c>
      <c r="S22" s="2">
        <f>L22/4</f>
        <v>2.845475</v>
      </c>
      <c r="T22">
        <f>M22/200</f>
        <v>2.8393349999999997</v>
      </c>
      <c r="V22">
        <v>6400</v>
      </c>
      <c r="X22">
        <f>I22-3200*P$11-1600*P$12-1600*P$13</f>
        <v>-1933.2828703703708</v>
      </c>
      <c r="Y22">
        <f>X22-3200*Q$14</f>
        <v>5.5703703703702558</v>
      </c>
      <c r="Z22">
        <f>Y22/6400</f>
        <v>8.7037037037035253E-4</v>
      </c>
      <c r="AB22">
        <f t="shared" si="3"/>
        <v>-0.30207544849537044</v>
      </c>
    </row>
    <row r="23" spans="2:28" x14ac:dyDescent="0.2">
      <c r="P23" s="5"/>
      <c r="Q23" s="5"/>
      <c r="R23" s="2"/>
      <c r="S23" s="2"/>
    </row>
    <row r="24" spans="2:28" x14ac:dyDescent="0.2">
      <c r="F24" t="s">
        <v>48</v>
      </c>
      <c r="Q24" s="5"/>
      <c r="R24" s="2"/>
    </row>
    <row r="25" spans="2:28" x14ac:dyDescent="0.2">
      <c r="F25" t="s">
        <v>33</v>
      </c>
      <c r="G25">
        <v>50000</v>
      </c>
      <c r="H25">
        <v>9.22363E-3</v>
      </c>
      <c r="I25">
        <v>-1780.47</v>
      </c>
      <c r="J25">
        <v>-1780.47</v>
      </c>
      <c r="K25">
        <v>17.058</v>
      </c>
      <c r="L25">
        <v>17.058</v>
      </c>
      <c r="M25">
        <v>17.058</v>
      </c>
      <c r="N25">
        <v>4963.46</v>
      </c>
      <c r="O25">
        <v>18396.7</v>
      </c>
      <c r="P25">
        <f>I25/432</f>
        <v>-4.121458333333333</v>
      </c>
      <c r="Q25" s="5"/>
      <c r="R25" s="2"/>
      <c r="S25" s="2">
        <f>L25/6</f>
        <v>2.843</v>
      </c>
    </row>
    <row r="26" spans="2:28" x14ac:dyDescent="0.2">
      <c r="F26" t="s">
        <v>23</v>
      </c>
      <c r="G26">
        <v>50000</v>
      </c>
      <c r="H26">
        <v>9.2896599999999999E-3</v>
      </c>
      <c r="I26">
        <v>-1948.37</v>
      </c>
      <c r="J26">
        <v>-1948.37</v>
      </c>
      <c r="K26">
        <v>17.058</v>
      </c>
      <c r="L26">
        <v>17.058</v>
      </c>
      <c r="M26">
        <v>17.058</v>
      </c>
      <c r="N26">
        <v>4963.46</v>
      </c>
      <c r="O26">
        <v>-17907.3</v>
      </c>
      <c r="P26">
        <f>I26/432</f>
        <v>-4.5101157407407406</v>
      </c>
      <c r="Q26" s="5"/>
      <c r="R26" s="2"/>
      <c r="S26" s="2">
        <f>L26/6</f>
        <v>2.843</v>
      </c>
    </row>
    <row r="27" spans="2:28" x14ac:dyDescent="0.2">
      <c r="E27" t="s">
        <v>41</v>
      </c>
      <c r="F27" t="s">
        <v>37</v>
      </c>
      <c r="G27">
        <v>50000</v>
      </c>
      <c r="H27">
        <v>9.2578999999999995E-3</v>
      </c>
      <c r="I27">
        <v>-6209.2</v>
      </c>
      <c r="J27">
        <v>-6209.2</v>
      </c>
      <c r="K27">
        <v>17.058</v>
      </c>
      <c r="L27">
        <v>17.058</v>
      </c>
      <c r="M27">
        <v>56.86</v>
      </c>
      <c r="N27">
        <v>16544.900000000001</v>
      </c>
      <c r="O27">
        <v>-8885.64</v>
      </c>
      <c r="P27">
        <f>I27/1440</f>
        <v>-4.3119444444444444</v>
      </c>
      <c r="Q27" s="5">
        <f>(I27-720*P25-720*P26)/1440</f>
        <v>3.8425925925925715E-3</v>
      </c>
      <c r="R27" s="2">
        <f>(I27-720*P25-720*P26)/(K27*L27*2)*16.02</f>
        <v>0.15232217391435157</v>
      </c>
      <c r="S27" s="2">
        <f>L27/6</f>
        <v>2.843</v>
      </c>
    </row>
    <row r="28" spans="2:28" x14ac:dyDescent="0.2">
      <c r="E28" t="s">
        <v>51</v>
      </c>
      <c r="F28" t="s">
        <v>52</v>
      </c>
      <c r="G28">
        <v>50000</v>
      </c>
      <c r="H28">
        <v>9.4430999999999994E-3</v>
      </c>
      <c r="I28">
        <v>-13809.2</v>
      </c>
      <c r="J28">
        <v>-13809.2</v>
      </c>
      <c r="K28">
        <v>11.372</v>
      </c>
      <c r="L28">
        <v>11.372</v>
      </c>
      <c r="M28">
        <v>284.3</v>
      </c>
      <c r="N28">
        <v>36766.400000000001</v>
      </c>
      <c r="O28">
        <v>-2718.82</v>
      </c>
      <c r="P28" s="5">
        <f>I28/3200</f>
        <v>-4.3153750000000004</v>
      </c>
      <c r="Q28" s="5">
        <f>(I28-1600*P25-1600*P26)/3200</f>
        <v>4.1203703703672544E-4</v>
      </c>
      <c r="R28" s="2">
        <f>(I28-1600*P25-1600*P26)/(K28*L28*2)*16.02</f>
        <v>8.1666707701006702E-2</v>
      </c>
      <c r="S28" s="2">
        <f>L28/4</f>
        <v>2.843</v>
      </c>
      <c r="T28">
        <f>M28/100</f>
        <v>2.843</v>
      </c>
    </row>
    <row r="29" spans="2:28" x14ac:dyDescent="0.2">
      <c r="E29" t="s">
        <v>43</v>
      </c>
      <c r="F29" t="s">
        <v>38</v>
      </c>
      <c r="G29">
        <v>50000</v>
      </c>
      <c r="H29">
        <v>9.36997E-3</v>
      </c>
      <c r="I29">
        <v>-18640.5</v>
      </c>
      <c r="J29">
        <v>-18640.5</v>
      </c>
      <c r="K29">
        <v>17.058</v>
      </c>
      <c r="L29">
        <v>17.058</v>
      </c>
      <c r="M29">
        <v>170.58</v>
      </c>
      <c r="N29">
        <v>49634.6</v>
      </c>
      <c r="O29">
        <v>-3737.89</v>
      </c>
      <c r="P29" s="5">
        <f>I29/4320</f>
        <v>-4.3149305555555557</v>
      </c>
      <c r="Q29" s="5">
        <f>(I29-2160*P25-2160*P26)/4320</f>
        <v>8.5648148148122888E-4</v>
      </c>
      <c r="R29" s="2">
        <f>(I29-2160*P25-2160*P26)/(K29*L29*2)*16.02</f>
        <v>0.1018539837619767</v>
      </c>
      <c r="S29" s="2">
        <f>L29/6</f>
        <v>2.843</v>
      </c>
    </row>
    <row r="30" spans="2:28" x14ac:dyDescent="0.2">
      <c r="Q30" s="5"/>
      <c r="R30" s="2"/>
    </row>
    <row r="31" spans="2:28" x14ac:dyDescent="0.2">
      <c r="F31" t="s">
        <v>49</v>
      </c>
      <c r="Q31" s="5"/>
      <c r="R31" s="2"/>
    </row>
    <row r="32" spans="2:28" x14ac:dyDescent="0.2">
      <c r="F32" t="s">
        <v>37</v>
      </c>
      <c r="G32">
        <v>50000</v>
      </c>
      <c r="H32">
        <v>9.6877300000000003E-3</v>
      </c>
      <c r="I32">
        <v>-6209.53</v>
      </c>
      <c r="J32">
        <v>-6209.53</v>
      </c>
      <c r="K32">
        <v>17.058</v>
      </c>
      <c r="L32">
        <v>17.058</v>
      </c>
      <c r="M32">
        <v>56.543399999999998</v>
      </c>
      <c r="N32">
        <v>16452.7</v>
      </c>
      <c r="O32">
        <v>1042.6600000000001</v>
      </c>
      <c r="P32">
        <f>I32/1440</f>
        <v>-4.3121736111111106</v>
      </c>
      <c r="Q32" s="5">
        <f>(I32-720*P25-720*P26)/1440</f>
        <v>3.6134259259259552E-3</v>
      </c>
      <c r="R32" s="2">
        <f>(I32-720*P25-720*P26)/(K32*L32*2)*16.02</f>
        <v>0.14323789968693137</v>
      </c>
      <c r="S32" s="2">
        <f>L32/6</f>
        <v>2.843</v>
      </c>
    </row>
    <row r="33" spans="5:21" x14ac:dyDescent="0.2">
      <c r="Q33" s="5">
        <f>(I32-720*P11-720*P14)/1440</f>
        <v>4.4467592592594783E-3</v>
      </c>
      <c r="R33" s="2">
        <f>(I32-720*P11-720*P14)/(K32*L32*2)*16.02</f>
        <v>0.17627162415029241</v>
      </c>
      <c r="S33" s="2"/>
    </row>
    <row r="34" spans="5:21" x14ac:dyDescent="0.2">
      <c r="Q34" s="5"/>
      <c r="R34" s="2"/>
      <c r="S34" s="2"/>
    </row>
    <row r="35" spans="5:21" x14ac:dyDescent="0.2">
      <c r="G35" t="s">
        <v>29</v>
      </c>
      <c r="H35" t="s">
        <v>30</v>
      </c>
      <c r="I35" t="s">
        <v>4</v>
      </c>
      <c r="J35" t="s">
        <v>31</v>
      </c>
      <c r="K35" t="s">
        <v>9</v>
      </c>
      <c r="L35" t="s">
        <v>21</v>
      </c>
      <c r="M35" t="s">
        <v>22</v>
      </c>
      <c r="N35" t="s">
        <v>6</v>
      </c>
      <c r="O35" t="s">
        <v>32</v>
      </c>
      <c r="P35" t="s">
        <v>5</v>
      </c>
      <c r="Q35" t="s">
        <v>12</v>
      </c>
      <c r="R35" t="s">
        <v>50</v>
      </c>
      <c r="S35" t="s">
        <v>8</v>
      </c>
    </row>
    <row r="36" spans="5:21" x14ac:dyDescent="0.2">
      <c r="E36" t="s">
        <v>55</v>
      </c>
      <c r="F36" t="s">
        <v>33</v>
      </c>
      <c r="G36">
        <v>50000</v>
      </c>
      <c r="H36">
        <v>93.023399999999995</v>
      </c>
      <c r="I36">
        <v>-1775.15</v>
      </c>
      <c r="J36">
        <v>-1769.97</v>
      </c>
      <c r="K36">
        <v>17.128399999999999</v>
      </c>
      <c r="L36">
        <v>17.128</v>
      </c>
      <c r="M36">
        <v>17.128</v>
      </c>
      <c r="N36">
        <v>5024.91</v>
      </c>
      <c r="O36">
        <v>1.1192299999999999</v>
      </c>
      <c r="P36">
        <f>I36/432</f>
        <v>-4.1091435185185183</v>
      </c>
      <c r="T36">
        <f>K36/6</f>
        <v>2.8547333333333333</v>
      </c>
    </row>
    <row r="37" spans="5:21" x14ac:dyDescent="0.2">
      <c r="F37" t="s">
        <v>34</v>
      </c>
      <c r="G37">
        <v>50000</v>
      </c>
      <c r="H37">
        <v>93.075400000000002</v>
      </c>
      <c r="I37">
        <v>-1135.8599999999999</v>
      </c>
      <c r="J37">
        <v>-1132.8</v>
      </c>
      <c r="K37">
        <v>14.0899</v>
      </c>
      <c r="L37">
        <v>14.090299999999999</v>
      </c>
      <c r="M37">
        <v>14.0905</v>
      </c>
      <c r="N37">
        <v>2797.39</v>
      </c>
      <c r="O37">
        <v>-3.9594200000000002</v>
      </c>
      <c r="P37">
        <f>I37/256</f>
        <v>-4.4369531249999996</v>
      </c>
    </row>
    <row r="38" spans="5:21" x14ac:dyDescent="0.2">
      <c r="F38" t="s">
        <v>35</v>
      </c>
      <c r="G38">
        <v>50000</v>
      </c>
      <c r="H38">
        <v>93.072800000000001</v>
      </c>
      <c r="I38">
        <v>-856.87599999999998</v>
      </c>
      <c r="J38">
        <v>-853.80899999999997</v>
      </c>
      <c r="K38">
        <v>16.215900000000001</v>
      </c>
      <c r="L38">
        <v>16.216799999999999</v>
      </c>
      <c r="M38">
        <v>16.215800000000002</v>
      </c>
      <c r="N38">
        <v>4264.25</v>
      </c>
      <c r="O38">
        <v>-0.59498099999999998</v>
      </c>
      <c r="P38">
        <f>I38/256</f>
        <v>-3.3471718749999999</v>
      </c>
      <c r="U38">
        <f>AVERAGE(T36,T39)</f>
        <v>2.8454000000000002</v>
      </c>
    </row>
    <row r="39" spans="5:21" x14ac:dyDescent="0.2">
      <c r="F39" t="s">
        <v>23</v>
      </c>
      <c r="G39">
        <v>50000</v>
      </c>
      <c r="H39">
        <v>92.982399999999998</v>
      </c>
      <c r="I39">
        <v>-1943.1</v>
      </c>
      <c r="J39">
        <v>-1937.92</v>
      </c>
      <c r="K39">
        <v>17.016400000000001</v>
      </c>
      <c r="L39">
        <v>17.015000000000001</v>
      </c>
      <c r="M39">
        <v>17.015699999999999</v>
      </c>
      <c r="N39">
        <v>4926.59</v>
      </c>
      <c r="O39">
        <v>-1.31677</v>
      </c>
      <c r="P39">
        <f>I39/432</f>
        <v>-4.4979166666666668</v>
      </c>
      <c r="Q39" s="2">
        <f>(I39-216*P37-216*P38)/432</f>
        <v>-0.6058541666666668</v>
      </c>
      <c r="T39">
        <f>K39/6</f>
        <v>2.836066666666667</v>
      </c>
    </row>
    <row r="40" spans="5:21" x14ac:dyDescent="0.2">
      <c r="F40" t="s">
        <v>56</v>
      </c>
      <c r="G40">
        <v>50000</v>
      </c>
      <c r="H40">
        <v>92.850499999999997</v>
      </c>
      <c r="I40">
        <v>-8995.86</v>
      </c>
      <c r="J40">
        <v>-8971.8700000000008</v>
      </c>
      <c r="K40">
        <v>28.359300000000001</v>
      </c>
      <c r="L40">
        <v>28.359300000000001</v>
      </c>
      <c r="M40">
        <v>28.359100000000002</v>
      </c>
      <c r="N40">
        <v>22807.8</v>
      </c>
      <c r="O40">
        <v>0.222493</v>
      </c>
      <c r="P40">
        <f>I40/2000</f>
        <v>-4.4979300000000002</v>
      </c>
      <c r="Q40" s="2">
        <f>(I40-1000*P37-1000*P38)/2000</f>
        <v>-0.60586750000000034</v>
      </c>
    </row>
    <row r="41" spans="5:21" x14ac:dyDescent="0.2">
      <c r="E41" t="s">
        <v>53</v>
      </c>
      <c r="F41" t="s">
        <v>54</v>
      </c>
      <c r="G41">
        <v>100000</v>
      </c>
      <c r="H41">
        <v>92.937100000000001</v>
      </c>
      <c r="I41">
        <v>-27537.1</v>
      </c>
      <c r="J41">
        <v>-27460.2</v>
      </c>
      <c r="K41">
        <v>11.3872</v>
      </c>
      <c r="L41">
        <v>11.3873</v>
      </c>
      <c r="M41">
        <v>568.404</v>
      </c>
      <c r="N41">
        <v>73704</v>
      </c>
      <c r="O41">
        <v>8.0909700000000001E-2</v>
      </c>
      <c r="P41" s="5">
        <f>I41/6400</f>
        <v>-4.3026718749999997</v>
      </c>
      <c r="Q41" s="5">
        <f>(I41-3200*P$36-3200*P$39)/6400</f>
        <v>8.5821759259289369E-4</v>
      </c>
      <c r="R41" s="2">
        <f>(I41-3200*P$36-3200*P$40)/(K41*L41*2)*16.02</f>
        <v>0.34192650907428018</v>
      </c>
      <c r="S41" s="2">
        <f>L41/4</f>
        <v>2.8468249999999999</v>
      </c>
      <c r="T41">
        <f>M41/200</f>
        <v>2.8420199999999998</v>
      </c>
    </row>
    <row r="42" spans="5:21" x14ac:dyDescent="0.2">
      <c r="E42" t="s">
        <v>44</v>
      </c>
      <c r="F42" t="s">
        <v>39</v>
      </c>
      <c r="G42">
        <v>100000</v>
      </c>
      <c r="H42">
        <v>92.8964</v>
      </c>
      <c r="I42">
        <v>-8259.75</v>
      </c>
      <c r="J42">
        <v>-8236.7000000000007</v>
      </c>
      <c r="K42">
        <v>11.391500000000001</v>
      </c>
      <c r="L42">
        <v>11.3916</v>
      </c>
      <c r="M42">
        <v>170.16399999999999</v>
      </c>
      <c r="N42">
        <v>22081.7</v>
      </c>
      <c r="O42">
        <v>-0.16930700000000001</v>
      </c>
      <c r="P42" s="5">
        <f>I42/1920</f>
        <v>-4.3019531249999998</v>
      </c>
      <c r="Q42" s="5">
        <f>(I42-960*P36-960*P39)/1920</f>
        <v>1.5769675925923821E-3</v>
      </c>
      <c r="R42" s="2">
        <f>(I42-960*P36-960*P40)/(K42*L42*2)*16.02</f>
        <v>0.18768215946704292</v>
      </c>
      <c r="S42" s="2">
        <f>L42/4</f>
        <v>2.8479000000000001</v>
      </c>
      <c r="T42">
        <f>M42/60</f>
        <v>2.8360666666666665</v>
      </c>
    </row>
    <row r="44" spans="5:21" x14ac:dyDescent="0.2">
      <c r="F44" t="s">
        <v>59</v>
      </c>
    </row>
    <row r="45" spans="5:21" x14ac:dyDescent="0.2">
      <c r="F45" t="s">
        <v>57</v>
      </c>
      <c r="G45">
        <v>50000</v>
      </c>
      <c r="H45">
        <v>92.938400000000001</v>
      </c>
      <c r="I45">
        <v>-6574.32</v>
      </c>
      <c r="J45">
        <v>-6555.11</v>
      </c>
      <c r="K45">
        <v>11.372</v>
      </c>
      <c r="L45">
        <v>11.372</v>
      </c>
      <c r="M45">
        <v>143.41200000000001</v>
      </c>
      <c r="N45">
        <v>18546.3</v>
      </c>
      <c r="O45">
        <v>5840.13</v>
      </c>
      <c r="P45">
        <f>I45/1600</f>
        <v>-4.1089500000000001</v>
      </c>
      <c r="T45">
        <f>M45/50</f>
        <v>2.8682400000000001</v>
      </c>
    </row>
    <row r="46" spans="5:21" x14ac:dyDescent="0.2">
      <c r="F46" t="s">
        <v>58</v>
      </c>
      <c r="G46">
        <v>50000</v>
      </c>
      <c r="H46">
        <v>92.947299999999998</v>
      </c>
      <c r="I46">
        <v>-7196.38</v>
      </c>
      <c r="J46">
        <v>-7177.17</v>
      </c>
      <c r="K46">
        <v>11.372</v>
      </c>
      <c r="L46">
        <v>11.372</v>
      </c>
      <c r="M46">
        <v>141.292</v>
      </c>
      <c r="N46">
        <v>18272.2</v>
      </c>
      <c r="O46">
        <v>-2136.85</v>
      </c>
      <c r="P46">
        <f>I46/1600</f>
        <v>-4.4977375000000004</v>
      </c>
      <c r="T46">
        <f>M46/50</f>
        <v>2.8258399999999999</v>
      </c>
      <c r="U46">
        <f>AVERAGE(T45:T46)</f>
        <v>2.8470399999999998</v>
      </c>
    </row>
    <row r="47" spans="5:21" x14ac:dyDescent="0.2">
      <c r="F47" t="s">
        <v>60</v>
      </c>
      <c r="G47">
        <v>50000</v>
      </c>
      <c r="H47">
        <v>92.905600000000007</v>
      </c>
      <c r="I47">
        <v>-13767.2</v>
      </c>
      <c r="J47">
        <v>-13728.8</v>
      </c>
      <c r="K47">
        <v>11.372</v>
      </c>
      <c r="L47">
        <v>11.372</v>
      </c>
      <c r="M47">
        <v>284.548</v>
      </c>
      <c r="N47">
        <v>36798.400000000001</v>
      </c>
      <c r="O47">
        <v>1551.24</v>
      </c>
      <c r="P47" s="5">
        <f>I47/3200</f>
        <v>-4.3022499999999999</v>
      </c>
      <c r="Q47" s="5">
        <f>(I47-1600*P45-1600*P46)/3200</f>
        <v>1.0937500000000001E-3</v>
      </c>
      <c r="R47" s="2">
        <f>(I47-1600*P45-1600*P46)/(K47*L47*2)*16.02</f>
        <v>0.21678381679075759</v>
      </c>
      <c r="S47" s="2">
        <f>L47/4</f>
        <v>2.843</v>
      </c>
      <c r="T47">
        <f>M47/100</f>
        <v>2.8454800000000002</v>
      </c>
    </row>
    <row r="48" spans="5:21" x14ac:dyDescent="0.2">
      <c r="Q48">
        <f>Q47/(2*K47*L47)</f>
        <v>4.2287729555001098E-6</v>
      </c>
    </row>
    <row r="49" spans="6:21" x14ac:dyDescent="0.2">
      <c r="F49" t="s">
        <v>61</v>
      </c>
    </row>
    <row r="50" spans="6:21" x14ac:dyDescent="0.2">
      <c r="F50" t="s">
        <v>57</v>
      </c>
      <c r="G50">
        <v>50000</v>
      </c>
      <c r="H50">
        <v>92.919600000000003</v>
      </c>
      <c r="I50">
        <v>-6163.38</v>
      </c>
      <c r="J50">
        <v>-6145.38</v>
      </c>
      <c r="K50">
        <v>14.215</v>
      </c>
      <c r="L50">
        <v>14.215</v>
      </c>
      <c r="M50">
        <v>86.046999999999997</v>
      </c>
      <c r="N50">
        <v>17387.2</v>
      </c>
      <c r="O50">
        <v>5844.05</v>
      </c>
      <c r="P50">
        <f>I50/1500</f>
        <v>-4.1089200000000003</v>
      </c>
      <c r="T50">
        <f>M50/30</f>
        <v>2.8682333333333334</v>
      </c>
    </row>
    <row r="51" spans="6:21" x14ac:dyDescent="0.2">
      <c r="F51" t="s">
        <v>58</v>
      </c>
      <c r="G51">
        <v>50000</v>
      </c>
      <c r="H51">
        <v>93.0428</v>
      </c>
      <c r="I51">
        <v>-6746.65</v>
      </c>
      <c r="J51">
        <v>-6728.63</v>
      </c>
      <c r="K51">
        <v>14.215</v>
      </c>
      <c r="L51">
        <v>14.215</v>
      </c>
      <c r="M51">
        <v>84.773399999999995</v>
      </c>
      <c r="N51">
        <v>17129.8</v>
      </c>
      <c r="O51">
        <v>-2125.6999999999998</v>
      </c>
      <c r="P51">
        <f>I51/1500</f>
        <v>-4.4977666666666662</v>
      </c>
      <c r="T51">
        <f>M51/30</f>
        <v>2.82578</v>
      </c>
      <c r="U51">
        <f>AVERAGE(T50:T51)</f>
        <v>2.8470066666666667</v>
      </c>
    </row>
    <row r="52" spans="6:21" x14ac:dyDescent="0.2">
      <c r="F52" t="s">
        <v>62</v>
      </c>
      <c r="G52">
        <v>100000</v>
      </c>
      <c r="H52">
        <v>92.951499999999996</v>
      </c>
      <c r="I52">
        <v>-12905.8</v>
      </c>
      <c r="J52">
        <v>-12869.8</v>
      </c>
      <c r="K52">
        <v>14.215</v>
      </c>
      <c r="L52">
        <v>14.215</v>
      </c>
      <c r="M52" s="6">
        <v>170.529</v>
      </c>
      <c r="N52" s="6">
        <v>34458.199999999997</v>
      </c>
      <c r="O52" s="6">
        <v>2017.73</v>
      </c>
      <c r="P52" s="5">
        <f>I52/3000</f>
        <v>-4.3019333333333334</v>
      </c>
      <c r="Q52" s="5">
        <f>(I52-1500*P50-1500*P51)/3000</f>
        <v>1.4100000000001577E-3</v>
      </c>
      <c r="R52" s="2">
        <f>(I52-1500*P50-1500*P51)/(K52*L52*2)*16.02</f>
        <v>0.16767918537600127</v>
      </c>
      <c r="S52" s="2">
        <f>L52/5</f>
        <v>2.843</v>
      </c>
      <c r="T52">
        <f>M52/60</f>
        <v>2.8421499999999997</v>
      </c>
    </row>
    <row r="53" spans="6:21" x14ac:dyDescent="0.2">
      <c r="Q53">
        <f>Q52/(2*K52*L52)</f>
        <v>3.488955168039977E-6</v>
      </c>
    </row>
    <row r="54" spans="6:21" x14ac:dyDescent="0.2">
      <c r="F54" t="s">
        <v>63</v>
      </c>
    </row>
    <row r="55" spans="6:21" x14ac:dyDescent="0.2">
      <c r="F55" t="s">
        <v>57</v>
      </c>
      <c r="G55">
        <v>50000</v>
      </c>
      <c r="H55">
        <v>92.925299999999993</v>
      </c>
      <c r="I55">
        <v>-6162.85</v>
      </c>
      <c r="J55">
        <v>-6144.84</v>
      </c>
      <c r="K55">
        <v>14.18</v>
      </c>
      <c r="L55">
        <v>14.18</v>
      </c>
      <c r="M55">
        <v>86.287400000000005</v>
      </c>
      <c r="N55">
        <v>17350</v>
      </c>
      <c r="O55">
        <v>9347.1299999999992</v>
      </c>
      <c r="P55">
        <f>I55/1500</f>
        <v>-4.1085666666666665</v>
      </c>
      <c r="T55">
        <f>M55/30</f>
        <v>2.8762466666666668</v>
      </c>
    </row>
    <row r="56" spans="6:21" x14ac:dyDescent="0.2">
      <c r="F56" t="s">
        <v>58</v>
      </c>
      <c r="G56">
        <v>50000</v>
      </c>
      <c r="H56">
        <v>92.9863</v>
      </c>
      <c r="I56">
        <v>-6746.81</v>
      </c>
      <c r="J56">
        <v>-6728.8</v>
      </c>
      <c r="K56">
        <v>14.18</v>
      </c>
      <c r="L56">
        <v>14.18</v>
      </c>
      <c r="M56">
        <v>85.076400000000007</v>
      </c>
      <c r="N56">
        <v>17106.5</v>
      </c>
      <c r="O56">
        <v>-39.884999999999998</v>
      </c>
      <c r="P56">
        <f>I56/1500</f>
        <v>-4.4978733333333336</v>
      </c>
      <c r="T56">
        <f>M56/30</f>
        <v>2.8358800000000004</v>
      </c>
      <c r="U56">
        <f>AVERAGE(T55:T56)</f>
        <v>2.8560633333333336</v>
      </c>
    </row>
    <row r="57" spans="6:21" x14ac:dyDescent="0.2">
      <c r="F57" t="s">
        <v>62</v>
      </c>
      <c r="G57">
        <v>100000</v>
      </c>
      <c r="H57">
        <v>92.965400000000002</v>
      </c>
      <c r="I57">
        <v>-12905.4</v>
      </c>
      <c r="J57">
        <v>-12869.4</v>
      </c>
      <c r="K57">
        <v>14.18</v>
      </c>
      <c r="L57">
        <v>14.18</v>
      </c>
      <c r="M57" s="6">
        <v>171.07900000000001</v>
      </c>
      <c r="N57" s="6">
        <v>34399.300000000003</v>
      </c>
      <c r="O57" s="6">
        <v>4791.03</v>
      </c>
      <c r="P57" s="5">
        <f>I57/3000</f>
        <v>-4.3018000000000001</v>
      </c>
      <c r="Q57" s="5">
        <f>(I57-1500*P55-1500*P56)/3000</f>
        <v>1.4200000000000727E-3</v>
      </c>
      <c r="R57" s="2">
        <f>(I57-1500*P55-1500*P56)/(K57*L57*2)*16.02</f>
        <v>0.1697030522339304</v>
      </c>
      <c r="S57" s="2">
        <f>L57/5</f>
        <v>2.8359999999999999</v>
      </c>
      <c r="T57">
        <f>M57/60</f>
        <v>2.8513166666666669</v>
      </c>
    </row>
    <row r="58" spans="6:21" x14ac:dyDescent="0.2">
      <c r="Q58">
        <f>Q57/(2*K57*L57)</f>
        <v>3.5310664218462423E-6</v>
      </c>
    </row>
    <row r="59" spans="6:21" x14ac:dyDescent="0.2">
      <c r="F59" t="s">
        <v>64</v>
      </c>
    </row>
    <row r="60" spans="6:21" x14ac:dyDescent="0.2">
      <c r="F60" t="s">
        <v>57</v>
      </c>
      <c r="G60">
        <v>50000</v>
      </c>
      <c r="H60">
        <v>92.958699999999993</v>
      </c>
      <c r="I60">
        <v>-3944.2</v>
      </c>
      <c r="J60">
        <v>-3932.68</v>
      </c>
      <c r="K60">
        <v>11.343999999999999</v>
      </c>
      <c r="L60">
        <v>11.343999999999999</v>
      </c>
      <c r="M60">
        <v>86.287800000000004</v>
      </c>
      <c r="N60">
        <v>11104.1</v>
      </c>
      <c r="O60">
        <v>9349.0400000000009</v>
      </c>
      <c r="P60">
        <f>I60/960</f>
        <v>-4.1085416666666665</v>
      </c>
      <c r="T60">
        <f>M60/30</f>
        <v>2.8762600000000003</v>
      </c>
    </row>
    <row r="61" spans="6:21" x14ac:dyDescent="0.2">
      <c r="F61" t="s">
        <v>58</v>
      </c>
      <c r="G61">
        <v>50000</v>
      </c>
      <c r="H61">
        <v>92.9405</v>
      </c>
      <c r="I61">
        <v>-4317.99</v>
      </c>
      <c r="J61">
        <v>-4306.46</v>
      </c>
      <c r="K61">
        <v>11.343999999999999</v>
      </c>
      <c r="L61">
        <v>11.343999999999999</v>
      </c>
      <c r="M61">
        <v>85.075400000000002</v>
      </c>
      <c r="N61">
        <v>10948</v>
      </c>
      <c r="O61">
        <v>-35.005800000000001</v>
      </c>
      <c r="P61">
        <f>I61/960</f>
        <v>-4.4979062499999998</v>
      </c>
      <c r="T61">
        <f>M61/30</f>
        <v>2.8358466666666668</v>
      </c>
      <c r="U61">
        <f>AVERAGE(T60:T61)</f>
        <v>2.8560533333333336</v>
      </c>
    </row>
    <row r="62" spans="6:21" x14ac:dyDescent="0.2">
      <c r="F62" t="s">
        <v>44</v>
      </c>
      <c r="G62">
        <v>100000</v>
      </c>
      <c r="H62">
        <v>92.889200000000002</v>
      </c>
      <c r="I62">
        <v>-8259.51</v>
      </c>
      <c r="J62">
        <v>-8236.4699999999993</v>
      </c>
      <c r="K62">
        <v>11.343999999999999</v>
      </c>
      <c r="L62">
        <v>11.343999999999999</v>
      </c>
      <c r="M62" s="6">
        <v>171.07400000000001</v>
      </c>
      <c r="N62" s="6">
        <v>22014.9</v>
      </c>
      <c r="O62" s="6">
        <v>4829.1499999999996</v>
      </c>
      <c r="P62" s="5">
        <f>I62/1920</f>
        <v>-4.3018281250000001</v>
      </c>
      <c r="Q62" s="5">
        <f>(I62-960*P60-960*P61)/1920</f>
        <v>1.3958333333330111E-3</v>
      </c>
      <c r="R62" s="2">
        <f>(I62-960*P60-960*P61)/(K62*L62*2)*16.02</f>
        <v>0.16681491343412752</v>
      </c>
      <c r="S62" s="2">
        <f>L62/4</f>
        <v>2.8359999999999999</v>
      </c>
      <c r="T62">
        <f>M62/60</f>
        <v>2.8512333333333335</v>
      </c>
    </row>
    <row r="63" spans="6:21" x14ac:dyDescent="0.2">
      <c r="Q63">
        <f>Q62/(2*K62*L62)</f>
        <v>5.4233937211990062E-6</v>
      </c>
    </row>
    <row r="64" spans="6:21" x14ac:dyDescent="0.2">
      <c r="F64" t="s">
        <v>65</v>
      </c>
    </row>
    <row r="65" spans="5:22" x14ac:dyDescent="0.2">
      <c r="F65" t="s">
        <v>57</v>
      </c>
      <c r="G65">
        <v>50000</v>
      </c>
      <c r="H65">
        <v>92.998999999999995</v>
      </c>
      <c r="I65">
        <v>-1774.2</v>
      </c>
      <c r="J65">
        <v>-1769.02</v>
      </c>
      <c r="K65">
        <v>17.015999999999998</v>
      </c>
      <c r="L65">
        <v>17.015999999999998</v>
      </c>
      <c r="M65">
        <v>17.015999999999998</v>
      </c>
      <c r="N65">
        <v>4926.8900000000003</v>
      </c>
      <c r="O65">
        <v>34470.400000000001</v>
      </c>
      <c r="P65">
        <f>I65/432</f>
        <v>-4.1069444444444443</v>
      </c>
      <c r="S65" s="2">
        <f>L65/6</f>
        <v>2.8359999999999999</v>
      </c>
    </row>
    <row r="66" spans="5:22" x14ac:dyDescent="0.2">
      <c r="F66" t="s">
        <v>58</v>
      </c>
      <c r="G66">
        <v>50000</v>
      </c>
      <c r="H66">
        <v>93.037199999999999</v>
      </c>
      <c r="I66">
        <v>-1943.11</v>
      </c>
      <c r="J66">
        <v>-1937.93</v>
      </c>
      <c r="K66">
        <v>17.015999999999998</v>
      </c>
      <c r="L66">
        <v>17.015999999999998</v>
      </c>
      <c r="M66">
        <v>17.015999999999998</v>
      </c>
      <c r="N66">
        <v>4926.8900000000003</v>
      </c>
      <c r="O66">
        <v>-147.214</v>
      </c>
      <c r="P66">
        <f>I66/432</f>
        <v>-4.4979398148148144</v>
      </c>
      <c r="S66" s="2">
        <f>L66/6</f>
        <v>2.8359999999999999</v>
      </c>
      <c r="V66" s="7"/>
    </row>
    <row r="67" spans="5:22" x14ac:dyDescent="0.2">
      <c r="F67" t="s">
        <v>44</v>
      </c>
      <c r="G67">
        <v>100000</v>
      </c>
      <c r="H67">
        <v>92.993099999999998</v>
      </c>
      <c r="I67">
        <v>-8259.32</v>
      </c>
      <c r="J67">
        <v>-8236.26</v>
      </c>
      <c r="K67">
        <v>11.343999999999999</v>
      </c>
      <c r="L67">
        <v>11.343999999999999</v>
      </c>
      <c r="M67">
        <v>170.16</v>
      </c>
      <c r="N67">
        <v>21897.3</v>
      </c>
      <c r="O67">
        <v>13648.3</v>
      </c>
      <c r="P67" s="5">
        <f>I67/1920</f>
        <v>-4.3017291666666662</v>
      </c>
      <c r="Q67" s="5">
        <f>(I67-960*P65-960*P66)/1920</f>
        <v>7.1296296296263035E-4</v>
      </c>
      <c r="R67" s="2">
        <f>(I67-960*P65-960*P66)/(K67*L67*2)*16.02</f>
        <v>8.5205627425703423E-2</v>
      </c>
      <c r="S67" s="2">
        <f>L67/4</f>
        <v>2.8359999999999999</v>
      </c>
      <c r="T67">
        <f>M67/60</f>
        <v>2.8359999999999999</v>
      </c>
      <c r="V67" s="7"/>
    </row>
    <row r="68" spans="5:22" x14ac:dyDescent="0.2">
      <c r="F68" t="s">
        <v>51</v>
      </c>
      <c r="G68">
        <v>100000</v>
      </c>
      <c r="H68">
        <v>92.976799999999997</v>
      </c>
      <c r="I68">
        <v>-13767</v>
      </c>
      <c r="J68">
        <v>-13728.5</v>
      </c>
      <c r="K68">
        <v>11.343999999999999</v>
      </c>
      <c r="L68">
        <v>11.343999999999999</v>
      </c>
      <c r="M68">
        <v>283.60000000000002</v>
      </c>
      <c r="N68">
        <v>36495.4</v>
      </c>
      <c r="O68">
        <v>14931.5</v>
      </c>
      <c r="P68" s="5">
        <f>I68/3200</f>
        <v>-4.3021874999999996</v>
      </c>
      <c r="Q68" s="5">
        <f>(I68-1600*P65-1600*P66)/3200</f>
        <v>2.5462962962961909E-4</v>
      </c>
      <c r="R68" s="2">
        <f>(I68-1600*P65-1600*P66)/(K68*L68*2)*16.02</f>
        <v>5.0717635372464077E-2</v>
      </c>
      <c r="S68" s="2">
        <f>L68/4</f>
        <v>2.8359999999999999</v>
      </c>
      <c r="T68" s="2">
        <f>M68/100</f>
        <v>2.8360000000000003</v>
      </c>
    </row>
    <row r="69" spans="5:22" x14ac:dyDescent="0.2">
      <c r="F69" t="s">
        <v>62</v>
      </c>
      <c r="G69">
        <v>100000</v>
      </c>
      <c r="H69">
        <v>92.960099999999997</v>
      </c>
      <c r="I69">
        <v>-12905.2</v>
      </c>
      <c r="J69">
        <v>-12869.2</v>
      </c>
      <c r="K69">
        <v>14.18</v>
      </c>
      <c r="L69">
        <v>14.18</v>
      </c>
      <c r="M69">
        <v>170.16</v>
      </c>
      <c r="N69">
        <v>34214.5</v>
      </c>
      <c r="O69">
        <v>13652.6</v>
      </c>
      <c r="P69" s="5">
        <f>I69/3000</f>
        <v>-4.3017333333333339</v>
      </c>
      <c r="Q69" s="5">
        <f>(I69-1500*P65-1500*P66)/3000</f>
        <v>7.0879629629568323E-4</v>
      </c>
      <c r="R69" s="2">
        <f>(I69-1500*P65-1500*P66)/(K69*L69*2)*16.02</f>
        <v>8.4707672460194783E-2</v>
      </c>
      <c r="S69" s="2">
        <f>L69/5</f>
        <v>2.8359999999999999</v>
      </c>
      <c r="T69">
        <f>M69/60</f>
        <v>2.8359999999999999</v>
      </c>
      <c r="V69" s="7"/>
    </row>
    <row r="70" spans="5:22" x14ac:dyDescent="0.2">
      <c r="F70" t="s">
        <v>66</v>
      </c>
      <c r="G70">
        <v>100000</v>
      </c>
      <c r="H70">
        <v>92.966300000000004</v>
      </c>
      <c r="I70">
        <v>-13100.2</v>
      </c>
      <c r="J70">
        <v>-13064.1</v>
      </c>
      <c r="K70">
        <v>14.18</v>
      </c>
      <c r="L70">
        <v>14.18</v>
      </c>
      <c r="M70">
        <v>170.16</v>
      </c>
      <c r="N70">
        <v>34214.5</v>
      </c>
      <c r="O70">
        <v>8083.17</v>
      </c>
      <c r="P70" s="5">
        <f>I70/3000</f>
        <v>-4.3667333333333334</v>
      </c>
      <c r="Q70" s="5">
        <f>(I70-1000*P65-2000*P66)/3000</f>
        <v>8.7469135802469586E-4</v>
      </c>
      <c r="R70" s="2">
        <f>(I70-1000*P65-2000*P66)/(K70*L70*2)*16.02</f>
        <v>0.10453365719677808</v>
      </c>
      <c r="S70" s="2">
        <f>L70/5</f>
        <v>2.8359999999999999</v>
      </c>
      <c r="T70">
        <f>M70/60</f>
        <v>2.8359999999999999</v>
      </c>
    </row>
    <row r="71" spans="5:22" x14ac:dyDescent="0.2">
      <c r="F71" t="s">
        <v>67</v>
      </c>
      <c r="G71">
        <v>100000</v>
      </c>
      <c r="H71">
        <v>92.958600000000004</v>
      </c>
      <c r="I71">
        <v>-12709.8</v>
      </c>
      <c r="J71">
        <v>-12673.8</v>
      </c>
      <c r="K71">
        <v>14.18</v>
      </c>
      <c r="L71">
        <v>14.18</v>
      </c>
      <c r="M71">
        <v>170.16</v>
      </c>
      <c r="N71">
        <v>34214.5</v>
      </c>
      <c r="O71">
        <v>19399.7</v>
      </c>
      <c r="P71" s="5">
        <f>I71/3000</f>
        <v>-4.2366000000000001</v>
      </c>
      <c r="Q71" s="5">
        <f>(I71-2000*P65-1000*P66)/3000</f>
        <v>6.7623456790139849E-4</v>
      </c>
      <c r="R71" s="2">
        <f>(I71-2000*P65-1000*P66)/(K71*L71*2)*16.02</f>
        <v>8.0816246618982041E-2</v>
      </c>
      <c r="S71" s="2">
        <f>L71/5</f>
        <v>2.8359999999999999</v>
      </c>
      <c r="T71">
        <f>M71/60</f>
        <v>2.8359999999999999</v>
      </c>
    </row>
    <row r="72" spans="5:22" x14ac:dyDescent="0.2">
      <c r="F72" t="s">
        <v>68</v>
      </c>
      <c r="G72">
        <v>100000</v>
      </c>
      <c r="H72">
        <v>92.878500000000003</v>
      </c>
      <c r="I72">
        <v>-17012.7</v>
      </c>
      <c r="J72">
        <v>-16964.7</v>
      </c>
      <c r="K72">
        <v>14.18</v>
      </c>
      <c r="L72">
        <v>14.18</v>
      </c>
      <c r="M72">
        <v>226.88</v>
      </c>
      <c r="N72">
        <v>45619.3</v>
      </c>
      <c r="O72">
        <v>18731</v>
      </c>
      <c r="P72" s="5">
        <f>I72/4000</f>
        <v>-4.2531750000000006</v>
      </c>
      <c r="Q72" s="5">
        <f>(I72-2500*P65-1500*P66)/3000</f>
        <v>5.236111111107675E-4</v>
      </c>
      <c r="R72" s="2">
        <f>(I72-2500*P65-1500*P66)/(K72*L72*2)*16.02</f>
        <v>6.2576340661332649E-2</v>
      </c>
      <c r="S72" s="2">
        <f t="shared" ref="S72:S73" si="4">L72/5</f>
        <v>2.8359999999999999</v>
      </c>
      <c r="T72">
        <f>M72/80</f>
        <v>2.8359999999999999</v>
      </c>
      <c r="V72" t="s">
        <v>76</v>
      </c>
    </row>
    <row r="73" spans="5:22" x14ac:dyDescent="0.2">
      <c r="F73" t="s">
        <v>69</v>
      </c>
      <c r="G73">
        <v>100000</v>
      </c>
      <c r="H73">
        <v>92.949700000000007</v>
      </c>
      <c r="I73">
        <v>-10851.2</v>
      </c>
      <c r="J73">
        <v>-10821.2</v>
      </c>
      <c r="K73">
        <v>14.18</v>
      </c>
      <c r="L73">
        <v>14.18</v>
      </c>
      <c r="M73">
        <v>141.80000000000001</v>
      </c>
      <c r="N73">
        <v>28512.1</v>
      </c>
      <c r="O73">
        <v>9742.26</v>
      </c>
      <c r="P73" s="5">
        <f>I73/2500</f>
        <v>-4.3404800000000003</v>
      </c>
      <c r="Q73" s="5">
        <f>(I73-1000*P65-1500*P66)/3000</f>
        <v>8.8472222222177755E-4</v>
      </c>
      <c r="R73" s="2">
        <f>(I73-1000*P65-1500*P66)/(K73*L73*2)*16.02</f>
        <v>0.10573243766916451</v>
      </c>
      <c r="S73" s="2">
        <f t="shared" si="4"/>
        <v>2.8359999999999999</v>
      </c>
      <c r="T73">
        <f>M73/50</f>
        <v>2.8360000000000003</v>
      </c>
      <c r="V73" t="s">
        <v>77</v>
      </c>
    </row>
    <row r="74" spans="5:22" x14ac:dyDescent="0.2">
      <c r="F74" t="s">
        <v>71</v>
      </c>
      <c r="G74">
        <v>100000</v>
      </c>
      <c r="H74">
        <v>92.877200000000002</v>
      </c>
      <c r="I74">
        <v>-17403.3</v>
      </c>
      <c r="J74">
        <v>-17355.3</v>
      </c>
      <c r="K74">
        <v>14.18</v>
      </c>
      <c r="L74">
        <v>14.18</v>
      </c>
      <c r="M74">
        <v>226.88</v>
      </c>
      <c r="N74">
        <v>45619.3</v>
      </c>
      <c r="O74">
        <v>10162.4</v>
      </c>
      <c r="P74" s="5">
        <f>I74/4000</f>
        <v>-4.3508249999999995</v>
      </c>
      <c r="Q74" s="5">
        <f>(I74-1500*P65-2500*P66)/3000</f>
        <v>6.5540123456776203E-4</v>
      </c>
      <c r="R74" s="2">
        <f>(I74-1500*P65-2500*P66)/(K74*L74*2)*16.02</f>
        <v>7.8326471791570221E-2</v>
      </c>
      <c r="S74" s="2">
        <f t="shared" ref="S74:S75" si="5">L74/5</f>
        <v>2.8359999999999999</v>
      </c>
      <c r="T74">
        <f>M74/80</f>
        <v>2.8359999999999999</v>
      </c>
      <c r="V74" t="s">
        <v>78</v>
      </c>
    </row>
    <row r="75" spans="5:22" x14ac:dyDescent="0.2">
      <c r="F75" t="s">
        <v>70</v>
      </c>
      <c r="G75">
        <v>100000</v>
      </c>
      <c r="H75">
        <v>92.9512</v>
      </c>
      <c r="I75">
        <v>-10656.1</v>
      </c>
      <c r="J75">
        <v>-10626.1</v>
      </c>
      <c r="K75">
        <v>14.18</v>
      </c>
      <c r="L75">
        <v>14.18</v>
      </c>
      <c r="M75">
        <v>141.80000000000001</v>
      </c>
      <c r="N75">
        <v>28512.1</v>
      </c>
      <c r="O75">
        <v>16462.3</v>
      </c>
      <c r="P75" s="5">
        <f>I75/2500</f>
        <v>-4.2624399999999998</v>
      </c>
      <c r="Q75" s="5">
        <f>(I75-1500*P65-1000*P66)/3000</f>
        <v>7.5216049382682588E-4</v>
      </c>
      <c r="R75" s="2">
        <f>(I75-1500*P65-1000*P66)/(K75*L75*2)*16.02</f>
        <v>8.9890092656469134E-2</v>
      </c>
      <c r="S75" s="2">
        <f t="shared" si="5"/>
        <v>2.8359999999999999</v>
      </c>
      <c r="T75">
        <f>M75/50</f>
        <v>2.8360000000000003</v>
      </c>
      <c r="V75" t="s">
        <v>79</v>
      </c>
    </row>
    <row r="77" spans="5:22" x14ac:dyDescent="0.2">
      <c r="F77" t="s">
        <v>72</v>
      </c>
    </row>
    <row r="78" spans="5:22" x14ac:dyDescent="0.2">
      <c r="G78" t="s">
        <v>29</v>
      </c>
      <c r="H78" t="s">
        <v>30</v>
      </c>
      <c r="I78" t="s">
        <v>4</v>
      </c>
      <c r="J78" t="s">
        <v>31</v>
      </c>
      <c r="K78" t="s">
        <v>9</v>
      </c>
      <c r="L78" t="s">
        <v>21</v>
      </c>
      <c r="M78" t="s">
        <v>22</v>
      </c>
      <c r="N78" t="s">
        <v>6</v>
      </c>
      <c r="O78" t="s">
        <v>32</v>
      </c>
      <c r="P78" t="s">
        <v>5</v>
      </c>
      <c r="Q78" t="s">
        <v>12</v>
      </c>
      <c r="R78" t="s">
        <v>50</v>
      </c>
      <c r="S78" t="s">
        <v>8</v>
      </c>
    </row>
    <row r="79" spans="5:22" x14ac:dyDescent="0.2">
      <c r="E79" t="s">
        <v>55</v>
      </c>
      <c r="F79" t="s">
        <v>33</v>
      </c>
      <c r="G79">
        <v>50000</v>
      </c>
      <c r="H79">
        <v>93.023399999999995</v>
      </c>
      <c r="I79">
        <v>-1775.15</v>
      </c>
      <c r="J79">
        <v>-1769.97</v>
      </c>
      <c r="K79">
        <v>17.128399999999999</v>
      </c>
      <c r="L79">
        <v>17.128</v>
      </c>
      <c r="M79">
        <v>17.128</v>
      </c>
      <c r="N79">
        <v>5024.91</v>
      </c>
      <c r="O79">
        <v>1.1192299999999999</v>
      </c>
      <c r="P79">
        <f>I79/432</f>
        <v>-4.1091435185185183</v>
      </c>
      <c r="Q79">
        <v>0</v>
      </c>
      <c r="T79" s="8">
        <f>K79/6</f>
        <v>2.8547333333333333</v>
      </c>
    </row>
    <row r="80" spans="5:22" x14ac:dyDescent="0.2">
      <c r="F80" t="s">
        <v>34</v>
      </c>
      <c r="G80">
        <v>50000</v>
      </c>
      <c r="H80">
        <v>93.075400000000002</v>
      </c>
      <c r="I80">
        <v>-1135.8599999999999</v>
      </c>
      <c r="J80">
        <v>-1132.8</v>
      </c>
      <c r="K80">
        <v>14.0899</v>
      </c>
      <c r="L80">
        <v>14.090299999999999</v>
      </c>
      <c r="M80">
        <v>14.0905</v>
      </c>
      <c r="N80">
        <v>2797.39</v>
      </c>
      <c r="O80">
        <v>-3.9594200000000002</v>
      </c>
      <c r="P80">
        <f>I80/256</f>
        <v>-4.4369531249999996</v>
      </c>
      <c r="T80" s="8"/>
    </row>
    <row r="81" spans="6:26" x14ac:dyDescent="0.2">
      <c r="F81" t="s">
        <v>35</v>
      </c>
      <c r="G81">
        <v>50000</v>
      </c>
      <c r="H81">
        <v>93.072800000000001</v>
      </c>
      <c r="I81">
        <v>-856.87599999999998</v>
      </c>
      <c r="J81">
        <v>-853.80899999999997</v>
      </c>
      <c r="K81">
        <v>16.215900000000001</v>
      </c>
      <c r="L81">
        <v>16.216799999999999</v>
      </c>
      <c r="M81">
        <v>16.215800000000002</v>
      </c>
      <c r="N81">
        <v>4264.25</v>
      </c>
      <c r="O81">
        <v>-0.59498099999999998</v>
      </c>
      <c r="P81">
        <f>I81/256</f>
        <v>-3.3471718749999999</v>
      </c>
      <c r="T81" s="8"/>
    </row>
    <row r="82" spans="6:26" x14ac:dyDescent="0.2">
      <c r="F82" t="s">
        <v>23</v>
      </c>
      <c r="G82">
        <v>50000</v>
      </c>
      <c r="H82">
        <v>92.982399999999998</v>
      </c>
      <c r="I82">
        <v>-1943.1</v>
      </c>
      <c r="J82">
        <v>-1937.92</v>
      </c>
      <c r="K82">
        <v>17.016400000000001</v>
      </c>
      <c r="L82">
        <v>17.015000000000001</v>
      </c>
      <c r="M82">
        <v>17.015699999999999</v>
      </c>
      <c r="N82">
        <v>4926.59</v>
      </c>
      <c r="O82">
        <v>-1.31677</v>
      </c>
      <c r="P82">
        <f>I82/432</f>
        <v>-4.4979166666666668</v>
      </c>
      <c r="Q82" s="2">
        <f>(I82-216*P80-216*P81)/432</f>
        <v>-0.6058541666666668</v>
      </c>
      <c r="T82" s="8">
        <f>K82/6</f>
        <v>2.836066666666667</v>
      </c>
    </row>
    <row r="83" spans="6:26" x14ac:dyDescent="0.2">
      <c r="F83" t="s">
        <v>62</v>
      </c>
      <c r="G83">
        <v>100000</v>
      </c>
      <c r="H83">
        <v>92.960899999999995</v>
      </c>
      <c r="I83">
        <v>-12905.8</v>
      </c>
      <c r="J83">
        <v>-12869.8</v>
      </c>
      <c r="K83">
        <v>14.2399</v>
      </c>
      <c r="L83">
        <v>14.24</v>
      </c>
      <c r="M83">
        <v>170.14699999999999</v>
      </c>
      <c r="N83">
        <v>34501.699999999997</v>
      </c>
      <c r="O83">
        <v>-3.00571E-2</v>
      </c>
      <c r="P83" s="5">
        <f>I83/3000</f>
        <v>-4.3019333333333334</v>
      </c>
      <c r="Q83" s="5">
        <f>(I83-1500*P$79-1500*P$82)/3000</f>
        <v>1.5967592592593671E-3</v>
      </c>
      <c r="R83" s="2">
        <f>(I83-1500*P$79-1500*P$82)/(K83*L83*2)*16.02</f>
        <v>0.1892240289608903</v>
      </c>
      <c r="S83" s="2">
        <f>L83/5</f>
        <v>2.8479999999999999</v>
      </c>
      <c r="T83" s="8">
        <f>M83/60</f>
        <v>2.8357833333333331</v>
      </c>
    </row>
    <row r="84" spans="6:26" x14ac:dyDescent="0.2">
      <c r="F84" t="s">
        <v>68</v>
      </c>
      <c r="G84">
        <v>100000</v>
      </c>
      <c r="H84">
        <v>92.956500000000005</v>
      </c>
      <c r="I84">
        <v>-17014.8</v>
      </c>
      <c r="J84">
        <v>-16966.7</v>
      </c>
      <c r="K84">
        <v>14.248900000000001</v>
      </c>
      <c r="L84">
        <v>14.249000000000001</v>
      </c>
      <c r="M84">
        <v>227.239</v>
      </c>
      <c r="N84">
        <v>46137</v>
      </c>
      <c r="O84">
        <v>6.8060599999999999E-2</v>
      </c>
      <c r="P84" s="5">
        <f>I84/4000</f>
        <v>-4.2537000000000003</v>
      </c>
      <c r="Q84" s="5">
        <f>(I84-2500*P$79-1500*P$82)/3000</f>
        <v>1.6445987654321167E-3</v>
      </c>
      <c r="R84" s="2">
        <f>(I84-2500*P$79-1500*P$82)/(K84*L84*2)*16.02</f>
        <v>0.19464713048742013</v>
      </c>
      <c r="S84" s="2">
        <f t="shared" ref="S84:S87" si="6">L84/5</f>
        <v>2.8498000000000001</v>
      </c>
      <c r="T84" s="8">
        <f>M84/80</f>
        <v>2.8404875000000001</v>
      </c>
      <c r="V84" t="s">
        <v>74</v>
      </c>
    </row>
    <row r="85" spans="6:26" x14ac:dyDescent="0.2">
      <c r="F85" t="s">
        <v>69</v>
      </c>
      <c r="G85">
        <v>100000</v>
      </c>
      <c r="H85">
        <v>92.909599999999998</v>
      </c>
      <c r="I85">
        <v>-10851.3</v>
      </c>
      <c r="J85">
        <v>-10821.3</v>
      </c>
      <c r="K85">
        <v>14.2318</v>
      </c>
      <c r="L85">
        <v>14.231999999999999</v>
      </c>
      <c r="M85">
        <v>141.61099999999999</v>
      </c>
      <c r="N85">
        <v>28683</v>
      </c>
      <c r="O85">
        <v>3.4296399999999998E-2</v>
      </c>
      <c r="P85" s="5">
        <f>I85/2500</f>
        <v>-4.3405199999999997</v>
      </c>
      <c r="Q85" s="5">
        <f>(I85-1000*P$79-1500*P$82)/3000</f>
        <v>1.5728395061729921E-3</v>
      </c>
      <c r="R85" s="2">
        <f>(I85-1000*P$79-1500*P$82)/(K85*L85*2)*16.02</f>
        <v>0.18660033233365317</v>
      </c>
      <c r="S85" s="2">
        <f t="shared" si="6"/>
        <v>2.8464</v>
      </c>
      <c r="T85" s="8">
        <f>M85/50</f>
        <v>2.83222</v>
      </c>
      <c r="V85" t="s">
        <v>73</v>
      </c>
    </row>
    <row r="86" spans="6:26" x14ac:dyDescent="0.2">
      <c r="F86" t="s">
        <v>71</v>
      </c>
      <c r="G86">
        <v>100000</v>
      </c>
      <c r="H86">
        <v>92.934799999999996</v>
      </c>
      <c r="I86">
        <v>-17403.5</v>
      </c>
      <c r="J86">
        <v>-17355.400000000001</v>
      </c>
      <c r="K86">
        <v>14.227600000000001</v>
      </c>
      <c r="L86">
        <v>14.2277</v>
      </c>
      <c r="M86">
        <v>226.78200000000001</v>
      </c>
      <c r="N86">
        <v>45906.5</v>
      </c>
      <c r="O86">
        <v>8.6784700000000006E-2</v>
      </c>
      <c r="P86" s="5">
        <f>I86/4000</f>
        <v>-4.3508750000000003</v>
      </c>
      <c r="Q86" s="5">
        <f>(I86-1500*P$79-2500*P$82)/3000</f>
        <v>1.6689814814811446E-3</v>
      </c>
      <c r="R86" s="2">
        <f>(I86-1500*P$79-2500*P$82)/(K86*L86*2)*16.02</f>
        <v>0.19812484632394389</v>
      </c>
      <c r="S86" s="2">
        <f>L86/5</f>
        <v>2.8455400000000002</v>
      </c>
      <c r="T86" s="8">
        <f>M86/80</f>
        <v>2.834775</v>
      </c>
      <c r="V86" t="s">
        <v>75</v>
      </c>
      <c r="Z86" t="s">
        <v>80</v>
      </c>
    </row>
    <row r="87" spans="6:26" x14ac:dyDescent="0.2">
      <c r="F87" t="s">
        <v>70</v>
      </c>
      <c r="G87">
        <v>100000</v>
      </c>
      <c r="H87">
        <v>92.923699999999997</v>
      </c>
      <c r="I87">
        <v>-10657.1</v>
      </c>
      <c r="J87">
        <v>-10627</v>
      </c>
      <c r="K87">
        <v>14.2491</v>
      </c>
      <c r="L87">
        <v>14.249000000000001</v>
      </c>
      <c r="M87">
        <v>141.83099999999999</v>
      </c>
      <c r="N87">
        <v>28796.799999999999</v>
      </c>
      <c r="O87">
        <v>0.10144599999999999</v>
      </c>
      <c r="P87" s="5">
        <f>I87/2500</f>
        <v>-4.2628399999999997</v>
      </c>
      <c r="Q87" s="5">
        <f>(I87-1500*P$79-1000*P$82)/3000</f>
        <v>1.5106481481479933E-3</v>
      </c>
      <c r="R87" s="2">
        <f>(I87-1500*P$79-1000*P$82)/(K87*L87*2)*16.02</f>
        <v>0.17879084321903194</v>
      </c>
      <c r="S87" s="2">
        <f t="shared" si="6"/>
        <v>2.8498000000000001</v>
      </c>
      <c r="T87" s="8">
        <f>M87/50</f>
        <v>2.8366199999999999</v>
      </c>
      <c r="V87" t="s">
        <v>90</v>
      </c>
    </row>
    <row r="89" spans="6:26" x14ac:dyDescent="0.2">
      <c r="F89" t="s">
        <v>81</v>
      </c>
      <c r="G89">
        <v>100000</v>
      </c>
      <c r="H89">
        <v>92.929000000000002</v>
      </c>
      <c r="I89">
        <v>-86049.3</v>
      </c>
      <c r="J89">
        <v>-85809.1</v>
      </c>
      <c r="K89" s="6">
        <v>28.4758</v>
      </c>
      <c r="L89">
        <v>28.4756</v>
      </c>
      <c r="M89">
        <v>283.86</v>
      </c>
      <c r="N89">
        <v>230172</v>
      </c>
      <c r="O89">
        <v>-5.4464800000000001E-2</v>
      </c>
      <c r="P89" s="5">
        <f>I89/20000</f>
        <v>-4.3024649999999998</v>
      </c>
      <c r="Q89" s="5">
        <f>(I89-10000*P$79-10000*P$82)/20000</f>
        <v>1.0650925925921912E-3</v>
      </c>
      <c r="R89" s="2">
        <f>(I89-10000*P$79-10000*P$82)/(K89*L89*2)*16.02</f>
        <v>0.21042680362715169</v>
      </c>
      <c r="S89" s="2">
        <f>L89/10</f>
        <v>2.8475600000000001</v>
      </c>
      <c r="T89" s="8">
        <f>M89/100</f>
        <v>2.8386</v>
      </c>
    </row>
    <row r="90" spans="6:26" x14ac:dyDescent="0.2">
      <c r="F90" t="s">
        <v>82</v>
      </c>
      <c r="G90">
        <v>100000</v>
      </c>
      <c r="H90">
        <v>92.914900000000003</v>
      </c>
      <c r="I90">
        <v>-129078</v>
      </c>
      <c r="J90">
        <v>-128718</v>
      </c>
      <c r="K90">
        <v>28.470500000000001</v>
      </c>
      <c r="L90">
        <v>28.470500000000001</v>
      </c>
      <c r="M90">
        <v>426.12799999999999</v>
      </c>
      <c r="N90">
        <v>345406</v>
      </c>
      <c r="O90">
        <v>-6.2412600000000002E-3</v>
      </c>
      <c r="P90" s="5">
        <f>I90/30000</f>
        <v>-4.3026</v>
      </c>
      <c r="Q90" s="5">
        <f>(I90-15000*P$79-15000*P$82)/30000</f>
        <v>9.3009259259270037E-4</v>
      </c>
      <c r="R90" s="2">
        <f>(I90-15000*P$79-15000*P$82)/(K90*L90*2)*16.02</f>
        <v>0.27573364872039574</v>
      </c>
      <c r="S90" s="2">
        <f>L90/10</f>
        <v>2.8470500000000003</v>
      </c>
      <c r="T90" s="8">
        <f>M90/150</f>
        <v>2.8408533333333335</v>
      </c>
    </row>
    <row r="91" spans="6:26" x14ac:dyDescent="0.2">
      <c r="F91" t="s">
        <v>83</v>
      </c>
      <c r="G91">
        <v>100000</v>
      </c>
      <c r="H91">
        <v>92.924700000000001</v>
      </c>
      <c r="I91">
        <v>-275346</v>
      </c>
      <c r="J91">
        <v>-274578</v>
      </c>
      <c r="K91">
        <v>56.9559</v>
      </c>
      <c r="L91">
        <v>56.956000000000003</v>
      </c>
      <c r="M91">
        <v>226.989</v>
      </c>
      <c r="N91">
        <v>736347</v>
      </c>
      <c r="O91">
        <v>-2.7278799999999998E-3</v>
      </c>
      <c r="P91" s="5">
        <f>I91/64000</f>
        <v>-4.3022812500000001</v>
      </c>
      <c r="Q91" s="5">
        <f>(I91-32000*P$79-32000*P$82)/64000</f>
        <v>1.2488425925926095E-3</v>
      </c>
      <c r="R91" s="2">
        <f>(I91-32000*P$79-32000*P$82)/(K91*L91*2)*16.02</f>
        <v>0.19735220908365778</v>
      </c>
      <c r="S91" s="2">
        <f>L91/20</f>
        <v>2.8478000000000003</v>
      </c>
      <c r="T91" s="8">
        <f>M91/80</f>
        <v>2.8373625000000002</v>
      </c>
    </row>
    <row r="92" spans="6:26" x14ac:dyDescent="0.2">
      <c r="F92" t="s">
        <v>84</v>
      </c>
      <c r="G92">
        <v>100000</v>
      </c>
      <c r="H92">
        <v>92.914100000000005</v>
      </c>
      <c r="I92">
        <v>-206494</v>
      </c>
      <c r="J92">
        <v>-205917</v>
      </c>
      <c r="K92">
        <v>56.961599999999997</v>
      </c>
      <c r="L92">
        <v>56.961399999999998</v>
      </c>
      <c r="M92">
        <v>170.13300000000001</v>
      </c>
      <c r="N92">
        <v>552015</v>
      </c>
      <c r="O92">
        <v>2.59507E-2</v>
      </c>
      <c r="P92" s="5">
        <f>I92/48000</f>
        <v>-4.3019583333333333</v>
      </c>
      <c r="Q92" s="5">
        <f>(I92-24000*P$79-24000*P$82)/48000</f>
        <v>1.5717592592591244E-3</v>
      </c>
      <c r="R92" s="2">
        <f>(I92-24000*P$79-24000*P$82)/(K92*L92*2)*16.02</f>
        <v>0.18625028514429792</v>
      </c>
      <c r="S92" s="2">
        <f>L92/20</f>
        <v>2.8480699999999999</v>
      </c>
      <c r="T92" s="8">
        <f>M92/60</f>
        <v>2.83555</v>
      </c>
    </row>
    <row r="93" spans="6:26" x14ac:dyDescent="0.2">
      <c r="F93" t="s">
        <v>85</v>
      </c>
      <c r="G93">
        <v>100000</v>
      </c>
      <c r="H93">
        <v>92.936099999999996</v>
      </c>
      <c r="I93">
        <v>-344196</v>
      </c>
      <c r="J93">
        <v>-343235</v>
      </c>
      <c r="K93">
        <v>56.950200000000002</v>
      </c>
      <c r="L93">
        <v>56.950200000000002</v>
      </c>
      <c r="M93">
        <v>283.87599999999998</v>
      </c>
      <c r="N93">
        <v>920703</v>
      </c>
      <c r="O93">
        <v>3.0796600000000001E-3</v>
      </c>
      <c r="P93" s="5">
        <f>I93/80000</f>
        <v>-4.3024500000000003</v>
      </c>
      <c r="Q93" s="5">
        <f>(I93-40000*P$79-40000*P$82)/80000</f>
        <v>1.0800925925923367E-3</v>
      </c>
      <c r="R93" s="2">
        <f>(I93-40000*P$79-40000*P$82)/(K93*L93*2)*16.02</f>
        <v>0.21339929657768808</v>
      </c>
      <c r="S93" s="2">
        <f>L93/20</f>
        <v>2.8475100000000002</v>
      </c>
      <c r="T93" s="8">
        <f>M93/100</f>
        <v>2.8387599999999997</v>
      </c>
    </row>
    <row r="94" spans="6:26" x14ac:dyDescent="0.2">
      <c r="F94" t="s">
        <v>86</v>
      </c>
      <c r="G94">
        <v>100000</v>
      </c>
      <c r="H94">
        <v>92.924800000000005</v>
      </c>
      <c r="I94">
        <v>-5505.62</v>
      </c>
      <c r="J94">
        <v>-5490.26</v>
      </c>
      <c r="K94">
        <v>11.3934</v>
      </c>
      <c r="L94">
        <v>11.392799999999999</v>
      </c>
      <c r="M94">
        <v>113.31</v>
      </c>
      <c r="N94">
        <v>14708</v>
      </c>
      <c r="O94">
        <v>-1.0342000000000001E-3</v>
      </c>
      <c r="P94" s="5">
        <f>I94/1280</f>
        <v>-4.3012656250000001</v>
      </c>
      <c r="Q94" s="5">
        <f>(I94-640*P$79-640*P$82)/1280</f>
        <v>2.2644675925928225E-3</v>
      </c>
      <c r="R94" s="2">
        <f>(I94-640*P$79-640*P$82)/(K94*L94*2)*16.02</f>
        <v>0.17886475713507943</v>
      </c>
      <c r="S94" s="2">
        <f>L94/4</f>
        <v>2.8481999999999998</v>
      </c>
      <c r="T94" s="8">
        <f>M94/40</f>
        <v>2.8327499999999999</v>
      </c>
    </row>
    <row r="95" spans="6:26" x14ac:dyDescent="0.2">
      <c r="F95" t="s">
        <v>44</v>
      </c>
      <c r="G95">
        <v>100000</v>
      </c>
      <c r="H95">
        <v>92.9298</v>
      </c>
      <c r="I95">
        <v>-8259.73</v>
      </c>
      <c r="J95">
        <v>-8236.68</v>
      </c>
      <c r="K95">
        <v>11.3918</v>
      </c>
      <c r="L95">
        <v>11.3917</v>
      </c>
      <c r="M95">
        <v>170.15700000000001</v>
      </c>
      <c r="N95">
        <v>22081.5</v>
      </c>
      <c r="O95">
        <v>-3.6089999999999997E-2</v>
      </c>
      <c r="P95" s="5">
        <f>I95/1920</f>
        <v>-4.3019427083333328</v>
      </c>
      <c r="Q95" s="5">
        <f>(I95-960*P$79-960*P$82)/1920</f>
        <v>1.587384259259276E-3</v>
      </c>
      <c r="R95" s="2">
        <f>(I95-960*P$79-960*P$82)/(K95*L95*2)*16.02</f>
        <v>0.18811997972253189</v>
      </c>
      <c r="S95" s="2">
        <f>L95/4</f>
        <v>2.847925</v>
      </c>
      <c r="T95" s="8">
        <f t="shared" ref="T95" si="7">M95/60</f>
        <v>2.83595</v>
      </c>
    </row>
    <row r="96" spans="6:26" x14ac:dyDescent="0.2">
      <c r="F96" t="s">
        <v>87</v>
      </c>
      <c r="G96">
        <v>100000</v>
      </c>
      <c r="H96">
        <v>92.931700000000006</v>
      </c>
      <c r="I96">
        <v>-11013.9</v>
      </c>
      <c r="J96">
        <v>-10983.1</v>
      </c>
      <c r="K96">
        <v>11.391</v>
      </c>
      <c r="L96">
        <v>11.3911</v>
      </c>
      <c r="M96">
        <v>227.001</v>
      </c>
      <c r="N96">
        <v>29454.7</v>
      </c>
      <c r="O96">
        <v>-8.3352700000000002E-2</v>
      </c>
      <c r="P96" s="5">
        <f>I96/2560</f>
        <v>-4.3023046874999995</v>
      </c>
      <c r="Q96" s="5">
        <f>(I96-1280*P$79-1280*P$82)/2560</f>
        <v>1.2254050925928795E-3</v>
      </c>
      <c r="R96" s="2">
        <f>(I96-1280*P$79-1280*P$82)/(K96*L96*2)*16.02</f>
        <v>0.19365318578133972</v>
      </c>
      <c r="S96" s="2">
        <f>L96/4</f>
        <v>2.8477749999999999</v>
      </c>
      <c r="T96" s="8">
        <f>M96/80</f>
        <v>2.8375124999999999</v>
      </c>
    </row>
    <row r="97" spans="6:20" x14ac:dyDescent="0.2">
      <c r="F97" t="s">
        <v>51</v>
      </c>
      <c r="G97">
        <v>100000</v>
      </c>
      <c r="H97">
        <v>92.963200000000001</v>
      </c>
      <c r="I97">
        <v>-13767.9</v>
      </c>
      <c r="J97">
        <v>-13729.5</v>
      </c>
      <c r="K97">
        <v>11.3901</v>
      </c>
      <c r="L97">
        <v>11.3902</v>
      </c>
      <c r="M97">
        <v>283.87099999999998</v>
      </c>
      <c r="N97">
        <v>36828.300000000003</v>
      </c>
      <c r="O97">
        <v>7.3886300000000002E-2</v>
      </c>
      <c r="P97" s="5">
        <f>I97/3200</f>
        <v>-4.3024687500000001</v>
      </c>
      <c r="Q97" s="5">
        <f>(I97-1600*P$79-1600*P$82)/3200</f>
        <v>1.06134259259278E-3</v>
      </c>
      <c r="R97" s="2">
        <f>(I97-1600*P$79-1600*P$82)/(K97*L97*2)*16.02</f>
        <v>0.2096907150656695</v>
      </c>
      <c r="S97" s="2">
        <f t="shared" ref="S97:S98" si="8">L97/4</f>
        <v>2.84755</v>
      </c>
      <c r="T97" s="8">
        <f>M97/100</f>
        <v>2.8387099999999998</v>
      </c>
    </row>
    <row r="98" spans="6:20" x14ac:dyDescent="0.2">
      <c r="F98" t="s">
        <v>88</v>
      </c>
      <c r="G98">
        <v>100000</v>
      </c>
      <c r="H98">
        <v>92.931899999999999</v>
      </c>
      <c r="I98">
        <v>-16521.8</v>
      </c>
      <c r="J98">
        <v>-16475.599999999999</v>
      </c>
      <c r="K98">
        <v>11.3894</v>
      </c>
      <c r="L98">
        <v>11.3894</v>
      </c>
      <c r="M98">
        <v>340.75799999999998</v>
      </c>
      <c r="N98">
        <v>44202.400000000001</v>
      </c>
      <c r="O98">
        <v>0.111429</v>
      </c>
      <c r="P98" s="5">
        <f>I98/3840</f>
        <v>-4.3025520833333335</v>
      </c>
      <c r="Q98" s="5">
        <f>(I98-1920*P$79-1920*P$82)/3840</f>
        <v>9.7800925925923816E-4</v>
      </c>
      <c r="R98" s="2">
        <f>(I98-1920*P$79-1920*P$82)/(K98*L98*2)*16.02</f>
        <v>0.23190227828620785</v>
      </c>
      <c r="S98" s="2">
        <f t="shared" si="8"/>
        <v>2.84735</v>
      </c>
      <c r="T98" s="8">
        <f>M98/120</f>
        <v>2.8396499999999998</v>
      </c>
    </row>
    <row r="99" spans="6:20" x14ac:dyDescent="0.2">
      <c r="F99" t="s">
        <v>89</v>
      </c>
      <c r="G99">
        <v>100000</v>
      </c>
      <c r="H99">
        <v>92.9101</v>
      </c>
      <c r="I99">
        <v>-22029.4</v>
      </c>
      <c r="J99">
        <v>-21967.9</v>
      </c>
      <c r="K99">
        <v>11.3878</v>
      </c>
      <c r="L99">
        <v>11.3878</v>
      </c>
      <c r="M99">
        <v>454.59899999999999</v>
      </c>
      <c r="N99">
        <v>58953.2</v>
      </c>
      <c r="O99">
        <v>4.7444199999999999E-2</v>
      </c>
      <c r="P99" s="5">
        <f>I99/5120</f>
        <v>-4.3026171875000001</v>
      </c>
      <c r="Q99" s="5">
        <f>(I99-2560*P$79-2560*P$82)/5120</f>
        <v>9.1290509259245312E-4</v>
      </c>
      <c r="R99" s="2">
        <f>(I99-2560*P$79-2560*P$82)/(K99*L99*2)*16.02</f>
        <v>0.28870110389438725</v>
      </c>
      <c r="S99" s="2">
        <f t="shared" ref="S99" si="9">L99/4</f>
        <v>2.8469500000000001</v>
      </c>
      <c r="T99" s="8">
        <f>M99/160</f>
        <v>2.8412437499999998</v>
      </c>
    </row>
    <row r="100" spans="6:20" x14ac:dyDescent="0.2">
      <c r="F100" t="s">
        <v>53</v>
      </c>
      <c r="G100">
        <v>100000</v>
      </c>
      <c r="H100">
        <v>92.925600000000003</v>
      </c>
      <c r="I100">
        <v>-27536.7</v>
      </c>
      <c r="J100">
        <v>-27459.8</v>
      </c>
      <c r="K100">
        <v>11.3866</v>
      </c>
      <c r="L100">
        <v>11.3866</v>
      </c>
      <c r="M100">
        <v>568.47500000000002</v>
      </c>
      <c r="N100">
        <v>73705.399999999994</v>
      </c>
      <c r="O100">
        <v>8.2283499999999996E-2</v>
      </c>
      <c r="P100" s="5">
        <f>I100/6400</f>
        <v>-4.3026093750000003</v>
      </c>
      <c r="Q100" s="5">
        <f>(I100-3200*P$79-3200*P$82)/6400</f>
        <v>9.2071759259255254E-4</v>
      </c>
      <c r="R100" s="2">
        <f>(I100-3200*P$79-3200*P$82)/(K100*L100*2)*16.02</f>
        <v>0.36404142224307895</v>
      </c>
      <c r="S100" s="2">
        <f t="shared" ref="S100" si="10">L100/4</f>
        <v>2.8466499999999999</v>
      </c>
      <c r="T100" s="8">
        <f>M100/200</f>
        <v>2.8423750000000001</v>
      </c>
    </row>
    <row r="101" spans="6:20" x14ac:dyDescent="0.2">
      <c r="J101" s="6"/>
      <c r="K101" s="6"/>
      <c r="P101" s="5"/>
      <c r="Q101" s="5"/>
      <c r="R101" s="2"/>
      <c r="S101" s="2"/>
      <c r="T101" s="8"/>
    </row>
    <row r="102" spans="6:20" x14ac:dyDescent="0.2">
      <c r="K102" s="6"/>
    </row>
    <row r="103" spans="6:20" x14ac:dyDescent="0.2">
      <c r="K103" s="6"/>
      <c r="L103" t="s">
        <v>47</v>
      </c>
      <c r="M103">
        <v>10000</v>
      </c>
      <c r="O103">
        <v>5</v>
      </c>
      <c r="P103">
        <v>50</v>
      </c>
      <c r="Q103">
        <f>M103/1000</f>
        <v>10</v>
      </c>
      <c r="R103">
        <v>0.18478868533809287</v>
      </c>
      <c r="S103">
        <f>O103+P103</f>
        <v>55</v>
      </c>
    </row>
    <row r="104" spans="6:20" x14ac:dyDescent="0.2">
      <c r="L104" t="s">
        <v>81</v>
      </c>
      <c r="O104">
        <v>10</v>
      </c>
      <c r="P104">
        <v>100</v>
      </c>
      <c r="Q104">
        <v>20</v>
      </c>
      <c r="R104">
        <v>0.21042680362715169</v>
      </c>
      <c r="S104">
        <f>O104+P104</f>
        <v>110</v>
      </c>
    </row>
    <row r="105" spans="6:20" x14ac:dyDescent="0.2">
      <c r="L105" t="s">
        <v>82</v>
      </c>
      <c r="O105">
        <v>15</v>
      </c>
      <c r="P105">
        <v>150</v>
      </c>
      <c r="Q105">
        <v>30</v>
      </c>
      <c r="R105">
        <v>0.27573364872039574</v>
      </c>
      <c r="S105">
        <f t="shared" ref="S105:S119" si="11">O105+P105</f>
        <v>165</v>
      </c>
    </row>
    <row r="106" spans="6:20" x14ac:dyDescent="0.2">
      <c r="L106" t="s">
        <v>83</v>
      </c>
      <c r="O106">
        <v>4</v>
      </c>
      <c r="P106">
        <v>80</v>
      </c>
      <c r="Q106">
        <v>64</v>
      </c>
      <c r="R106">
        <v>0.19735220908365778</v>
      </c>
      <c r="S106">
        <f t="shared" si="11"/>
        <v>84</v>
      </c>
    </row>
    <row r="107" spans="6:20" x14ac:dyDescent="0.2">
      <c r="L107" t="s">
        <v>84</v>
      </c>
      <c r="O107">
        <v>3</v>
      </c>
      <c r="P107">
        <v>60</v>
      </c>
      <c r="Q107">
        <v>48</v>
      </c>
      <c r="R107">
        <v>0.18625028514429792</v>
      </c>
      <c r="S107">
        <f t="shared" si="11"/>
        <v>63</v>
      </c>
    </row>
    <row r="108" spans="6:20" x14ac:dyDescent="0.2">
      <c r="L108" t="s">
        <v>85</v>
      </c>
      <c r="O108">
        <v>5</v>
      </c>
      <c r="P108">
        <v>100</v>
      </c>
      <c r="Q108">
        <v>80</v>
      </c>
      <c r="R108">
        <v>0.24063684073615252</v>
      </c>
      <c r="S108">
        <f t="shared" si="11"/>
        <v>105</v>
      </c>
    </row>
    <row r="110" spans="6:20" x14ac:dyDescent="0.2">
      <c r="L110" t="s">
        <v>41</v>
      </c>
      <c r="M110">
        <v>1440</v>
      </c>
      <c r="O110">
        <f>20/6</f>
        <v>3.3333333333333335</v>
      </c>
      <c r="P110">
        <v>20</v>
      </c>
      <c r="Q110">
        <f>M110/1000</f>
        <v>1.44</v>
      </c>
      <c r="R110">
        <v>0.17462443642783107</v>
      </c>
      <c r="S110">
        <f t="shared" si="11"/>
        <v>23.333333333333332</v>
      </c>
    </row>
    <row r="111" spans="6:20" x14ac:dyDescent="0.2">
      <c r="L111" t="s">
        <v>42</v>
      </c>
      <c r="M111">
        <v>2880</v>
      </c>
      <c r="O111">
        <f>40/6</f>
        <v>6.666666666666667</v>
      </c>
      <c r="P111">
        <v>40</v>
      </c>
      <c r="Q111">
        <f t="shared" ref="Q111:Q120" si="12">M111/1000</f>
        <v>2.88</v>
      </c>
      <c r="R111">
        <v>0.18024762233927516</v>
      </c>
      <c r="S111">
        <f t="shared" si="11"/>
        <v>46.666666666666664</v>
      </c>
    </row>
    <row r="112" spans="6:20" x14ac:dyDescent="0.2">
      <c r="L112" t="s">
        <v>43</v>
      </c>
      <c r="M112">
        <v>4320</v>
      </c>
      <c r="O112">
        <v>10</v>
      </c>
      <c r="P112">
        <v>60</v>
      </c>
      <c r="Q112">
        <f t="shared" si="12"/>
        <v>4.32</v>
      </c>
      <c r="R112">
        <v>0.18946046041948983</v>
      </c>
      <c r="S112">
        <f t="shared" si="11"/>
        <v>70</v>
      </c>
    </row>
    <row r="113" spans="12:19" x14ac:dyDescent="0.2">
      <c r="L113" t="s">
        <v>45</v>
      </c>
      <c r="M113">
        <v>5000</v>
      </c>
      <c r="O113">
        <v>20</v>
      </c>
      <c r="P113">
        <v>100</v>
      </c>
      <c r="Q113">
        <f t="shared" si="12"/>
        <v>5</v>
      </c>
      <c r="R113">
        <v>0.23744828038577909</v>
      </c>
      <c r="S113">
        <f t="shared" si="11"/>
        <v>120</v>
      </c>
    </row>
    <row r="114" spans="12:19" x14ac:dyDescent="0.2">
      <c r="L114" t="s">
        <v>86</v>
      </c>
      <c r="M114">
        <v>1280</v>
      </c>
      <c r="O114">
        <v>10</v>
      </c>
      <c r="P114">
        <v>40</v>
      </c>
      <c r="Q114">
        <f t="shared" si="12"/>
        <v>1.28</v>
      </c>
      <c r="R114">
        <v>0.17886475713507943</v>
      </c>
      <c r="S114">
        <f t="shared" si="11"/>
        <v>50</v>
      </c>
    </row>
    <row r="115" spans="12:19" x14ac:dyDescent="0.2">
      <c r="L115" t="s">
        <v>44</v>
      </c>
      <c r="M115">
        <v>1920</v>
      </c>
      <c r="O115">
        <f>60/4</f>
        <v>15</v>
      </c>
      <c r="P115">
        <v>60</v>
      </c>
      <c r="Q115">
        <f>M115/1000</f>
        <v>1.92</v>
      </c>
      <c r="R115">
        <v>0.18811997972253189</v>
      </c>
      <c r="S115">
        <f>O115+P115</f>
        <v>75</v>
      </c>
    </row>
    <row r="116" spans="12:19" x14ac:dyDescent="0.2">
      <c r="L116" t="s">
        <v>87</v>
      </c>
      <c r="M116">
        <v>2560</v>
      </c>
      <c r="O116">
        <v>20</v>
      </c>
      <c r="P116">
        <v>80</v>
      </c>
      <c r="Q116">
        <f>M116/1000</f>
        <v>2.56</v>
      </c>
      <c r="R116">
        <v>0.19365318578133972</v>
      </c>
    </row>
    <row r="117" spans="12:19" x14ac:dyDescent="0.2">
      <c r="L117" t="s">
        <v>51</v>
      </c>
      <c r="M117">
        <v>3200</v>
      </c>
      <c r="O117">
        <v>25</v>
      </c>
      <c r="P117">
        <v>100</v>
      </c>
      <c r="Q117">
        <f t="shared" si="12"/>
        <v>3.2</v>
      </c>
      <c r="R117">
        <v>0.2096907150656695</v>
      </c>
      <c r="S117">
        <f t="shared" si="11"/>
        <v>125</v>
      </c>
    </row>
    <row r="118" spans="12:19" x14ac:dyDescent="0.2">
      <c r="L118" t="s">
        <v>88</v>
      </c>
      <c r="M118">
        <v>3840</v>
      </c>
      <c r="O118">
        <v>30</v>
      </c>
      <c r="P118">
        <v>120</v>
      </c>
      <c r="Q118">
        <f t="shared" si="12"/>
        <v>3.84</v>
      </c>
      <c r="R118">
        <v>0.23190227828620785</v>
      </c>
      <c r="S118">
        <f t="shared" si="11"/>
        <v>150</v>
      </c>
    </row>
    <row r="119" spans="12:19" x14ac:dyDescent="0.2">
      <c r="L119" t="s">
        <v>89</v>
      </c>
      <c r="M119">
        <v>5120</v>
      </c>
      <c r="O119">
        <v>40</v>
      </c>
      <c r="P119">
        <v>160</v>
      </c>
      <c r="Q119">
        <f t="shared" si="12"/>
        <v>5.12</v>
      </c>
      <c r="R119">
        <v>0.28870110389438725</v>
      </c>
      <c r="S119">
        <f t="shared" si="11"/>
        <v>200</v>
      </c>
    </row>
    <row r="120" spans="12:19" x14ac:dyDescent="0.2">
      <c r="L120" t="s">
        <v>53</v>
      </c>
      <c r="M120">
        <v>6400</v>
      </c>
      <c r="O120">
        <v>50</v>
      </c>
      <c r="P120">
        <v>200</v>
      </c>
      <c r="Q120">
        <f t="shared" si="12"/>
        <v>6.4</v>
      </c>
      <c r="R120">
        <v>0.36404142224307895</v>
      </c>
      <c r="S120">
        <f>O120+P120</f>
        <v>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AEC1-1BF0-BB46-9B9A-C842311B07F9}">
  <dimension ref="B4:T27"/>
  <sheetViews>
    <sheetView workbookViewId="0">
      <selection activeCell="Q12" sqref="Q12"/>
    </sheetView>
  </sheetViews>
  <sheetFormatPr baseColWidth="10" defaultRowHeight="16" x14ac:dyDescent="0.2"/>
  <cols>
    <col min="15" max="15" width="12.33203125" bestFit="1" customWidth="1"/>
  </cols>
  <sheetData>
    <row r="4" spans="2:20" x14ac:dyDescent="0.2">
      <c r="C4" t="s">
        <v>72</v>
      </c>
      <c r="P4" t="s">
        <v>91</v>
      </c>
      <c r="Q4" t="s">
        <v>92</v>
      </c>
    </row>
    <row r="5" spans="2:20" x14ac:dyDescent="0.2">
      <c r="D5" t="s">
        <v>29</v>
      </c>
      <c r="E5" t="s">
        <v>30</v>
      </c>
      <c r="F5" t="s">
        <v>4</v>
      </c>
      <c r="G5" t="s">
        <v>31</v>
      </c>
      <c r="H5" t="s">
        <v>9</v>
      </c>
      <c r="I5" t="s">
        <v>21</v>
      </c>
      <c r="J5" t="s">
        <v>22</v>
      </c>
      <c r="K5" t="s">
        <v>6</v>
      </c>
      <c r="L5" t="s">
        <v>32</v>
      </c>
      <c r="M5" t="s">
        <v>5</v>
      </c>
      <c r="N5" t="s">
        <v>12</v>
      </c>
      <c r="O5" t="s">
        <v>11</v>
      </c>
      <c r="P5" t="s">
        <v>50</v>
      </c>
      <c r="Q5" t="s">
        <v>93</v>
      </c>
      <c r="R5" t="s">
        <v>94</v>
      </c>
      <c r="S5" t="s">
        <v>8</v>
      </c>
    </row>
    <row r="6" spans="2:20" x14ac:dyDescent="0.2">
      <c r="B6" t="s">
        <v>55</v>
      </c>
      <c r="C6" t="s">
        <v>33</v>
      </c>
      <c r="D6">
        <v>50000</v>
      </c>
      <c r="E6">
        <v>93.023399999999995</v>
      </c>
      <c r="F6">
        <v>-1775.15</v>
      </c>
      <c r="G6">
        <v>-1769.97</v>
      </c>
      <c r="H6">
        <v>17.128399999999999</v>
      </c>
      <c r="I6">
        <v>17.128</v>
      </c>
      <c r="J6">
        <v>17.128</v>
      </c>
      <c r="K6">
        <v>5024.91</v>
      </c>
      <c r="L6">
        <v>1.1192299999999999</v>
      </c>
      <c r="M6">
        <f>F6/432</f>
        <v>-4.1091435185185183</v>
      </c>
      <c r="N6">
        <v>0</v>
      </c>
      <c r="T6" s="8">
        <f>H6/6</f>
        <v>2.8547333333333333</v>
      </c>
    </row>
    <row r="7" spans="2:20" x14ac:dyDescent="0.2">
      <c r="C7" t="s">
        <v>34</v>
      </c>
      <c r="D7">
        <v>50000</v>
      </c>
      <c r="E7">
        <v>93.075400000000002</v>
      </c>
      <c r="F7">
        <v>-1135.8599999999999</v>
      </c>
      <c r="G7">
        <v>-1132.8</v>
      </c>
      <c r="H7">
        <v>14.0899</v>
      </c>
      <c r="I7">
        <v>14.090299999999999</v>
      </c>
      <c r="J7">
        <v>14.0905</v>
      </c>
      <c r="K7">
        <v>2797.39</v>
      </c>
      <c r="L7">
        <v>-3.9594200000000002</v>
      </c>
      <c r="M7">
        <f>F7/256</f>
        <v>-4.4369531249999996</v>
      </c>
      <c r="T7" s="8"/>
    </row>
    <row r="8" spans="2:20" x14ac:dyDescent="0.2">
      <c r="C8" t="s">
        <v>35</v>
      </c>
      <c r="D8">
        <v>50000</v>
      </c>
      <c r="E8">
        <v>93.072800000000001</v>
      </c>
      <c r="F8">
        <v>-856.87599999999998</v>
      </c>
      <c r="G8">
        <v>-853.80899999999997</v>
      </c>
      <c r="H8">
        <v>16.215900000000001</v>
      </c>
      <c r="I8">
        <v>16.216799999999999</v>
      </c>
      <c r="J8">
        <v>16.215800000000002</v>
      </c>
      <c r="K8">
        <v>4264.25</v>
      </c>
      <c r="L8">
        <v>-0.59498099999999998</v>
      </c>
      <c r="M8">
        <f>F8/256</f>
        <v>-3.3471718749999999</v>
      </c>
      <c r="T8" s="8"/>
    </row>
    <row r="9" spans="2:20" x14ac:dyDescent="0.2">
      <c r="C9" t="s">
        <v>23</v>
      </c>
      <c r="D9">
        <v>50000</v>
      </c>
      <c r="E9">
        <v>92.982399999999998</v>
      </c>
      <c r="F9">
        <v>-1943.1</v>
      </c>
      <c r="G9">
        <v>-1937.92</v>
      </c>
      <c r="H9">
        <v>17.016400000000001</v>
      </c>
      <c r="I9">
        <v>17.015000000000001</v>
      </c>
      <c r="J9">
        <v>17.015699999999999</v>
      </c>
      <c r="K9">
        <v>4926.59</v>
      </c>
      <c r="L9">
        <v>-1.31677</v>
      </c>
      <c r="M9">
        <f>F9/432</f>
        <v>-4.4979166666666668</v>
      </c>
      <c r="N9" s="2">
        <f>(F9-216*M7-216*M8)/432</f>
        <v>-0.6058541666666668</v>
      </c>
      <c r="O9" s="2"/>
      <c r="T9" s="8">
        <f>H9/6</f>
        <v>2.836066666666667</v>
      </c>
    </row>
    <row r="10" spans="2:20" x14ac:dyDescent="0.2">
      <c r="C10" t="s">
        <v>62</v>
      </c>
      <c r="D10">
        <v>100000</v>
      </c>
      <c r="E10">
        <v>92.960899999999995</v>
      </c>
      <c r="F10">
        <v>-12905.8</v>
      </c>
      <c r="G10">
        <v>-12869.8</v>
      </c>
      <c r="H10">
        <v>14.2399</v>
      </c>
      <c r="I10">
        <v>14.24</v>
      </c>
      <c r="J10">
        <v>170.14699999999999</v>
      </c>
      <c r="K10">
        <v>34501.699999999997</v>
      </c>
      <c r="L10">
        <v>-3.00571E-2</v>
      </c>
      <c r="M10" s="5">
        <f>F10/3000</f>
        <v>-4.3019333333333334</v>
      </c>
      <c r="N10" s="5">
        <f>(F10-1500*M$6-750*M$7-750*$M$8)/3000</f>
        <v>-0.30133032407407412</v>
      </c>
      <c r="O10" s="5">
        <f>N10*3000</f>
        <v>-903.99097222222235</v>
      </c>
      <c r="P10" s="2"/>
      <c r="Q10" s="2">
        <f>O10-(1500*$N$9)-1500*$N$6</f>
        <v>4.7902777777778738</v>
      </c>
      <c r="R10" s="2">
        <f>Q10/(H10*I10*2)*16.02</f>
        <v>0.18922402896088131</v>
      </c>
      <c r="S10" s="2">
        <f>I10/5</f>
        <v>2.8479999999999999</v>
      </c>
      <c r="T10" s="8">
        <f>J10/60</f>
        <v>2.8357833333333331</v>
      </c>
    </row>
    <row r="11" spans="2:20" x14ac:dyDescent="0.2">
      <c r="C11" t="s">
        <v>68</v>
      </c>
      <c r="D11">
        <v>100000</v>
      </c>
      <c r="E11">
        <v>92.956500000000005</v>
      </c>
      <c r="F11">
        <v>-17014.8</v>
      </c>
      <c r="G11">
        <v>-16966.7</v>
      </c>
      <c r="H11">
        <v>14.248900000000001</v>
      </c>
      <c r="I11">
        <v>14.249000000000001</v>
      </c>
      <c r="J11">
        <v>227.239</v>
      </c>
      <c r="K11">
        <v>46137</v>
      </c>
      <c r="L11">
        <v>6.8060599999999999E-2</v>
      </c>
      <c r="M11" s="5">
        <f>F11/4000</f>
        <v>-4.2537000000000003</v>
      </c>
      <c r="N11" s="5">
        <f>(F11-2500*M$6-750*M$7-750*M8)/4000</f>
        <v>-0.22596186342592603</v>
      </c>
      <c r="O11" s="5">
        <f>N11*4000</f>
        <v>-903.8474537037041</v>
      </c>
      <c r="P11" s="2"/>
      <c r="Q11" s="2">
        <f>O11-(1500*$N$9)-2500*$N$6</f>
        <v>4.9337962962961228</v>
      </c>
      <c r="R11" s="2">
        <f>Q11/(H11*I11*2)*16.02</f>
        <v>0.19464713048741117</v>
      </c>
      <c r="S11" s="2">
        <f t="shared" ref="S11:S14" si="0">I11/5</f>
        <v>2.8498000000000001</v>
      </c>
      <c r="T11" s="8">
        <f>J11/80</f>
        <v>2.8404875000000001</v>
      </c>
    </row>
    <row r="12" spans="2:20" x14ac:dyDescent="0.2">
      <c r="C12" t="s">
        <v>69</v>
      </c>
      <c r="D12">
        <v>100000</v>
      </c>
      <c r="E12">
        <v>92.909599999999998</v>
      </c>
      <c r="F12">
        <v>-10851.3</v>
      </c>
      <c r="G12">
        <v>-10821.3</v>
      </c>
      <c r="H12">
        <v>14.2318</v>
      </c>
      <c r="I12">
        <v>14.231999999999999</v>
      </c>
      <c r="J12">
        <v>141.61099999999999</v>
      </c>
      <c r="K12">
        <v>28683</v>
      </c>
      <c r="L12">
        <v>3.4296399999999998E-2</v>
      </c>
      <c r="M12" s="5">
        <f>F12/2500</f>
        <v>-4.3405199999999997</v>
      </c>
      <c r="N12" s="5">
        <f>(F12-1000*M$79-1500*M$82)/3000</f>
        <v>-3.6170999999999998</v>
      </c>
      <c r="O12" s="5">
        <f t="shared" ref="O11:O14" si="1">N12*3000</f>
        <v>-10851.3</v>
      </c>
      <c r="P12" s="2"/>
      <c r="Q12" s="2"/>
      <c r="R12" s="2"/>
      <c r="S12" s="2">
        <f t="shared" si="0"/>
        <v>2.8464</v>
      </c>
      <c r="T12" s="8">
        <f>J12/50</f>
        <v>2.83222</v>
      </c>
    </row>
    <row r="13" spans="2:20" x14ac:dyDescent="0.2">
      <c r="C13" t="s">
        <v>71</v>
      </c>
      <c r="D13">
        <v>100000</v>
      </c>
      <c r="E13">
        <v>92.934799999999996</v>
      </c>
      <c r="F13">
        <v>-17403.5</v>
      </c>
      <c r="G13">
        <v>-17355.400000000001</v>
      </c>
      <c r="H13">
        <v>14.227600000000001</v>
      </c>
      <c r="I13">
        <v>14.2277</v>
      </c>
      <c r="J13">
        <v>226.78200000000001</v>
      </c>
      <c r="K13">
        <v>45906.5</v>
      </c>
      <c r="L13">
        <v>8.6784700000000006E-2</v>
      </c>
      <c r="M13" s="5">
        <f>F13/4000</f>
        <v>-4.3508750000000003</v>
      </c>
      <c r="N13" s="5">
        <f>(F13-1500*M$79-2500*M$82)/3000</f>
        <v>-5.801166666666667</v>
      </c>
      <c r="O13" s="5">
        <f t="shared" si="1"/>
        <v>-17403.5</v>
      </c>
      <c r="P13" s="2"/>
      <c r="Q13" s="2"/>
      <c r="R13" s="2"/>
      <c r="S13" s="2">
        <f>I13/5</f>
        <v>2.8455400000000002</v>
      </c>
      <c r="T13" s="8">
        <f>J13/80</f>
        <v>2.834775</v>
      </c>
    </row>
    <row r="14" spans="2:20" x14ac:dyDescent="0.2">
      <c r="C14" t="s">
        <v>70</v>
      </c>
      <c r="D14">
        <v>100000</v>
      </c>
      <c r="E14">
        <v>92.923699999999997</v>
      </c>
      <c r="F14">
        <v>-10657.1</v>
      </c>
      <c r="G14">
        <v>-10627</v>
      </c>
      <c r="H14">
        <v>14.2491</v>
      </c>
      <c r="I14">
        <v>14.249000000000001</v>
      </c>
      <c r="J14">
        <v>141.83099999999999</v>
      </c>
      <c r="K14">
        <v>28796.799999999999</v>
      </c>
      <c r="L14">
        <v>0.10144599999999999</v>
      </c>
      <c r="M14" s="5">
        <f>F14/2500</f>
        <v>-4.2628399999999997</v>
      </c>
      <c r="N14" s="5">
        <f>(F14-1500*M$79-1000*M$82)/3000</f>
        <v>-3.5523666666666669</v>
      </c>
      <c r="O14" s="5">
        <f t="shared" si="1"/>
        <v>-10657.1</v>
      </c>
      <c r="P14" s="2"/>
      <c r="Q14" s="2"/>
      <c r="R14" s="2"/>
      <c r="S14" s="2">
        <f t="shared" si="0"/>
        <v>2.8498000000000001</v>
      </c>
      <c r="T14" s="8">
        <f>J14/50</f>
        <v>2.8366199999999999</v>
      </c>
    </row>
    <row r="16" spans="2:20" x14ac:dyDescent="0.2">
      <c r="C16" t="s">
        <v>81</v>
      </c>
      <c r="D16">
        <v>100000</v>
      </c>
      <c r="E16">
        <v>92.929000000000002</v>
      </c>
      <c r="F16">
        <v>-86049.3</v>
      </c>
      <c r="G16">
        <v>-85809.1</v>
      </c>
      <c r="H16" s="6">
        <v>28.4758</v>
      </c>
      <c r="I16">
        <v>28.4756</v>
      </c>
      <c r="J16">
        <v>283.86</v>
      </c>
      <c r="K16">
        <v>230172</v>
      </c>
      <c r="L16">
        <v>-5.4464800000000001E-2</v>
      </c>
      <c r="M16" s="5">
        <f>F16/20000</f>
        <v>-4.3024649999999998</v>
      </c>
      <c r="N16" s="5">
        <f>(F16-10000*M$79-10000*M$82)/20000</f>
        <v>-4.3024649999999998</v>
      </c>
      <c r="O16" s="5"/>
      <c r="P16" s="2">
        <f>(F16-10000*M$79-10000*M$82)/(H16*I16*2)*16.02</f>
        <v>-850.02371058113306</v>
      </c>
      <c r="Q16" s="2"/>
      <c r="R16" s="2"/>
      <c r="S16" s="2">
        <f>I16/10</f>
        <v>2.8475600000000001</v>
      </c>
      <c r="T16" s="8">
        <f>J16/100</f>
        <v>2.8386</v>
      </c>
    </row>
    <row r="17" spans="3:20" x14ac:dyDescent="0.2">
      <c r="C17" t="s">
        <v>82</v>
      </c>
      <c r="D17">
        <v>100000</v>
      </c>
      <c r="E17">
        <v>92.914900000000003</v>
      </c>
      <c r="F17">
        <v>-129078</v>
      </c>
      <c r="G17">
        <v>-128718</v>
      </c>
      <c r="H17">
        <v>28.470500000000001</v>
      </c>
      <c r="I17">
        <v>28.470500000000001</v>
      </c>
      <c r="J17">
        <v>426.12799999999999</v>
      </c>
      <c r="K17">
        <v>345406</v>
      </c>
      <c r="L17">
        <v>-6.2412600000000002E-3</v>
      </c>
      <c r="M17" s="5">
        <f>F17/30000</f>
        <v>-4.3026</v>
      </c>
      <c r="N17" s="5">
        <f>(F17-15000*M$79-15000*M$82)/30000</f>
        <v>-4.3026</v>
      </c>
      <c r="O17" s="5"/>
      <c r="P17" s="2">
        <f>(F17-15000*M$79-15000*M$82)/(H17*I17*2)*16.02</f>
        <v>-1275.5413884947498</v>
      </c>
      <c r="Q17" s="2"/>
      <c r="R17" s="2"/>
      <c r="S17" s="2">
        <f>I17/10</f>
        <v>2.8470500000000003</v>
      </c>
      <c r="T17" s="8">
        <f>J17/150</f>
        <v>2.8408533333333335</v>
      </c>
    </row>
    <row r="18" spans="3:20" x14ac:dyDescent="0.2">
      <c r="C18" t="s">
        <v>83</v>
      </c>
      <c r="D18">
        <v>100000</v>
      </c>
      <c r="E18">
        <v>92.924700000000001</v>
      </c>
      <c r="F18">
        <v>-275346</v>
      </c>
      <c r="G18">
        <v>-274578</v>
      </c>
      <c r="H18">
        <v>56.9559</v>
      </c>
      <c r="I18">
        <v>56.956000000000003</v>
      </c>
      <c r="J18">
        <v>226.989</v>
      </c>
      <c r="K18">
        <v>736347</v>
      </c>
      <c r="L18">
        <v>-2.7278799999999998E-3</v>
      </c>
      <c r="M18" s="5">
        <f>F18/64000</f>
        <v>-4.3022812500000001</v>
      </c>
      <c r="N18" s="5">
        <f>(F18-32000*M$79-32000*M$82)/64000</f>
        <v>-4.3022812500000001</v>
      </c>
      <c r="O18" s="5"/>
      <c r="P18" s="2">
        <f>(F18-32000*M$79-32000*M$82)/(H18*I18*2)*16.02</f>
        <v>-679.88128673929509</v>
      </c>
      <c r="Q18" s="2"/>
      <c r="R18" s="2"/>
      <c r="S18" s="2">
        <f>I18/20</f>
        <v>2.8478000000000003</v>
      </c>
      <c r="T18" s="8">
        <f>J18/80</f>
        <v>2.8373625000000002</v>
      </c>
    </row>
    <row r="19" spans="3:20" x14ac:dyDescent="0.2">
      <c r="C19" t="s">
        <v>84</v>
      </c>
      <c r="D19">
        <v>100000</v>
      </c>
      <c r="E19">
        <v>92.914100000000005</v>
      </c>
      <c r="F19">
        <v>-206494</v>
      </c>
      <c r="G19">
        <v>-205917</v>
      </c>
      <c r="H19">
        <v>56.961599999999997</v>
      </c>
      <c r="I19">
        <v>56.961399999999998</v>
      </c>
      <c r="J19">
        <v>170.13300000000001</v>
      </c>
      <c r="K19">
        <v>552015</v>
      </c>
      <c r="L19">
        <v>2.59507E-2</v>
      </c>
      <c r="M19" s="5">
        <f>F19/48000</f>
        <v>-4.3019583333333333</v>
      </c>
      <c r="N19" s="5">
        <f>(F19-24000*M$79-24000*M$82)/48000</f>
        <v>-4.3019583333333333</v>
      </c>
      <c r="O19" s="5"/>
      <c r="P19" s="2">
        <f>(F19-24000*M$79-24000*M$82)/(H19*I19*2)*16.02</f>
        <v>-509.77333935980784</v>
      </c>
      <c r="Q19" s="2"/>
      <c r="R19" s="2"/>
      <c r="S19" s="2">
        <f>I19/20</f>
        <v>2.8480699999999999</v>
      </c>
      <c r="T19" s="8">
        <f>J19/60</f>
        <v>2.83555</v>
      </c>
    </row>
    <row r="20" spans="3:20" x14ac:dyDescent="0.2">
      <c r="C20" t="s">
        <v>85</v>
      </c>
      <c r="D20">
        <v>100000</v>
      </c>
      <c r="E20">
        <v>92.936099999999996</v>
      </c>
      <c r="F20">
        <v>-344196</v>
      </c>
      <c r="G20">
        <v>-343235</v>
      </c>
      <c r="H20">
        <v>56.950200000000002</v>
      </c>
      <c r="I20">
        <v>56.950200000000002</v>
      </c>
      <c r="J20">
        <v>283.87599999999998</v>
      </c>
      <c r="K20">
        <v>920703</v>
      </c>
      <c r="L20">
        <v>3.0796600000000001E-3</v>
      </c>
      <c r="M20" s="5">
        <f>F20/80000</f>
        <v>-4.3024500000000003</v>
      </c>
      <c r="N20" s="5">
        <f>(F20-40000*M$79-40000*M$82)/80000</f>
        <v>-4.3024500000000003</v>
      </c>
      <c r="O20" s="5"/>
      <c r="P20" s="2">
        <f>(F20-40000*M$79-40000*M$82)/(H20*I20*2)*16.02</f>
        <v>-850.05656909195295</v>
      </c>
      <c r="Q20" s="2"/>
      <c r="R20" s="2"/>
      <c r="S20" s="2">
        <f>I20/20</f>
        <v>2.8475100000000002</v>
      </c>
      <c r="T20" s="8">
        <f>J20/100</f>
        <v>2.8387599999999997</v>
      </c>
    </row>
    <row r="21" spans="3:20" x14ac:dyDescent="0.2">
      <c r="C21" t="s">
        <v>86</v>
      </c>
      <c r="D21">
        <v>100000</v>
      </c>
      <c r="E21">
        <v>92.924800000000005</v>
      </c>
      <c r="F21">
        <v>-5505.62</v>
      </c>
      <c r="G21">
        <v>-5490.26</v>
      </c>
      <c r="H21">
        <v>11.3934</v>
      </c>
      <c r="I21">
        <v>11.392799999999999</v>
      </c>
      <c r="J21">
        <v>113.31</v>
      </c>
      <c r="K21">
        <v>14708</v>
      </c>
      <c r="L21">
        <v>-1.0342000000000001E-3</v>
      </c>
      <c r="M21" s="5">
        <f>F21/1280</f>
        <v>-4.3012656250000001</v>
      </c>
      <c r="N21" s="5">
        <f>(F21-640*M$79-640*M$82)/1280</f>
        <v>-4.3012656250000001</v>
      </c>
      <c r="O21" s="5"/>
      <c r="P21" s="2">
        <f>(F21-640*M$79-640*M$82)/(H21*I21*2)*16.02</f>
        <v>-339.74645250197131</v>
      </c>
      <c r="Q21" s="2"/>
      <c r="R21" s="2"/>
      <c r="S21" s="2">
        <f>I21/4</f>
        <v>2.8481999999999998</v>
      </c>
      <c r="T21" s="8">
        <f>J21/40</f>
        <v>2.8327499999999999</v>
      </c>
    </row>
    <row r="22" spans="3:20" x14ac:dyDescent="0.2">
      <c r="C22" t="s">
        <v>44</v>
      </c>
      <c r="D22">
        <v>100000</v>
      </c>
      <c r="E22">
        <v>92.9298</v>
      </c>
      <c r="F22">
        <v>-8259.73</v>
      </c>
      <c r="G22">
        <v>-8236.68</v>
      </c>
      <c r="H22">
        <v>11.3918</v>
      </c>
      <c r="I22">
        <v>11.3917</v>
      </c>
      <c r="J22">
        <v>170.15700000000001</v>
      </c>
      <c r="K22">
        <v>22081.5</v>
      </c>
      <c r="L22">
        <v>-3.6089999999999997E-2</v>
      </c>
      <c r="M22" s="5">
        <f>F22/1920</f>
        <v>-4.3019427083333328</v>
      </c>
      <c r="N22" s="5">
        <f>(F22-960*M$79-960*M$82)/1920</f>
        <v>-4.3019427083333328</v>
      </c>
      <c r="O22" s="5"/>
      <c r="P22" s="2">
        <f>(F22-960*M$79-960*M$82)/(H22*I22*2)*16.02</f>
        <v>-509.8207131251238</v>
      </c>
      <c r="Q22" s="2"/>
      <c r="R22" s="2"/>
      <c r="S22" s="2">
        <f>I22/4</f>
        <v>2.847925</v>
      </c>
      <c r="T22" s="8">
        <f t="shared" ref="T22" si="2">J22/60</f>
        <v>2.83595</v>
      </c>
    </row>
    <row r="23" spans="3:20" x14ac:dyDescent="0.2">
      <c r="C23" t="s">
        <v>87</v>
      </c>
      <c r="D23">
        <v>100000</v>
      </c>
      <c r="E23">
        <v>92.931700000000006</v>
      </c>
      <c r="F23">
        <v>-11013.9</v>
      </c>
      <c r="G23">
        <v>-10983.1</v>
      </c>
      <c r="H23">
        <v>11.391</v>
      </c>
      <c r="I23">
        <v>11.3911</v>
      </c>
      <c r="J23">
        <v>227.001</v>
      </c>
      <c r="K23">
        <v>29454.7</v>
      </c>
      <c r="L23">
        <v>-8.3352700000000002E-2</v>
      </c>
      <c r="M23" s="5">
        <f>F23/2560</f>
        <v>-4.3023046874999995</v>
      </c>
      <c r="N23" s="5">
        <f>(F23-1280*M$79-1280*M$82)/2560</f>
        <v>-4.3023046874999995</v>
      </c>
      <c r="O23" s="5"/>
      <c r="P23" s="2">
        <f>(F23-1280*M$79-1280*M$82)/(H23*I23*2)*16.02</f>
        <v>-679.90170268793554</v>
      </c>
      <c r="Q23" s="2"/>
      <c r="R23" s="2"/>
      <c r="S23" s="2">
        <f>I23/4</f>
        <v>2.8477749999999999</v>
      </c>
      <c r="T23" s="8">
        <f>J23/80</f>
        <v>2.8375124999999999</v>
      </c>
    </row>
    <row r="24" spans="3:20" x14ac:dyDescent="0.2">
      <c r="C24" t="s">
        <v>51</v>
      </c>
      <c r="D24">
        <v>100000</v>
      </c>
      <c r="E24">
        <v>92.963200000000001</v>
      </c>
      <c r="F24">
        <v>-13767.9</v>
      </c>
      <c r="G24">
        <v>-13729.5</v>
      </c>
      <c r="H24">
        <v>11.3901</v>
      </c>
      <c r="I24">
        <v>11.3902</v>
      </c>
      <c r="J24">
        <v>283.87099999999998</v>
      </c>
      <c r="K24">
        <v>36828.300000000003</v>
      </c>
      <c r="L24">
        <v>7.3886300000000002E-2</v>
      </c>
      <c r="M24" s="5">
        <f>F24/3200</f>
        <v>-4.3024687500000001</v>
      </c>
      <c r="N24" s="5">
        <f>(F24-1600*M$79-1600*M$82)/3200</f>
        <v>-4.3024687500000001</v>
      </c>
      <c r="O24" s="5"/>
      <c r="P24" s="2">
        <f>(F24-1600*M$79-1600*M$82)/(H24*I24*2)*16.02</f>
        <v>-850.04385486049375</v>
      </c>
      <c r="Q24" s="2"/>
      <c r="R24" s="2"/>
      <c r="S24" s="2">
        <f t="shared" ref="S24:S27" si="3">I24/4</f>
        <v>2.84755</v>
      </c>
      <c r="T24" s="8">
        <f>J24/100</f>
        <v>2.8387099999999998</v>
      </c>
    </row>
    <row r="25" spans="3:20" x14ac:dyDescent="0.2">
      <c r="C25" t="s">
        <v>88</v>
      </c>
      <c r="D25">
        <v>100000</v>
      </c>
      <c r="E25">
        <v>92.931899999999999</v>
      </c>
      <c r="F25">
        <v>-16521.8</v>
      </c>
      <c r="G25">
        <v>-16475.599999999999</v>
      </c>
      <c r="H25">
        <v>11.3894</v>
      </c>
      <c r="I25">
        <v>11.3894</v>
      </c>
      <c r="J25">
        <v>340.75799999999998</v>
      </c>
      <c r="K25">
        <v>44202.400000000001</v>
      </c>
      <c r="L25">
        <v>0.111429</v>
      </c>
      <c r="M25" s="5">
        <f>F25/3840</f>
        <v>-4.3025520833333335</v>
      </c>
      <c r="N25" s="5">
        <f>(F25-1920*M$79-1920*M$82)/3840</f>
        <v>-4.3025520833333335</v>
      </c>
      <c r="O25" s="5"/>
      <c r="P25" s="2">
        <f>(F25-1920*M$79-1920*M$82)/(H25*I25*2)*16.02</f>
        <v>-1020.206732322555</v>
      </c>
      <c r="Q25" s="2"/>
      <c r="R25" s="2"/>
      <c r="S25" s="2">
        <f t="shared" si="3"/>
        <v>2.84735</v>
      </c>
      <c r="T25" s="8">
        <f>J25/120</f>
        <v>2.8396499999999998</v>
      </c>
    </row>
    <row r="26" spans="3:20" x14ac:dyDescent="0.2">
      <c r="C26" t="s">
        <v>89</v>
      </c>
      <c r="D26">
        <v>100000</v>
      </c>
      <c r="E26">
        <v>92.9101</v>
      </c>
      <c r="F26">
        <v>-22029.4</v>
      </c>
      <c r="G26">
        <v>-21967.9</v>
      </c>
      <c r="H26">
        <v>11.3878</v>
      </c>
      <c r="I26">
        <v>11.3878</v>
      </c>
      <c r="J26">
        <v>454.59899999999999</v>
      </c>
      <c r="K26">
        <v>58953.2</v>
      </c>
      <c r="L26">
        <v>4.7444199999999999E-2</v>
      </c>
      <c r="M26" s="5">
        <f>F26/5120</f>
        <v>-4.3026171875000001</v>
      </c>
      <c r="N26" s="5">
        <f>(F26-2560*M$79-2560*M$82)/5120</f>
        <v>-4.3026171875000001</v>
      </c>
      <c r="O26" s="5"/>
      <c r="P26" s="2">
        <f>(F26-2560*M$79-2560*M$82)/(H26*I26*2)*16.02</f>
        <v>-1360.678499600346</v>
      </c>
      <c r="Q26" s="2"/>
      <c r="R26" s="2"/>
      <c r="S26" s="2">
        <f t="shared" si="3"/>
        <v>2.8469500000000001</v>
      </c>
      <c r="T26" s="8">
        <f>J26/160</f>
        <v>2.8412437499999998</v>
      </c>
    </row>
    <row r="27" spans="3:20" x14ac:dyDescent="0.2">
      <c r="C27" t="s">
        <v>53</v>
      </c>
      <c r="D27">
        <v>100000</v>
      </c>
      <c r="E27">
        <v>92.925600000000003</v>
      </c>
      <c r="F27">
        <v>-27536.7</v>
      </c>
      <c r="G27">
        <v>-27459.8</v>
      </c>
      <c r="H27">
        <v>11.3866</v>
      </c>
      <c r="I27">
        <v>11.3866</v>
      </c>
      <c r="J27">
        <v>568.47500000000002</v>
      </c>
      <c r="K27">
        <v>73705.399999999994</v>
      </c>
      <c r="L27">
        <v>8.2283499999999996E-2</v>
      </c>
      <c r="M27" s="5">
        <f>F27/6400</f>
        <v>-4.3026093750000003</v>
      </c>
      <c r="N27" s="5">
        <f>(F27-3200*M$79-3200*M$82)/6400</f>
        <v>-4.3026093750000003</v>
      </c>
      <c r="O27" s="5"/>
      <c r="P27" s="2">
        <f>(F27-3200*M$79-3200*M$82)/(H27*I27*2)*16.02</f>
        <v>-1701.2035490936428</v>
      </c>
      <c r="Q27" s="2"/>
      <c r="R27" s="2"/>
      <c r="S27" s="2">
        <f t="shared" si="3"/>
        <v>2.8466499999999999</v>
      </c>
      <c r="T27" s="8">
        <f>J27/200</f>
        <v>2.8423750000000001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B</dc:creator>
  <cp:keywords/>
  <dc:description/>
  <cp:lastModifiedBy>Ben Beeler</cp:lastModifiedBy>
  <dcterms:created xsi:type="dcterms:W3CDTF">2018-01-10T20:22:18Z</dcterms:created>
  <dcterms:modified xsi:type="dcterms:W3CDTF">2020-02-05T19:35:22Z</dcterms:modified>
  <cp:category/>
</cp:coreProperties>
</file>