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njamin\Documents\davis_work\"/>
    </mc:Choice>
  </mc:AlternateContent>
  <bookViews>
    <workbookView xWindow="825" yWindow="0" windowWidth="25605" windowHeight="20925" tabRatio="700" activeTab="4"/>
  </bookViews>
  <sheets>
    <sheet name="density scaling" sheetId="1" r:id="rId1"/>
    <sheet name="feal" sheetId="2" r:id="rId2"/>
    <sheet name="feni" sheetId="3" r:id="rId3"/>
    <sheet name="fenial" sheetId="4" r:id="rId4"/>
    <sheet name="intermetallics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0" i="5" l="1"/>
  <c r="V50" i="5"/>
  <c r="U50" i="5"/>
  <c r="V62" i="5"/>
  <c r="V51" i="5"/>
  <c r="R58" i="5"/>
  <c r="R62" i="5"/>
  <c r="Q58" i="5"/>
  <c r="Q62" i="5"/>
  <c r="P58" i="5"/>
  <c r="P62" i="5"/>
  <c r="O58" i="5"/>
  <c r="O62" i="5"/>
  <c r="N58" i="5"/>
  <c r="N62" i="5"/>
  <c r="J58" i="5"/>
  <c r="J62" i="5"/>
  <c r="I58" i="5"/>
  <c r="I62" i="5"/>
  <c r="H58" i="5"/>
  <c r="H62" i="5"/>
  <c r="G58" i="5"/>
  <c r="G62" i="5"/>
  <c r="F58" i="5"/>
  <c r="F62" i="5"/>
  <c r="N59" i="5"/>
  <c r="N60" i="5"/>
  <c r="N61" i="5"/>
  <c r="O59" i="5"/>
  <c r="O60" i="5"/>
  <c r="O61" i="5"/>
  <c r="P59" i="5"/>
  <c r="P60" i="5"/>
  <c r="P61" i="5"/>
  <c r="S59" i="5"/>
  <c r="S60" i="5"/>
  <c r="S61" i="5"/>
  <c r="T59" i="5"/>
  <c r="T61" i="5"/>
  <c r="V61" i="5"/>
  <c r="U61" i="5"/>
  <c r="R59" i="5"/>
  <c r="R60" i="5"/>
  <c r="R61" i="5"/>
  <c r="Q59" i="5"/>
  <c r="Q60" i="5"/>
  <c r="Q61" i="5"/>
  <c r="F59" i="5"/>
  <c r="F60" i="5"/>
  <c r="F61" i="5"/>
  <c r="G59" i="5"/>
  <c r="G60" i="5"/>
  <c r="G61" i="5"/>
  <c r="H59" i="5"/>
  <c r="H60" i="5"/>
  <c r="H61" i="5"/>
  <c r="K59" i="5"/>
  <c r="K60" i="5"/>
  <c r="K61" i="5"/>
  <c r="L61" i="5"/>
  <c r="J59" i="5"/>
  <c r="J60" i="5"/>
  <c r="J61" i="5"/>
  <c r="I59" i="5"/>
  <c r="I60" i="5"/>
  <c r="I61" i="5"/>
  <c r="S58" i="5"/>
  <c r="K58" i="5"/>
  <c r="T56" i="5"/>
  <c r="S56" i="5"/>
  <c r="R56" i="5"/>
  <c r="Q56" i="5"/>
  <c r="P56" i="5"/>
  <c r="O56" i="5"/>
  <c r="N56" i="5"/>
  <c r="K56" i="5"/>
  <c r="J56" i="5"/>
  <c r="I56" i="5"/>
  <c r="H56" i="5"/>
  <c r="G56" i="5"/>
  <c r="F56" i="5"/>
  <c r="K48" i="5"/>
  <c r="K49" i="5"/>
  <c r="F48" i="5"/>
  <c r="F49" i="5"/>
  <c r="F50" i="5"/>
  <c r="F47" i="5"/>
  <c r="F51" i="5"/>
  <c r="L50" i="5"/>
  <c r="N48" i="5"/>
  <c r="N49" i="5"/>
  <c r="N50" i="5"/>
  <c r="N47" i="5"/>
  <c r="N51" i="5"/>
  <c r="O48" i="5"/>
  <c r="O49" i="5"/>
  <c r="O50" i="5"/>
  <c r="O47" i="5"/>
  <c r="O51" i="5"/>
  <c r="P48" i="5"/>
  <c r="P49" i="5"/>
  <c r="P50" i="5"/>
  <c r="S48" i="5"/>
  <c r="S49" i="5"/>
  <c r="S50" i="5"/>
  <c r="P47" i="5"/>
  <c r="P51" i="5"/>
  <c r="T48" i="5"/>
  <c r="T50" i="5"/>
  <c r="J47" i="5"/>
  <c r="J51" i="5"/>
  <c r="I47" i="5"/>
  <c r="I51" i="5"/>
  <c r="H47" i="5"/>
  <c r="H51" i="5"/>
  <c r="G47" i="5"/>
  <c r="G51" i="5"/>
  <c r="G48" i="5"/>
  <c r="G49" i="5"/>
  <c r="G50" i="5"/>
  <c r="H48" i="5"/>
  <c r="H49" i="5"/>
  <c r="H50" i="5"/>
  <c r="J48" i="5"/>
  <c r="J49" i="5"/>
  <c r="J50" i="5"/>
  <c r="I48" i="5"/>
  <c r="I49" i="5"/>
  <c r="I50" i="5"/>
  <c r="K47" i="5"/>
  <c r="K45" i="5"/>
  <c r="J45" i="5"/>
  <c r="I45" i="5"/>
  <c r="H45" i="5"/>
  <c r="G45" i="5"/>
  <c r="F45" i="5"/>
  <c r="U37" i="5"/>
  <c r="U39" i="5"/>
  <c r="N37" i="5"/>
  <c r="N38" i="5"/>
  <c r="N39" i="5"/>
  <c r="N36" i="5"/>
  <c r="N40" i="5"/>
  <c r="O37" i="5"/>
  <c r="O38" i="5"/>
  <c r="O39" i="5"/>
  <c r="O36" i="5"/>
  <c r="O40" i="5"/>
  <c r="P37" i="5"/>
  <c r="P38" i="5"/>
  <c r="P39" i="5"/>
  <c r="P36" i="5"/>
  <c r="P40" i="5"/>
  <c r="S37" i="5"/>
  <c r="S38" i="5"/>
  <c r="S39" i="5"/>
  <c r="V39" i="5"/>
  <c r="U34" i="5"/>
  <c r="T45" i="5"/>
  <c r="R47" i="5"/>
  <c r="R51" i="5"/>
  <c r="Q47" i="5"/>
  <c r="Q51" i="5"/>
  <c r="R48" i="5"/>
  <c r="R49" i="5"/>
  <c r="R50" i="5"/>
  <c r="Q48" i="5"/>
  <c r="Q49" i="5"/>
  <c r="Q50" i="5"/>
  <c r="S47" i="5"/>
  <c r="S45" i="5"/>
  <c r="R45" i="5"/>
  <c r="Q45" i="5"/>
  <c r="P45" i="5"/>
  <c r="O45" i="5"/>
  <c r="N45" i="5"/>
  <c r="F19" i="4"/>
  <c r="D19" i="4"/>
  <c r="D20" i="4"/>
  <c r="F25" i="4"/>
  <c r="M19" i="4"/>
  <c r="M25" i="4"/>
  <c r="L19" i="4"/>
  <c r="L25" i="4"/>
  <c r="M20" i="4"/>
  <c r="M24" i="4"/>
  <c r="M23" i="4"/>
  <c r="M22" i="4"/>
  <c r="E3" i="4"/>
  <c r="E4" i="4"/>
  <c r="D3" i="4"/>
  <c r="D4" i="4"/>
  <c r="E5" i="4"/>
  <c r="E7" i="4"/>
  <c r="K19" i="4"/>
  <c r="L20" i="4"/>
  <c r="L22" i="4"/>
  <c r="L23" i="4"/>
  <c r="L24" i="4"/>
  <c r="K25" i="4"/>
  <c r="K20" i="4"/>
  <c r="K24" i="4"/>
  <c r="K23" i="4"/>
  <c r="K22" i="4"/>
  <c r="I19" i="4"/>
  <c r="I20" i="4"/>
  <c r="I22" i="4"/>
  <c r="I23" i="4"/>
  <c r="I24" i="4"/>
  <c r="I25" i="4"/>
  <c r="H19" i="4"/>
  <c r="H25" i="4"/>
  <c r="H20" i="4"/>
  <c r="H24" i="4"/>
  <c r="H23" i="4"/>
  <c r="H22" i="4"/>
  <c r="E19" i="4"/>
  <c r="E25" i="4"/>
  <c r="J26" i="4"/>
  <c r="J19" i="4"/>
  <c r="J25" i="4"/>
  <c r="J20" i="4"/>
  <c r="J24" i="4"/>
  <c r="J23" i="4"/>
  <c r="J22" i="4"/>
  <c r="G19" i="4"/>
  <c r="G25" i="4"/>
  <c r="E28" i="4"/>
  <c r="D28" i="4"/>
  <c r="D29" i="4"/>
  <c r="E34" i="4"/>
  <c r="E29" i="4"/>
  <c r="E33" i="4"/>
  <c r="E32" i="4"/>
  <c r="E31" i="4"/>
  <c r="D31" i="4"/>
  <c r="F20" i="4"/>
  <c r="F24" i="4"/>
  <c r="G20" i="4"/>
  <c r="G24" i="4"/>
  <c r="E20" i="4"/>
  <c r="E24" i="4"/>
  <c r="G23" i="4"/>
  <c r="G22" i="4"/>
  <c r="F23" i="4"/>
  <c r="E23" i="4"/>
  <c r="F22" i="4"/>
  <c r="E22" i="4"/>
  <c r="D22" i="4"/>
  <c r="B4" i="3"/>
  <c r="C4" i="3"/>
  <c r="R33" i="3"/>
  <c r="P23" i="3"/>
  <c r="R34" i="3"/>
  <c r="R32" i="3"/>
  <c r="D37" i="5"/>
  <c r="D34" i="5"/>
  <c r="D36" i="5"/>
  <c r="D38" i="5"/>
  <c r="Q33" i="3"/>
  <c r="P33" i="3"/>
  <c r="Q34" i="3"/>
  <c r="B4" i="2"/>
  <c r="C4" i="2"/>
  <c r="L86" i="2"/>
  <c r="K86" i="2"/>
  <c r="K77" i="2"/>
  <c r="L87" i="2"/>
  <c r="P32" i="3"/>
  <c r="Q32" i="3"/>
  <c r="P22" i="3"/>
  <c r="L85" i="2"/>
  <c r="K85" i="2"/>
  <c r="B6" i="3"/>
  <c r="R23" i="3"/>
  <c r="R24" i="3"/>
  <c r="R27" i="3"/>
  <c r="M76" i="2"/>
  <c r="P76" i="2"/>
  <c r="Q76" i="2"/>
  <c r="R76" i="2"/>
  <c r="M77" i="2"/>
  <c r="P77" i="2"/>
  <c r="Q77" i="2"/>
  <c r="R77" i="2"/>
  <c r="M78" i="2"/>
  <c r="P78" i="2"/>
  <c r="Q78" i="2"/>
  <c r="R78" i="2"/>
  <c r="M80" i="2"/>
  <c r="M81" i="2"/>
  <c r="N81" i="2"/>
  <c r="K81" i="2"/>
  <c r="L77" i="2"/>
  <c r="L81" i="2"/>
  <c r="O81" i="2"/>
  <c r="P81" i="2"/>
  <c r="Q81" i="2"/>
  <c r="R81" i="2"/>
  <c r="L80" i="2"/>
  <c r="K80" i="2"/>
  <c r="L76" i="2"/>
  <c r="K76" i="2"/>
  <c r="T39" i="5"/>
  <c r="F37" i="5"/>
  <c r="F38" i="5"/>
  <c r="F39" i="5"/>
  <c r="F36" i="5"/>
  <c r="F40" i="5"/>
  <c r="G37" i="5"/>
  <c r="G38" i="5"/>
  <c r="G39" i="5"/>
  <c r="G36" i="5"/>
  <c r="G40" i="5"/>
  <c r="H37" i="5"/>
  <c r="H38" i="5"/>
  <c r="H39" i="5"/>
  <c r="H36" i="5"/>
  <c r="H40" i="5"/>
  <c r="K37" i="5"/>
  <c r="K38" i="5"/>
  <c r="K39" i="5"/>
  <c r="L39" i="5"/>
  <c r="S36" i="5"/>
  <c r="S34" i="5"/>
  <c r="K36" i="5"/>
  <c r="K34" i="5"/>
  <c r="R36" i="5"/>
  <c r="R40" i="5"/>
  <c r="Q36" i="5"/>
  <c r="Q40" i="5"/>
  <c r="J36" i="5"/>
  <c r="J40" i="5"/>
  <c r="I36" i="5"/>
  <c r="I40" i="5"/>
  <c r="R37" i="5"/>
  <c r="R38" i="5"/>
  <c r="R39" i="5"/>
  <c r="Q37" i="5"/>
  <c r="Q38" i="5"/>
  <c r="Q39" i="5"/>
  <c r="J37" i="5"/>
  <c r="J38" i="5"/>
  <c r="J39" i="5"/>
  <c r="I37" i="5"/>
  <c r="I38" i="5"/>
  <c r="I39" i="5"/>
  <c r="Q25" i="5"/>
  <c r="Q29" i="5"/>
  <c r="Q26" i="5"/>
  <c r="Q27" i="5"/>
  <c r="Q28" i="5"/>
  <c r="P25" i="5"/>
  <c r="P29" i="5"/>
  <c r="P26" i="5"/>
  <c r="P27" i="5"/>
  <c r="P28" i="5"/>
  <c r="O25" i="5"/>
  <c r="O29" i="5"/>
  <c r="O26" i="5"/>
  <c r="O27" i="5"/>
  <c r="O28" i="5"/>
  <c r="N25" i="5"/>
  <c r="N29" i="5"/>
  <c r="N26" i="5"/>
  <c r="N27" i="5"/>
  <c r="N28" i="5"/>
  <c r="M25" i="5"/>
  <c r="M29" i="5"/>
  <c r="M26" i="5"/>
  <c r="M27" i="5"/>
  <c r="M28" i="5"/>
  <c r="J25" i="5"/>
  <c r="J29" i="5"/>
  <c r="J26" i="5"/>
  <c r="J27" i="5"/>
  <c r="J28" i="5"/>
  <c r="I25" i="5"/>
  <c r="I29" i="5"/>
  <c r="I26" i="5"/>
  <c r="I27" i="5"/>
  <c r="I28" i="5"/>
  <c r="H25" i="5"/>
  <c r="H29" i="5"/>
  <c r="H26" i="5"/>
  <c r="H27" i="5"/>
  <c r="H28" i="5"/>
  <c r="G25" i="5"/>
  <c r="G29" i="5"/>
  <c r="G26" i="5"/>
  <c r="G27" i="5"/>
  <c r="G28" i="5"/>
  <c r="F25" i="5"/>
  <c r="F29" i="5"/>
  <c r="F26" i="5"/>
  <c r="F27" i="5"/>
  <c r="F28" i="5"/>
  <c r="R34" i="5"/>
  <c r="Q34" i="5"/>
  <c r="P34" i="5"/>
  <c r="O34" i="5"/>
  <c r="N34" i="5"/>
  <c r="J34" i="5"/>
  <c r="I34" i="5"/>
  <c r="H34" i="5"/>
  <c r="G34" i="5"/>
  <c r="F34" i="5"/>
  <c r="I7" i="5"/>
  <c r="I11" i="5"/>
  <c r="J7" i="5"/>
  <c r="J11" i="5"/>
  <c r="R28" i="5"/>
  <c r="Q23" i="5"/>
  <c r="P23" i="5"/>
  <c r="O23" i="5"/>
  <c r="N23" i="5"/>
  <c r="M23" i="5"/>
  <c r="K28" i="5"/>
  <c r="J23" i="5"/>
  <c r="I23" i="5"/>
  <c r="H23" i="5"/>
  <c r="G23" i="5"/>
  <c r="F23" i="5"/>
  <c r="G8" i="5"/>
  <c r="G9" i="5"/>
  <c r="G10" i="5"/>
  <c r="F8" i="5"/>
  <c r="F9" i="5"/>
  <c r="F10" i="5"/>
  <c r="F7" i="5"/>
  <c r="F11" i="5"/>
  <c r="G7" i="5"/>
  <c r="G11" i="5"/>
  <c r="H8" i="5"/>
  <c r="H9" i="5"/>
  <c r="H10" i="5"/>
  <c r="H7" i="5"/>
  <c r="H11" i="5"/>
  <c r="L10" i="5"/>
  <c r="J8" i="5"/>
  <c r="J9" i="5"/>
  <c r="J10" i="5"/>
  <c r="I8" i="5"/>
  <c r="I9" i="5"/>
  <c r="I10" i="5"/>
  <c r="J5" i="5"/>
  <c r="H5" i="5"/>
  <c r="I5" i="5"/>
  <c r="G5" i="5"/>
  <c r="F5" i="5"/>
  <c r="C4" i="5"/>
  <c r="C3" i="5"/>
  <c r="C2" i="5"/>
  <c r="V26" i="3"/>
  <c r="V28" i="3"/>
  <c r="U26" i="3"/>
  <c r="U28" i="3"/>
  <c r="R26" i="3"/>
  <c r="R28" i="3"/>
  <c r="V23" i="3"/>
  <c r="V27" i="3"/>
  <c r="U23" i="3"/>
  <c r="U27" i="3"/>
  <c r="Q23" i="3"/>
  <c r="Q27" i="3"/>
  <c r="P27" i="3"/>
  <c r="Q26" i="3"/>
  <c r="P26" i="3"/>
  <c r="R22" i="3"/>
  <c r="Q22" i="3"/>
  <c r="R69" i="2"/>
  <c r="R70" i="2"/>
  <c r="R73" i="2"/>
  <c r="Q69" i="2"/>
  <c r="Q70" i="2"/>
  <c r="Q73" i="2"/>
  <c r="P69" i="2"/>
  <c r="P70" i="2"/>
  <c r="P73" i="2"/>
  <c r="M69" i="2"/>
  <c r="M70" i="2"/>
  <c r="M73" i="2"/>
  <c r="K69" i="2"/>
  <c r="K73" i="2"/>
  <c r="L69" i="2"/>
  <c r="L73" i="2"/>
  <c r="M72" i="2"/>
  <c r="N73" i="2"/>
  <c r="O73" i="2"/>
  <c r="L72" i="2"/>
  <c r="K72" i="2"/>
  <c r="R68" i="2"/>
  <c r="Q68" i="2"/>
  <c r="P68" i="2"/>
  <c r="M68" i="2"/>
  <c r="L68" i="2"/>
  <c r="K68" i="2"/>
  <c r="R61" i="2"/>
  <c r="R62" i="2"/>
  <c r="R65" i="2"/>
  <c r="Q61" i="2"/>
  <c r="Q62" i="2"/>
  <c r="Q65" i="2"/>
  <c r="P61" i="2"/>
  <c r="P62" i="2"/>
  <c r="P65" i="2"/>
  <c r="M61" i="2"/>
  <c r="M62" i="2"/>
  <c r="M65" i="2"/>
  <c r="K61" i="2"/>
  <c r="K65" i="2"/>
  <c r="L61" i="2"/>
  <c r="L65" i="2"/>
  <c r="M64" i="2"/>
  <c r="N65" i="2"/>
  <c r="O65" i="2"/>
  <c r="L64" i="2"/>
  <c r="K64" i="2"/>
  <c r="R60" i="2"/>
  <c r="Q60" i="2"/>
  <c r="P60" i="2"/>
  <c r="M60" i="2"/>
  <c r="L60" i="2"/>
  <c r="K60" i="2"/>
  <c r="U17" i="3"/>
  <c r="U19" i="3"/>
  <c r="U14" i="3"/>
  <c r="U18" i="3"/>
  <c r="T14" i="3"/>
  <c r="T15" i="3"/>
  <c r="R14" i="3"/>
  <c r="R15" i="3"/>
  <c r="T16" i="3"/>
  <c r="V14" i="3"/>
  <c r="V17" i="3"/>
  <c r="V19" i="3"/>
  <c r="R17" i="3"/>
  <c r="R19" i="3"/>
  <c r="V18" i="3"/>
  <c r="R18" i="3"/>
  <c r="Q14" i="3"/>
  <c r="Q18" i="3"/>
  <c r="P14" i="3"/>
  <c r="P18" i="3"/>
  <c r="V5" i="3"/>
  <c r="V9" i="3"/>
  <c r="V8" i="3"/>
  <c r="V10" i="3"/>
  <c r="U8" i="3"/>
  <c r="U10" i="3"/>
  <c r="U5" i="3"/>
  <c r="U9" i="3"/>
  <c r="R8" i="3"/>
  <c r="R10" i="3"/>
  <c r="R5" i="3"/>
  <c r="R6" i="3"/>
  <c r="R9" i="3"/>
  <c r="Q5" i="3"/>
  <c r="Q9" i="3"/>
  <c r="P5" i="3"/>
  <c r="P9" i="3"/>
  <c r="Q17" i="3"/>
  <c r="P17" i="3"/>
  <c r="S14" i="3"/>
  <c r="S15" i="3"/>
  <c r="S16" i="3"/>
  <c r="T13" i="3"/>
  <c r="S13" i="3"/>
  <c r="R13" i="3"/>
  <c r="Q13" i="3"/>
  <c r="P13" i="3"/>
  <c r="R53" i="2"/>
  <c r="R54" i="2"/>
  <c r="R57" i="2"/>
  <c r="Q53" i="2"/>
  <c r="Q54" i="2"/>
  <c r="Q57" i="2"/>
  <c r="Q52" i="2"/>
  <c r="R52" i="2"/>
  <c r="P53" i="2"/>
  <c r="P54" i="2"/>
  <c r="P57" i="2"/>
  <c r="P52" i="2"/>
  <c r="M53" i="2"/>
  <c r="M54" i="2"/>
  <c r="M57" i="2"/>
  <c r="K53" i="2"/>
  <c r="K57" i="2"/>
  <c r="L53" i="2"/>
  <c r="L57" i="2"/>
  <c r="M56" i="2"/>
  <c r="N57" i="2"/>
  <c r="O57" i="2"/>
  <c r="L56" i="2"/>
  <c r="K56" i="2"/>
  <c r="M52" i="2"/>
  <c r="L52" i="2"/>
  <c r="K52" i="2"/>
  <c r="B4" i="1"/>
  <c r="D4" i="1"/>
  <c r="O82" i="1"/>
  <c r="O83" i="1"/>
  <c r="O86" i="1"/>
  <c r="O85" i="1"/>
  <c r="O87" i="1"/>
  <c r="C4" i="1"/>
  <c r="J82" i="1"/>
  <c r="B29" i="1"/>
  <c r="C14" i="1"/>
  <c r="D30" i="1"/>
  <c r="J86" i="1"/>
  <c r="L82" i="1"/>
  <c r="B35" i="1"/>
  <c r="D36" i="1"/>
  <c r="L86" i="1"/>
  <c r="P87" i="1"/>
  <c r="N85" i="1"/>
  <c r="N87" i="1"/>
  <c r="N82" i="1"/>
  <c r="N83" i="1"/>
  <c r="B14" i="1"/>
  <c r="B21" i="1"/>
  <c r="B22" i="1"/>
  <c r="N86" i="1"/>
  <c r="P86" i="1"/>
  <c r="M82" i="1"/>
  <c r="M86" i="1"/>
  <c r="K82" i="1"/>
  <c r="D14" i="1"/>
  <c r="F30" i="1"/>
  <c r="K86" i="1"/>
  <c r="M85" i="1"/>
  <c r="L85" i="1"/>
  <c r="K85" i="1"/>
  <c r="J85" i="1"/>
  <c r="O81" i="1"/>
  <c r="N81" i="1"/>
  <c r="M81" i="1"/>
  <c r="L81" i="1"/>
  <c r="K81" i="1"/>
  <c r="J81" i="1"/>
  <c r="J72" i="1"/>
  <c r="K72" i="1"/>
  <c r="L72" i="1"/>
  <c r="M72" i="1"/>
  <c r="N72" i="1"/>
  <c r="O72" i="1"/>
  <c r="J73" i="1"/>
  <c r="K73" i="1"/>
  <c r="L73" i="1"/>
  <c r="M73" i="1"/>
  <c r="N73" i="1"/>
  <c r="O73" i="1"/>
  <c r="N74" i="1"/>
  <c r="O74" i="1"/>
  <c r="J76" i="1"/>
  <c r="K76" i="1"/>
  <c r="L76" i="1"/>
  <c r="M76" i="1"/>
  <c r="N76" i="1"/>
  <c r="O76" i="1"/>
  <c r="J77" i="1"/>
  <c r="K77" i="1"/>
  <c r="L77" i="1"/>
  <c r="M77" i="1"/>
  <c r="N77" i="1"/>
  <c r="O77" i="1"/>
  <c r="N78" i="1"/>
  <c r="P77" i="1"/>
  <c r="O78" i="1"/>
  <c r="P78" i="1"/>
  <c r="O64" i="1"/>
  <c r="O65" i="1"/>
  <c r="O68" i="1"/>
  <c r="O67" i="1"/>
  <c r="O69" i="1"/>
  <c r="J64" i="1"/>
  <c r="J68" i="1"/>
  <c r="L64" i="1"/>
  <c r="L68" i="1"/>
  <c r="P69" i="1"/>
  <c r="N67" i="1"/>
  <c r="N69" i="1"/>
  <c r="N64" i="1"/>
  <c r="N65" i="1"/>
  <c r="N68" i="1"/>
  <c r="P68" i="1"/>
  <c r="M64" i="1"/>
  <c r="M68" i="1"/>
  <c r="K64" i="1"/>
  <c r="K68" i="1"/>
  <c r="M67" i="1"/>
  <c r="L67" i="1"/>
  <c r="K67" i="1"/>
  <c r="J67" i="1"/>
  <c r="O63" i="1"/>
  <c r="N63" i="1"/>
  <c r="M63" i="1"/>
  <c r="L63" i="1"/>
  <c r="K63" i="1"/>
  <c r="J63" i="1"/>
  <c r="O54" i="1"/>
  <c r="O55" i="1"/>
  <c r="O58" i="1"/>
  <c r="O57" i="1"/>
  <c r="O59" i="1"/>
  <c r="J54" i="1"/>
  <c r="J58" i="1"/>
  <c r="L54" i="1"/>
  <c r="L58" i="1"/>
  <c r="P59" i="1"/>
  <c r="N54" i="1"/>
  <c r="N55" i="1"/>
  <c r="N58" i="1"/>
  <c r="N57" i="1"/>
  <c r="N59" i="1"/>
  <c r="P58" i="1"/>
  <c r="M54" i="1"/>
  <c r="M58" i="1"/>
  <c r="K54" i="1"/>
  <c r="K58" i="1"/>
  <c r="O45" i="1"/>
  <c r="O46" i="1"/>
  <c r="O49" i="1"/>
  <c r="O48" i="1"/>
  <c r="O50" i="1"/>
  <c r="J45" i="1"/>
  <c r="J49" i="1"/>
  <c r="L45" i="1"/>
  <c r="L49" i="1"/>
  <c r="P50" i="1"/>
  <c r="N45" i="1"/>
  <c r="N46" i="1"/>
  <c r="N49" i="1"/>
  <c r="N48" i="1"/>
  <c r="N50" i="1"/>
  <c r="P49" i="1"/>
  <c r="M45" i="1"/>
  <c r="M49" i="1"/>
  <c r="K45" i="1"/>
  <c r="K49" i="1"/>
  <c r="M57" i="1"/>
  <c r="L57" i="1"/>
  <c r="K57" i="1"/>
  <c r="J57" i="1"/>
  <c r="O53" i="1"/>
  <c r="N53" i="1"/>
  <c r="M53" i="1"/>
  <c r="L53" i="1"/>
  <c r="K53" i="1"/>
  <c r="J53" i="1"/>
  <c r="M48" i="1"/>
  <c r="L48" i="1"/>
  <c r="K48" i="1"/>
  <c r="J48" i="1"/>
  <c r="O44" i="1"/>
  <c r="N44" i="1"/>
  <c r="M44" i="1"/>
  <c r="L44" i="1"/>
  <c r="K44" i="1"/>
  <c r="J44" i="1"/>
  <c r="T5" i="3"/>
  <c r="T6" i="3"/>
  <c r="T7" i="3"/>
  <c r="T4" i="3"/>
  <c r="S5" i="3"/>
  <c r="S6" i="3"/>
  <c r="S7" i="3"/>
  <c r="I12" i="4"/>
  <c r="J12" i="4"/>
  <c r="K12" i="4"/>
  <c r="L12" i="4"/>
  <c r="I13" i="4"/>
  <c r="J13" i="4"/>
  <c r="K13" i="4"/>
  <c r="L13" i="4"/>
  <c r="I14" i="4"/>
  <c r="J14" i="4"/>
  <c r="K14" i="4"/>
  <c r="L14" i="4"/>
  <c r="I15" i="4"/>
  <c r="J15" i="4"/>
  <c r="K15" i="4"/>
  <c r="L15" i="4"/>
  <c r="G12" i="4"/>
  <c r="G13" i="4"/>
  <c r="G14" i="4"/>
  <c r="H12" i="4"/>
  <c r="H13" i="4"/>
  <c r="H14" i="4"/>
  <c r="G15" i="4"/>
  <c r="H15" i="4"/>
  <c r="F12" i="4"/>
  <c r="F13" i="4"/>
  <c r="F14" i="4"/>
  <c r="F15" i="4"/>
  <c r="E12" i="4"/>
  <c r="E13" i="4"/>
  <c r="E14" i="4"/>
  <c r="E15" i="4"/>
  <c r="D12" i="4"/>
  <c r="D13" i="4"/>
  <c r="D14" i="4"/>
  <c r="D15" i="4"/>
  <c r="P6" i="4"/>
  <c r="P8" i="4"/>
  <c r="P3" i="4"/>
  <c r="P4" i="4"/>
  <c r="P7" i="4"/>
  <c r="O6" i="4"/>
  <c r="O8" i="4"/>
  <c r="O3" i="4"/>
  <c r="O4" i="4"/>
  <c r="O7" i="4"/>
  <c r="N3" i="4"/>
  <c r="N4" i="4"/>
  <c r="N5" i="4"/>
  <c r="M3" i="4"/>
  <c r="M4" i="4"/>
  <c r="M5" i="4"/>
  <c r="L3" i="4"/>
  <c r="L4" i="4"/>
  <c r="L5" i="4"/>
  <c r="L7" i="4"/>
  <c r="K3" i="4"/>
  <c r="K4" i="4"/>
  <c r="K5" i="4"/>
  <c r="K7" i="4"/>
  <c r="J3" i="4"/>
  <c r="H3" i="4"/>
  <c r="H4" i="4"/>
  <c r="H5" i="4"/>
  <c r="H7" i="4"/>
  <c r="G3" i="4"/>
  <c r="G4" i="4"/>
  <c r="G5" i="4"/>
  <c r="G7" i="4"/>
  <c r="J4" i="4"/>
  <c r="J5" i="4"/>
  <c r="J7" i="4"/>
  <c r="I3" i="4"/>
  <c r="I4" i="4"/>
  <c r="I5" i="4"/>
  <c r="I7" i="4"/>
  <c r="F3" i="4"/>
  <c r="F4" i="4"/>
  <c r="F5" i="4"/>
  <c r="F7" i="4"/>
  <c r="D5" i="4"/>
  <c r="D6" i="4"/>
  <c r="D8" i="4"/>
  <c r="D7" i="4"/>
  <c r="S4" i="3"/>
  <c r="Q8" i="3"/>
  <c r="P8" i="3"/>
  <c r="R4" i="3"/>
  <c r="Q4" i="3"/>
  <c r="P4" i="3"/>
  <c r="R13" i="2"/>
  <c r="R15" i="2"/>
  <c r="Q13" i="2"/>
  <c r="Q15" i="2"/>
  <c r="R10" i="2"/>
  <c r="R14" i="2"/>
  <c r="Q10" i="2"/>
  <c r="Q14" i="2"/>
  <c r="P10" i="2"/>
  <c r="N10" i="2"/>
  <c r="N11" i="2"/>
  <c r="P11" i="2"/>
  <c r="P14" i="2"/>
  <c r="O10" i="2"/>
  <c r="O11" i="2"/>
  <c r="O14" i="2"/>
  <c r="N13" i="2"/>
  <c r="N15" i="2"/>
  <c r="N14" i="2"/>
  <c r="M10" i="2"/>
  <c r="M14" i="2"/>
  <c r="L10" i="2"/>
  <c r="K10" i="2"/>
  <c r="L11" i="2"/>
  <c r="L14" i="2"/>
  <c r="K14" i="2"/>
  <c r="M45" i="2"/>
  <c r="M46" i="2"/>
  <c r="M49" i="2"/>
  <c r="K45" i="2"/>
  <c r="K49" i="2"/>
  <c r="L45" i="2"/>
  <c r="L49" i="2"/>
  <c r="M48" i="2"/>
  <c r="N49" i="2"/>
  <c r="O49" i="2"/>
  <c r="L48" i="2"/>
  <c r="K48" i="2"/>
  <c r="M44" i="2"/>
  <c r="L44" i="2"/>
  <c r="K44" i="2"/>
  <c r="M37" i="2"/>
  <c r="M38" i="2"/>
  <c r="M41" i="2"/>
  <c r="K37" i="2"/>
  <c r="K41" i="2"/>
  <c r="L37" i="2"/>
  <c r="L41" i="2"/>
  <c r="M40" i="2"/>
  <c r="N41" i="2"/>
  <c r="O41" i="2"/>
  <c r="L40" i="2"/>
  <c r="K40" i="2"/>
  <c r="M36" i="2"/>
  <c r="L36" i="2"/>
  <c r="K36" i="2"/>
  <c r="M21" i="2"/>
  <c r="M22" i="2"/>
  <c r="M25" i="2"/>
  <c r="M29" i="2"/>
  <c r="M30" i="2"/>
  <c r="M33" i="2"/>
  <c r="K29" i="2"/>
  <c r="K33" i="2"/>
  <c r="L29" i="2"/>
  <c r="L33" i="2"/>
  <c r="M32" i="2"/>
  <c r="N33" i="2"/>
  <c r="O33" i="2"/>
  <c r="L32" i="2"/>
  <c r="K32" i="2"/>
  <c r="M28" i="2"/>
  <c r="L28" i="2"/>
  <c r="K28" i="2"/>
  <c r="M24" i="2"/>
  <c r="N25" i="2"/>
  <c r="L21" i="2"/>
  <c r="L25" i="2"/>
  <c r="K21" i="2"/>
  <c r="K25" i="2"/>
  <c r="O25" i="2"/>
  <c r="L24" i="2"/>
  <c r="K24" i="2"/>
  <c r="M20" i="2"/>
  <c r="L20" i="2"/>
  <c r="K20" i="2"/>
  <c r="H156" i="2"/>
  <c r="H160" i="2"/>
  <c r="G160" i="2"/>
  <c r="F160" i="2"/>
  <c r="H157" i="2"/>
  <c r="H158" i="2"/>
  <c r="G157" i="2"/>
  <c r="F157" i="2"/>
  <c r="G156" i="2"/>
  <c r="F156" i="2"/>
  <c r="H152" i="2"/>
  <c r="G152" i="2"/>
  <c r="F152" i="2"/>
  <c r="H149" i="2"/>
  <c r="H150" i="2"/>
  <c r="G149" i="2"/>
  <c r="F149" i="2"/>
  <c r="H148" i="2"/>
  <c r="G148" i="2"/>
  <c r="F148" i="2"/>
  <c r="H144" i="2"/>
  <c r="G144" i="2"/>
  <c r="F144" i="2"/>
  <c r="H141" i="2"/>
  <c r="H142" i="2"/>
  <c r="G141" i="2"/>
  <c r="F141" i="2"/>
  <c r="H140" i="2"/>
  <c r="G140" i="2"/>
  <c r="F140" i="2"/>
  <c r="H136" i="2"/>
  <c r="G136" i="2"/>
  <c r="F136" i="2"/>
  <c r="H133" i="2"/>
  <c r="H134" i="2"/>
  <c r="G133" i="2"/>
  <c r="F133" i="2"/>
  <c r="H132" i="2"/>
  <c r="G132" i="2"/>
  <c r="F132" i="2"/>
  <c r="H128" i="2"/>
  <c r="G128" i="2"/>
  <c r="F128" i="2"/>
  <c r="H125" i="2"/>
  <c r="H126" i="2"/>
  <c r="G125" i="2"/>
  <c r="F125" i="2"/>
  <c r="H124" i="2"/>
  <c r="G124" i="2"/>
  <c r="F124" i="2"/>
  <c r="H120" i="2"/>
  <c r="G120" i="2"/>
  <c r="F120" i="2"/>
  <c r="H117" i="2"/>
  <c r="H118" i="2"/>
  <c r="G117" i="2"/>
  <c r="F117" i="2"/>
  <c r="H116" i="2"/>
  <c r="G116" i="2"/>
  <c r="F116" i="2"/>
  <c r="H112" i="2"/>
  <c r="G112" i="2"/>
  <c r="F112" i="2"/>
  <c r="H109" i="2"/>
  <c r="H110" i="2"/>
  <c r="G109" i="2"/>
  <c r="F109" i="2"/>
  <c r="H108" i="2"/>
  <c r="G108" i="2"/>
  <c r="F108" i="2"/>
  <c r="H104" i="2"/>
  <c r="G104" i="2"/>
  <c r="F104" i="2"/>
  <c r="H101" i="2"/>
  <c r="H102" i="2"/>
  <c r="G101" i="2"/>
  <c r="F101" i="2"/>
  <c r="H100" i="2"/>
  <c r="G100" i="2"/>
  <c r="F100" i="2"/>
  <c r="H96" i="2"/>
  <c r="G96" i="2"/>
  <c r="F96" i="2"/>
  <c r="H93" i="2"/>
  <c r="H94" i="2"/>
  <c r="G93" i="2"/>
  <c r="F93" i="2"/>
  <c r="H92" i="2"/>
  <c r="G92" i="2"/>
  <c r="F92" i="2"/>
  <c r="E35" i="1"/>
  <c r="M56" i="3"/>
  <c r="L56" i="3"/>
  <c r="K56" i="3"/>
  <c r="M53" i="3"/>
  <c r="M54" i="3"/>
  <c r="L53" i="3"/>
  <c r="K53" i="3"/>
  <c r="M52" i="3"/>
  <c r="L52" i="3"/>
  <c r="K52" i="3"/>
  <c r="H80" i="3"/>
  <c r="G80" i="3"/>
  <c r="F80" i="3"/>
  <c r="H77" i="3"/>
  <c r="H78" i="3"/>
  <c r="G77" i="3"/>
  <c r="F77" i="3"/>
  <c r="H76" i="3"/>
  <c r="G76" i="3"/>
  <c r="F76" i="3"/>
  <c r="M45" i="3"/>
  <c r="M46" i="3"/>
  <c r="M48" i="3"/>
  <c r="L48" i="3"/>
  <c r="K48" i="3"/>
  <c r="L45" i="3"/>
  <c r="K45" i="3"/>
  <c r="M44" i="3"/>
  <c r="L44" i="3"/>
  <c r="K44" i="3"/>
  <c r="M40" i="3"/>
  <c r="L40" i="3"/>
  <c r="K40" i="3"/>
  <c r="M37" i="3"/>
  <c r="M38" i="3"/>
  <c r="L37" i="3"/>
  <c r="K37" i="3"/>
  <c r="M36" i="3"/>
  <c r="L36" i="3"/>
  <c r="K36" i="3"/>
  <c r="M32" i="3"/>
  <c r="L32" i="3"/>
  <c r="K32" i="3"/>
  <c r="M29" i="3"/>
  <c r="M30" i="3"/>
  <c r="L29" i="3"/>
  <c r="K29" i="3"/>
  <c r="M28" i="3"/>
  <c r="L28" i="3"/>
  <c r="K28" i="3"/>
  <c r="M24" i="3"/>
  <c r="L24" i="3"/>
  <c r="K24" i="3"/>
  <c r="M21" i="3"/>
  <c r="M22" i="3"/>
  <c r="L21" i="3"/>
  <c r="K21" i="3"/>
  <c r="M20" i="3"/>
  <c r="L20" i="3"/>
  <c r="K20" i="3"/>
  <c r="M16" i="3"/>
  <c r="L16" i="3"/>
  <c r="K16" i="3"/>
  <c r="M13" i="3"/>
  <c r="M14" i="3"/>
  <c r="L13" i="3"/>
  <c r="K13" i="3"/>
  <c r="M12" i="3"/>
  <c r="L12" i="3"/>
  <c r="K12" i="3"/>
  <c r="M8" i="3"/>
  <c r="L8" i="3"/>
  <c r="K8" i="3"/>
  <c r="M5" i="3"/>
  <c r="M6" i="3"/>
  <c r="L5" i="3"/>
  <c r="K5" i="3"/>
  <c r="M4" i="3"/>
  <c r="L4" i="3"/>
  <c r="K4" i="3"/>
  <c r="O40" i="1"/>
  <c r="N40" i="1"/>
  <c r="M40" i="1"/>
  <c r="L40" i="1"/>
  <c r="K40" i="1"/>
  <c r="J40" i="1"/>
  <c r="O37" i="1"/>
  <c r="O38" i="1"/>
  <c r="N37" i="1"/>
  <c r="N38" i="1"/>
  <c r="M37" i="1"/>
  <c r="L37" i="1"/>
  <c r="K37" i="1"/>
  <c r="J37" i="1"/>
  <c r="O36" i="1"/>
  <c r="N36" i="1"/>
  <c r="M36" i="1"/>
  <c r="L36" i="1"/>
  <c r="K36" i="1"/>
  <c r="J36" i="1"/>
  <c r="O32" i="1"/>
  <c r="N32" i="1"/>
  <c r="M32" i="1"/>
  <c r="L32" i="1"/>
  <c r="K32" i="1"/>
  <c r="J32" i="1"/>
  <c r="O29" i="1"/>
  <c r="O30" i="1"/>
  <c r="N29" i="1"/>
  <c r="N30" i="1"/>
  <c r="M29" i="1"/>
  <c r="L29" i="1"/>
  <c r="K29" i="1"/>
  <c r="J29" i="1"/>
  <c r="O28" i="1"/>
  <c r="N28" i="1"/>
  <c r="M28" i="1"/>
  <c r="L28" i="1"/>
  <c r="K28" i="1"/>
  <c r="J28" i="1"/>
  <c r="H68" i="3"/>
  <c r="H69" i="3"/>
  <c r="H70" i="3"/>
  <c r="H72" i="3"/>
  <c r="G72" i="3"/>
  <c r="F72" i="3"/>
  <c r="G69" i="3"/>
  <c r="F69" i="3"/>
  <c r="G68" i="3"/>
  <c r="F68" i="3"/>
  <c r="H64" i="3"/>
  <c r="G64" i="3"/>
  <c r="F64" i="3"/>
  <c r="H61" i="3"/>
  <c r="H62" i="3"/>
  <c r="G61" i="3"/>
  <c r="F61" i="3"/>
  <c r="H60" i="3"/>
  <c r="G60" i="3"/>
  <c r="F60" i="3"/>
  <c r="H56" i="3"/>
  <c r="G56" i="3"/>
  <c r="F56" i="3"/>
  <c r="H53" i="3"/>
  <c r="H54" i="3"/>
  <c r="G53" i="3"/>
  <c r="F53" i="3"/>
  <c r="H52" i="3"/>
  <c r="G52" i="3"/>
  <c r="F52" i="3"/>
  <c r="H48" i="3"/>
  <c r="G48" i="3"/>
  <c r="F48" i="3"/>
  <c r="H45" i="3"/>
  <c r="H46" i="3"/>
  <c r="G45" i="3"/>
  <c r="F45" i="3"/>
  <c r="H44" i="3"/>
  <c r="G44" i="3"/>
  <c r="F44" i="3"/>
  <c r="H40" i="3"/>
  <c r="G40" i="3"/>
  <c r="F40" i="3"/>
  <c r="H37" i="3"/>
  <c r="H38" i="3"/>
  <c r="G37" i="3"/>
  <c r="F37" i="3"/>
  <c r="H36" i="3"/>
  <c r="G36" i="3"/>
  <c r="F36" i="3"/>
  <c r="H32" i="3"/>
  <c r="G32" i="3"/>
  <c r="F32" i="3"/>
  <c r="H29" i="3"/>
  <c r="H30" i="3"/>
  <c r="G29" i="3"/>
  <c r="F29" i="3"/>
  <c r="H28" i="3"/>
  <c r="G28" i="3"/>
  <c r="F28" i="3"/>
  <c r="H24" i="3"/>
  <c r="G24" i="3"/>
  <c r="F24" i="3"/>
  <c r="H21" i="3"/>
  <c r="H22" i="3"/>
  <c r="G21" i="3"/>
  <c r="F21" i="3"/>
  <c r="H20" i="3"/>
  <c r="G20" i="3"/>
  <c r="F20" i="3"/>
  <c r="H16" i="3"/>
  <c r="G16" i="3"/>
  <c r="F16" i="3"/>
  <c r="H13" i="3"/>
  <c r="H14" i="3"/>
  <c r="G13" i="3"/>
  <c r="F13" i="3"/>
  <c r="H12" i="3"/>
  <c r="G12" i="3"/>
  <c r="F12" i="3"/>
  <c r="O13" i="2"/>
  <c r="P13" i="2"/>
  <c r="P4" i="2"/>
  <c r="O4" i="2"/>
  <c r="L4" i="2"/>
  <c r="M13" i="2"/>
  <c r="K13" i="2"/>
  <c r="H88" i="2"/>
  <c r="G88" i="2"/>
  <c r="F88" i="2"/>
  <c r="H85" i="2"/>
  <c r="H86" i="2"/>
  <c r="G85" i="2"/>
  <c r="F85" i="2"/>
  <c r="H84" i="2"/>
  <c r="G84" i="2"/>
  <c r="F84" i="2"/>
  <c r="H80" i="2"/>
  <c r="G80" i="2"/>
  <c r="F80" i="2"/>
  <c r="H77" i="2"/>
  <c r="H78" i="2"/>
  <c r="G77" i="2"/>
  <c r="F77" i="2"/>
  <c r="H76" i="2"/>
  <c r="G76" i="2"/>
  <c r="F76" i="2"/>
  <c r="H72" i="2"/>
  <c r="G72" i="2"/>
  <c r="F72" i="2"/>
  <c r="H69" i="2"/>
  <c r="H70" i="2"/>
  <c r="G69" i="2"/>
  <c r="F69" i="2"/>
  <c r="H68" i="2"/>
  <c r="G68" i="2"/>
  <c r="F68" i="2"/>
  <c r="H64" i="2"/>
  <c r="G64" i="2"/>
  <c r="F64" i="2"/>
  <c r="H61" i="2"/>
  <c r="H62" i="2"/>
  <c r="G61" i="2"/>
  <c r="F61" i="2"/>
  <c r="H60" i="2"/>
  <c r="G60" i="2"/>
  <c r="F60" i="2"/>
  <c r="H56" i="2"/>
  <c r="G56" i="2"/>
  <c r="F56" i="2"/>
  <c r="H53" i="2"/>
  <c r="H54" i="2"/>
  <c r="G53" i="2"/>
  <c r="F53" i="2"/>
  <c r="H52" i="2"/>
  <c r="G52" i="2"/>
  <c r="F52" i="2"/>
  <c r="H48" i="2"/>
  <c r="G48" i="2"/>
  <c r="F48" i="2"/>
  <c r="H45" i="2"/>
  <c r="H46" i="2"/>
  <c r="G45" i="2"/>
  <c r="F45" i="2"/>
  <c r="H44" i="2"/>
  <c r="G44" i="2"/>
  <c r="F44" i="2"/>
  <c r="H40" i="2"/>
  <c r="G40" i="2"/>
  <c r="F40" i="2"/>
  <c r="H37" i="2"/>
  <c r="H38" i="2"/>
  <c r="G37" i="2"/>
  <c r="F37" i="2"/>
  <c r="H36" i="2"/>
  <c r="G36" i="2"/>
  <c r="F36" i="2"/>
  <c r="H32" i="2"/>
  <c r="G32" i="2"/>
  <c r="F32" i="2"/>
  <c r="H29" i="2"/>
  <c r="H30" i="2"/>
  <c r="G29" i="2"/>
  <c r="F29" i="2"/>
  <c r="H28" i="2"/>
  <c r="G28" i="2"/>
  <c r="F28" i="2"/>
  <c r="H24" i="2"/>
  <c r="G24" i="2"/>
  <c r="F24" i="2"/>
  <c r="H21" i="2"/>
  <c r="H22" i="2"/>
  <c r="G21" i="2"/>
  <c r="F21" i="2"/>
  <c r="H20" i="2"/>
  <c r="G20" i="2"/>
  <c r="F20" i="2"/>
  <c r="H16" i="2"/>
  <c r="G16" i="2"/>
  <c r="F16" i="2"/>
  <c r="H13" i="2"/>
  <c r="H14" i="2"/>
  <c r="G13" i="2"/>
  <c r="F13" i="2"/>
  <c r="H12" i="2"/>
  <c r="G12" i="2"/>
  <c r="F12" i="2"/>
  <c r="G5" i="2"/>
  <c r="C6" i="3"/>
  <c r="H8" i="3"/>
  <c r="G8" i="3"/>
  <c r="F8" i="3"/>
  <c r="H5" i="3"/>
  <c r="H6" i="3"/>
  <c r="G5" i="3"/>
  <c r="F5" i="3"/>
  <c r="H4" i="3"/>
  <c r="G4" i="3"/>
  <c r="F4" i="3"/>
  <c r="H8" i="2"/>
  <c r="G8" i="2"/>
  <c r="F8" i="2"/>
  <c r="H5" i="2"/>
  <c r="H6" i="2"/>
  <c r="F5" i="2"/>
  <c r="H4" i="2"/>
  <c r="G4" i="2"/>
  <c r="F4" i="2"/>
  <c r="B6" i="2"/>
  <c r="C6" i="2"/>
  <c r="J5" i="1"/>
  <c r="J21" i="1"/>
  <c r="O24" i="1"/>
  <c r="N24" i="1"/>
  <c r="M24" i="1"/>
  <c r="L24" i="1"/>
  <c r="K24" i="1"/>
  <c r="J24" i="1"/>
  <c r="O21" i="1"/>
  <c r="O22" i="1"/>
  <c r="N21" i="1"/>
  <c r="N22" i="1"/>
  <c r="M21" i="1"/>
  <c r="L21" i="1"/>
  <c r="K21" i="1"/>
  <c r="O20" i="1"/>
  <c r="N20" i="1"/>
  <c r="M20" i="1"/>
  <c r="L20" i="1"/>
  <c r="K20" i="1"/>
  <c r="J20" i="1"/>
  <c r="F29" i="1"/>
  <c r="O16" i="1"/>
  <c r="N16" i="1"/>
  <c r="M16" i="1"/>
  <c r="L16" i="1"/>
  <c r="K16" i="1"/>
  <c r="J16" i="1"/>
  <c r="O13" i="1"/>
  <c r="O14" i="1"/>
  <c r="N13" i="1"/>
  <c r="N14" i="1"/>
  <c r="M13" i="1"/>
  <c r="L13" i="1"/>
  <c r="K13" i="1"/>
  <c r="J13" i="1"/>
  <c r="O12" i="1"/>
  <c r="N12" i="1"/>
  <c r="M12" i="1"/>
  <c r="L12" i="1"/>
  <c r="K12" i="1"/>
  <c r="J12" i="1"/>
  <c r="O5" i="1"/>
  <c r="O6" i="1"/>
  <c r="N5" i="1"/>
  <c r="N6" i="1"/>
  <c r="N4" i="1"/>
  <c r="N8" i="1"/>
  <c r="O8" i="1"/>
  <c r="O4" i="1"/>
  <c r="K5" i="1"/>
  <c r="J4" i="1"/>
  <c r="K4" i="1"/>
  <c r="L5" i="1"/>
  <c r="J8" i="1"/>
  <c r="K8" i="1"/>
  <c r="M8" i="1"/>
  <c r="L8" i="1"/>
  <c r="L4" i="1"/>
  <c r="M5" i="1"/>
  <c r="M4" i="1"/>
  <c r="F21" i="1"/>
  <c r="F22" i="1"/>
  <c r="F25" i="1"/>
  <c r="E21" i="1"/>
  <c r="E22" i="1"/>
  <c r="E25" i="1"/>
  <c r="D21" i="1"/>
  <c r="D22" i="1"/>
  <c r="D25" i="1"/>
  <c r="C21" i="1"/>
  <c r="C22" i="1"/>
  <c r="C25" i="1"/>
  <c r="D12" i="1"/>
  <c r="D6" i="1"/>
  <c r="C36" i="1"/>
  <c r="E30" i="1"/>
  <c r="C30" i="1"/>
  <c r="E31" i="1"/>
  <c r="B24" i="1"/>
  <c r="C12" i="1"/>
  <c r="B12" i="1"/>
  <c r="F4" i="1"/>
  <c r="G7" i="1"/>
  <c r="E7" i="1"/>
  <c r="G6" i="1"/>
  <c r="F6" i="1"/>
  <c r="E6" i="1"/>
  <c r="C6" i="1"/>
  <c r="B6" i="1"/>
  <c r="G4" i="1"/>
  <c r="E4" i="1"/>
</calcChain>
</file>

<file path=xl/sharedStrings.xml><?xml version="1.0" encoding="utf-8"?>
<sst xmlns="http://schemas.openxmlformats.org/spreadsheetml/2006/main" count="919" uniqueCount="239">
  <si>
    <t>LAMMPS</t>
  </si>
  <si>
    <t>feal</t>
  </si>
  <si>
    <t>fe.eam.fs</t>
  </si>
  <si>
    <t>0 K</t>
  </si>
  <si>
    <t>bcc Fe</t>
  </si>
  <si>
    <t>fcc Al</t>
  </si>
  <si>
    <t>bcc Fe vac</t>
  </si>
  <si>
    <t>E</t>
  </si>
  <si>
    <t>E/atom</t>
  </si>
  <si>
    <t>V</t>
  </si>
  <si>
    <t>a0</t>
  </si>
  <si>
    <t>Eform</t>
  </si>
  <si>
    <t>VASP WORK</t>
  </si>
  <si>
    <t>fe bcc</t>
  </si>
  <si>
    <t>al fcc</t>
  </si>
  <si>
    <t>L</t>
  </si>
  <si>
    <t>ao</t>
  </si>
  <si>
    <t>FeAl B2</t>
  </si>
  <si>
    <t>B2 Fe vac</t>
  </si>
  <si>
    <t>B2 Al vac</t>
  </si>
  <si>
    <t>B2 Fe antisite</t>
  </si>
  <si>
    <t>B2 Al antisite</t>
  </si>
  <si>
    <t>3a</t>
  </si>
  <si>
    <t>Eform/at</t>
  </si>
  <si>
    <t>Eform(B2)</t>
  </si>
  <si>
    <t>fe 54 bcc</t>
  </si>
  <si>
    <t>fe bcc vac</t>
  </si>
  <si>
    <t>fe bcc alsub</t>
  </si>
  <si>
    <t>fe bcc vac-alsub</t>
  </si>
  <si>
    <t>Ebind</t>
  </si>
  <si>
    <t>al 32 fcc</t>
  </si>
  <si>
    <t>al fcc vac</t>
  </si>
  <si>
    <t>al fcc fesub</t>
  </si>
  <si>
    <t>fcc ni</t>
  </si>
  <si>
    <t>ni fcc</t>
  </si>
  <si>
    <t>FeNi B2</t>
  </si>
  <si>
    <t>bcc Fe al sub</t>
  </si>
  <si>
    <t>bcc Fe ni sub</t>
  </si>
  <si>
    <t>fcc Al fe sub</t>
  </si>
  <si>
    <t>fcc Ni fe sub</t>
  </si>
  <si>
    <t>E/at</t>
  </si>
  <si>
    <t>B2 feal</t>
  </si>
  <si>
    <t>B2 feni</t>
  </si>
  <si>
    <t>drho of Fe</t>
  </si>
  <si>
    <t>54 fe nisub</t>
  </si>
  <si>
    <t>fenial.eam</t>
  </si>
  <si>
    <t>fenial.eam1</t>
  </si>
  <si>
    <t>fenial.eam2</t>
  </si>
  <si>
    <t>morse1</t>
  </si>
  <si>
    <t>ni fcc fe sub</t>
  </si>
  <si>
    <t>morse19</t>
  </si>
  <si>
    <t>fenial.eam19</t>
  </si>
  <si>
    <t>fenial.eam10</t>
  </si>
  <si>
    <t>morse10</t>
  </si>
  <si>
    <t>fenial.eam31</t>
  </si>
  <si>
    <t>morse31</t>
  </si>
  <si>
    <t>fenial.eam32</t>
  </si>
  <si>
    <t>morse32</t>
  </si>
  <si>
    <t>fenial.eam33</t>
  </si>
  <si>
    <t>morse33</t>
  </si>
  <si>
    <t>fenial.eam34</t>
  </si>
  <si>
    <t>morse34</t>
  </si>
  <si>
    <t>fenial.eam35</t>
  </si>
  <si>
    <t>morse35</t>
  </si>
  <si>
    <t>fenial.eam36</t>
  </si>
  <si>
    <t>morse36</t>
  </si>
  <si>
    <t>fenial.eam37</t>
  </si>
  <si>
    <t>morse37</t>
  </si>
  <si>
    <t>fenial.eam38</t>
  </si>
  <si>
    <t>morse38</t>
  </si>
  <si>
    <t>B2 fe vac</t>
  </si>
  <si>
    <t>B2 al vac</t>
  </si>
  <si>
    <t>L12 al3fe</t>
  </si>
  <si>
    <t>bcc al sub-vac</t>
  </si>
  <si>
    <t>bcc vac</t>
  </si>
  <si>
    <t>L12 fe3al</t>
  </si>
  <si>
    <t>bcc al sub</t>
  </si>
  <si>
    <t>fcc fe sub</t>
  </si>
  <si>
    <t>B2</t>
  </si>
  <si>
    <t>VASP</t>
  </si>
  <si>
    <t>fenial.eamA</t>
  </si>
  <si>
    <t>morse2</t>
  </si>
  <si>
    <t>fenial.eamB</t>
  </si>
  <si>
    <t>fenial.eamC</t>
  </si>
  <si>
    <t>morse39</t>
  </si>
  <si>
    <t>fenial.eamD</t>
  </si>
  <si>
    <t>morse40</t>
  </si>
  <si>
    <t>fenial.eamE</t>
  </si>
  <si>
    <t>morse41</t>
  </si>
  <si>
    <t>fenial.eamF</t>
  </si>
  <si>
    <t>morse42</t>
  </si>
  <si>
    <t>fenial.eamG</t>
  </si>
  <si>
    <t>morse43</t>
  </si>
  <si>
    <t>fenial.eamH</t>
  </si>
  <si>
    <t>morse44</t>
  </si>
  <si>
    <t>fenial.eam3</t>
  </si>
  <si>
    <t>fenial.eam4</t>
  </si>
  <si>
    <t>fenial.eamAA</t>
  </si>
  <si>
    <t>fenial.eamBB</t>
  </si>
  <si>
    <t>fenial.eamCC</t>
  </si>
  <si>
    <t>morse45</t>
  </si>
  <si>
    <t>fenial.eamEE</t>
  </si>
  <si>
    <t>fenial.eamDD</t>
  </si>
  <si>
    <t>morse46</t>
  </si>
  <si>
    <t>morse47</t>
  </si>
  <si>
    <t>morse49</t>
  </si>
  <si>
    <t>fenial.eamJ</t>
  </si>
  <si>
    <t>fenial.eamFF</t>
  </si>
  <si>
    <t>morse48</t>
  </si>
  <si>
    <t>ni fcc 32</t>
  </si>
  <si>
    <t>ni fcc fesub</t>
  </si>
  <si>
    <t>fenial.eamavg1</t>
  </si>
  <si>
    <t>phi.feal_avg</t>
  </si>
  <si>
    <t>fenial.eamavg2</t>
  </si>
  <si>
    <t>phi.feal_avg2</t>
  </si>
  <si>
    <t>fenial.eamavg3</t>
  </si>
  <si>
    <t>phi.feal_avg3</t>
  </si>
  <si>
    <t>fenial.eamavg3b</t>
  </si>
  <si>
    <t>phi.feal_avg3b</t>
  </si>
  <si>
    <t>fenial.eamavg4</t>
  </si>
  <si>
    <t>phi.feal_avg4</t>
  </si>
  <si>
    <t>fenial.eamavg5</t>
  </si>
  <si>
    <t>phi.feal_avg5</t>
  </si>
  <si>
    <t>fenial.eamspl1</t>
  </si>
  <si>
    <t>cub.spline1</t>
  </si>
  <si>
    <t>fenial.eamspl2</t>
  </si>
  <si>
    <t>cub.spline2</t>
  </si>
  <si>
    <t>fenial.eamspl3</t>
  </si>
  <si>
    <t>cub.spline3</t>
  </si>
  <si>
    <t>feal.spla</t>
  </si>
  <si>
    <t>fenial.eamsplh</t>
  </si>
  <si>
    <t>error</t>
  </si>
  <si>
    <t>morse.pot50</t>
  </si>
  <si>
    <t>fenial.eamsplj</t>
  </si>
  <si>
    <t>morse.pot51</t>
  </si>
  <si>
    <t>fenial.eamsplk</t>
  </si>
  <si>
    <t>feal.splc</t>
  </si>
  <si>
    <t>fenial.eamspll</t>
  </si>
  <si>
    <t>bcc sub vac</t>
  </si>
  <si>
    <t>L12fe3al</t>
  </si>
  <si>
    <t>feni.eam</t>
  </si>
  <si>
    <t>B2 ni vac</t>
  </si>
  <si>
    <t>L12 ni3fe</t>
  </si>
  <si>
    <t>L12 fe3ni</t>
  </si>
  <si>
    <t>B2 NiAl</t>
  </si>
  <si>
    <t>fe sub on al</t>
  </si>
  <si>
    <t>fcc Ni</t>
  </si>
  <si>
    <t>fe sub on ni</t>
  </si>
  <si>
    <t>ni vac</t>
  </si>
  <si>
    <t>al vac</t>
  </si>
  <si>
    <t>ni on al</t>
  </si>
  <si>
    <t>al on ni</t>
  </si>
  <si>
    <t>divacancy</t>
  </si>
  <si>
    <t>exchange</t>
  </si>
  <si>
    <t>divacancy b</t>
  </si>
  <si>
    <t>fe on ni</t>
  </si>
  <si>
    <t>fe on al</t>
  </si>
  <si>
    <t>exchange b</t>
  </si>
  <si>
    <t>L12 ni3al</t>
  </si>
  <si>
    <t>L12 al3ni</t>
  </si>
  <si>
    <t>fe oct</t>
  </si>
  <si>
    <t>fe oct b</t>
  </si>
  <si>
    <t>fe tet</t>
  </si>
  <si>
    <t>fe 100 w/ni</t>
  </si>
  <si>
    <t>fe 100 w/al</t>
  </si>
  <si>
    <t>fe 110 w/ni</t>
  </si>
  <si>
    <t>fe 110 w/al</t>
  </si>
  <si>
    <t>fe 111 w/ni</t>
  </si>
  <si>
    <t>fe 111 w/al</t>
  </si>
  <si>
    <t>fenial.eamnull</t>
  </si>
  <si>
    <t>null.pot</t>
  </si>
  <si>
    <t>fenial.eamnull1</t>
  </si>
  <si>
    <t>fenial.eamnull2</t>
  </si>
  <si>
    <t>fenial.eamnull4</t>
  </si>
  <si>
    <t>fenial.eamnull3</t>
  </si>
  <si>
    <t>feal.splg</t>
  </si>
  <si>
    <t>fenial.eamsplwwfg</t>
  </si>
  <si>
    <t>B2 2.4</t>
  </si>
  <si>
    <t>B2 2.0</t>
  </si>
  <si>
    <t>B2 2.8</t>
  </si>
  <si>
    <t>feal.splf</t>
  </si>
  <si>
    <t>fenial.eamsplwwff</t>
  </si>
  <si>
    <t>fenial.eamsplwwff1</t>
  </si>
  <si>
    <t>feal.splf1</t>
  </si>
  <si>
    <t>FeNi</t>
  </si>
  <si>
    <t>L12 Fe3Ni</t>
  </si>
  <si>
    <t>D03 Fe3Ni</t>
  </si>
  <si>
    <t>L12 Ni3Fe</t>
  </si>
  <si>
    <t>D03 Ni3Fe</t>
  </si>
  <si>
    <t>fenial.eamsplppbf1</t>
  </si>
  <si>
    <t>feni.splppb</t>
  </si>
  <si>
    <t>B2 Feni</t>
  </si>
  <si>
    <t>Ef</t>
  </si>
  <si>
    <t>Ef/at</t>
  </si>
  <si>
    <t>from feni_mishin</t>
  </si>
  <si>
    <t>err E</t>
  </si>
  <si>
    <t>err a0</t>
  </si>
  <si>
    <t>PPb</t>
  </si>
  <si>
    <t>B2 E</t>
  </si>
  <si>
    <t>B2 a0</t>
  </si>
  <si>
    <t>L12 E</t>
  </si>
  <si>
    <t>L12 a0</t>
  </si>
  <si>
    <t>D03 E</t>
  </si>
  <si>
    <t>D03 a0</t>
  </si>
  <si>
    <t>Total Weighted</t>
  </si>
  <si>
    <t>PP</t>
  </si>
  <si>
    <t>Ppa</t>
  </si>
  <si>
    <t>PPc</t>
  </si>
  <si>
    <t>SSb</t>
  </si>
  <si>
    <t>PPf</t>
  </si>
  <si>
    <t>D03 fe3al</t>
  </si>
  <si>
    <t>FeNi intermetallic energies and a0's</t>
  </si>
  <si>
    <t>D03 al3fe</t>
  </si>
  <si>
    <t>B2 Feal</t>
  </si>
  <si>
    <t>L12 Fe3Al</t>
  </si>
  <si>
    <t>D03 Fe3Al</t>
  </si>
  <si>
    <t>L12 Al3Fe</t>
  </si>
  <si>
    <t>D03 Al3Fe</t>
  </si>
  <si>
    <t>B2 FeAl</t>
  </si>
  <si>
    <t>Ha</t>
  </si>
  <si>
    <t>oof</t>
  </si>
  <si>
    <t>i</t>
  </si>
  <si>
    <t>B2 2.7</t>
  </si>
  <si>
    <t>feal.spli</t>
  </si>
  <si>
    <t>feni.eamoof</t>
  </si>
  <si>
    <t>Eb</t>
  </si>
  <si>
    <t>L10</t>
  </si>
  <si>
    <t>bcc nini 1nn</t>
  </si>
  <si>
    <t>del V</t>
  </si>
  <si>
    <t>del Ef/at</t>
  </si>
  <si>
    <t>Vni + Val</t>
  </si>
  <si>
    <t>Ef-defect</t>
  </si>
  <si>
    <t>exchange nn</t>
  </si>
  <si>
    <t>layer</t>
  </si>
  <si>
    <t>Ef*</t>
  </si>
  <si>
    <t>feal.Ad</t>
  </si>
  <si>
    <t>feni.Da</t>
  </si>
  <si>
    <t>feal.Adzbl</t>
  </si>
  <si>
    <t>feni.Eazbl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</si>
</sst>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 applyBorder="1"/>
    <xf numFmtId="165" fontId="2" fillId="0" borderId="0" xfId="0" applyNumberFormat="1" applyFont="1" applyBorder="1"/>
    <xf numFmtId="0" fontId="0" fillId="0" borderId="4" xfId="0" applyBorder="1"/>
    <xf numFmtId="164" fontId="1" fillId="0" borderId="0" xfId="0" applyNumberFormat="1" applyFont="1" applyBorder="1"/>
    <xf numFmtId="0" fontId="0" fillId="0" borderId="0" xfId="0" applyBorder="1"/>
    <xf numFmtId="165" fontId="0" fillId="0" borderId="0" xfId="0" applyNumberFormat="1"/>
    <xf numFmtId="165" fontId="1" fillId="0" borderId="0" xfId="0" applyNumberFormat="1" applyFont="1" applyBorder="1"/>
    <xf numFmtId="0" fontId="0" fillId="0" borderId="7" xfId="0" applyBorder="1"/>
    <xf numFmtId="165" fontId="0" fillId="0" borderId="7" xfId="0" applyNumberFormat="1" applyBorder="1"/>
    <xf numFmtId="165" fontId="1" fillId="0" borderId="7" xfId="0" applyNumberFormat="1" applyFont="1" applyBorder="1"/>
    <xf numFmtId="0" fontId="0" fillId="0" borderId="8" xfId="0" applyBorder="1"/>
    <xf numFmtId="11" fontId="0" fillId="0" borderId="0" xfId="0" applyNumberFormat="1"/>
    <xf numFmtId="165" fontId="0" fillId="0" borderId="5" xfId="0" applyNumberFormat="1" applyBorder="1"/>
    <xf numFmtId="165" fontId="1" fillId="0" borderId="5" xfId="0" applyNumberFormat="1" applyFont="1" applyBorder="1"/>
    <xf numFmtId="164" fontId="0" fillId="0" borderId="0" xfId="0" applyNumberFormat="1" applyFill="1" applyBorder="1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165" fontId="0" fillId="0" borderId="8" xfId="0" applyNumberFormat="1" applyBorder="1"/>
    <xf numFmtId="166" fontId="0" fillId="0" borderId="0" xfId="0" applyNumberFormat="1" applyFill="1" applyBorder="1"/>
    <xf numFmtId="0" fontId="0" fillId="0" borderId="0" xfId="0" applyFill="1" applyBorder="1"/>
    <xf numFmtId="0" fontId="1" fillId="0" borderId="7" xfId="0" applyFont="1" applyBorder="1"/>
    <xf numFmtId="0" fontId="5" fillId="0" borderId="0" xfId="0" applyFont="1"/>
    <xf numFmtId="164" fontId="1" fillId="0" borderId="0" xfId="0" applyNumberFormat="1" applyFont="1" applyFill="1" applyBorder="1"/>
    <xf numFmtId="11" fontId="1" fillId="0" borderId="0" xfId="0" applyNumberFormat="1" applyFont="1"/>
    <xf numFmtId="0" fontId="6" fillId="0" borderId="0" xfId="0" applyFont="1"/>
    <xf numFmtId="0" fontId="1" fillId="0" borderId="6" xfId="0" applyFont="1" applyBorder="1"/>
    <xf numFmtId="164" fontId="1" fillId="0" borderId="7" xfId="0" applyNumberFormat="1" applyFont="1" applyBorder="1"/>
    <xf numFmtId="164" fontId="0" fillId="0" borderId="0" xfId="0" applyNumberFormat="1"/>
    <xf numFmtId="164" fontId="5" fillId="0" borderId="0" xfId="0" applyNumberFormat="1" applyFont="1"/>
    <xf numFmtId="164" fontId="1" fillId="0" borderId="8" xfId="0" applyNumberFormat="1" applyFont="1" applyBorder="1"/>
    <xf numFmtId="164" fontId="1" fillId="0" borderId="0" xfId="0" applyNumberFormat="1" applyFont="1"/>
    <xf numFmtId="164" fontId="6" fillId="0" borderId="0" xfId="0" applyNumberFormat="1" applyFont="1"/>
    <xf numFmtId="0" fontId="0" fillId="0" borderId="0" xfId="0" applyFont="1"/>
    <xf numFmtId="164" fontId="0" fillId="0" borderId="0" xfId="0" applyNumberFormat="1" applyFont="1" applyBorder="1"/>
    <xf numFmtId="164" fontId="0" fillId="0" borderId="0" xfId="0" applyNumberFormat="1" applyFont="1" applyFill="1" applyBorder="1"/>
    <xf numFmtId="11" fontId="0" fillId="0" borderId="0" xfId="0" applyNumberFormat="1" applyFont="1"/>
    <xf numFmtId="0" fontId="0" fillId="0" borderId="6" xfId="0" applyFont="1" applyBorder="1"/>
    <xf numFmtId="164" fontId="0" fillId="0" borderId="7" xfId="0" applyNumberFormat="1" applyFont="1" applyBorder="1"/>
    <xf numFmtId="164" fontId="0" fillId="0" borderId="8" xfId="0" applyNumberFormat="1" applyFont="1" applyBorder="1"/>
    <xf numFmtId="164" fontId="0" fillId="0" borderId="0" xfId="0" applyNumberFormat="1" applyFont="1"/>
    <xf numFmtId="165" fontId="0" fillId="0" borderId="0" xfId="0" applyNumberFormat="1" applyFill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6" fontId="1" fillId="0" borderId="0" xfId="0" applyNumberFormat="1" applyFont="1"/>
    <xf numFmtId="166" fontId="0" fillId="0" borderId="0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0" xfId="0" applyNumberFormat="1" applyFont="1"/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('density scaling'!$J$42,'density scaling'!$J$51,'density scaling'!$J$61,'density scaling'!$J$70,'density scaling'!$J$79)</c:f>
              <c:numCache>
                <c:formatCode>0.00E+00</c:formatCode>
                <c:ptCount val="5"/>
                <c:pt idx="0">
                  <c:v>2E-3</c:v>
                </c:pt>
                <c:pt idx="1">
                  <c:v>2.5000000000000001E-3</c:v>
                </c:pt>
                <c:pt idx="2">
                  <c:v>1E-3</c:v>
                </c:pt>
                <c:pt idx="3">
                  <c:v>1.5E-3</c:v>
                </c:pt>
                <c:pt idx="4">
                  <c:v>1.75E-3</c:v>
                </c:pt>
              </c:numCache>
            </c:numRef>
          </c:xVal>
          <c:yVal>
            <c:numRef>
              <c:f>('density scaling'!$P$49,'density scaling'!$P$58,'density scaling'!$P$68,'density scaling'!$P$77,'density scaling'!$P$86)</c:f>
              <c:numCache>
                <c:formatCode>General</c:formatCode>
                <c:ptCount val="5"/>
                <c:pt idx="0">
                  <c:v>0.14101929092952387</c:v>
                </c:pt>
                <c:pt idx="1">
                  <c:v>0.27542717275975442</c:v>
                </c:pt>
                <c:pt idx="2">
                  <c:v>1.058843737011071</c:v>
                </c:pt>
                <c:pt idx="3">
                  <c:v>0.3841009876136029</c:v>
                </c:pt>
                <c:pt idx="4">
                  <c:v>0.21458905426162894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('density scaling'!$J$42,'density scaling'!$J$51,'density scaling'!$J$61,'density scaling'!$J$70,'density scaling'!$J$79)</c:f>
              <c:numCache>
                <c:formatCode>0.00E+00</c:formatCode>
                <c:ptCount val="5"/>
                <c:pt idx="0">
                  <c:v>2E-3</c:v>
                </c:pt>
                <c:pt idx="1">
                  <c:v>2.5000000000000001E-3</c:v>
                </c:pt>
                <c:pt idx="2">
                  <c:v>1E-3</c:v>
                </c:pt>
                <c:pt idx="3">
                  <c:v>1.5E-3</c:v>
                </c:pt>
                <c:pt idx="4">
                  <c:v>1.75E-3</c:v>
                </c:pt>
              </c:numCache>
            </c:numRef>
          </c:xVal>
          <c:yVal>
            <c:numRef>
              <c:f>('density scaling'!$P$50,'density scaling'!$P$59,'density scaling'!$P$69,'density scaling'!$P$78,'density scaling'!$P$87)</c:f>
              <c:numCache>
                <c:formatCode>General</c:formatCode>
                <c:ptCount val="5"/>
                <c:pt idx="0">
                  <c:v>0.27458156493123942</c:v>
                </c:pt>
                <c:pt idx="1">
                  <c:v>0.55541069402630394</c:v>
                </c:pt>
                <c:pt idx="2">
                  <c:v>0.97266484427262501</c:v>
                </c:pt>
                <c:pt idx="3">
                  <c:v>0.22666049215106632</c:v>
                </c:pt>
                <c:pt idx="4">
                  <c:v>0.18244838512374661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46624"/>
        <c:axId val="440547016"/>
      </c:scatterChart>
      <c:valAx>
        <c:axId val="44054662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47016"/>
        <c:crosses val="autoZero"/>
        <c:crossBetween val="midCat"/>
      </c:valAx>
      <c:valAx>
        <c:axId val="440547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4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563562</xdr:colOff>
      <xdr:row>46</xdr:row>
      <xdr:rowOff>25400</xdr:rowOff>
    </xdr:from>
    <xdr:to>
      <xdr:col>7</xdr:col>
      <xdr:colOff>246062</xdr:colOff>
      <xdr:row>59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39" workbookViewId="0">
      <selection activeCell="E62" sqref="E62"/>
    </sheetView>
  </sheetViews>
  <sheetFormatPr defaultColWidth="11" defaultRowHeight="15.75" x14ac:dyDescent="0.25"/>
  <cols>
    <col min="2" max="2" width="12.625" customWidth="1"/>
    <col min="3" max="3" width="12.875" customWidth="1"/>
    <col min="4" max="4" width="13" customWidth="1"/>
    <col min="5" max="5" width="13.5" customWidth="1"/>
    <col min="6" max="6" width="12.875" customWidth="1"/>
    <col min="7" max="7" width="11.875" customWidth="1"/>
    <col min="10" max="19" width="11.375" customWidth="1"/>
  </cols>
  <sheetData>
    <row r="1" spans="1:15" x14ac:dyDescent="0.25">
      <c r="A1" s="1" t="s">
        <v>0</v>
      </c>
      <c r="B1" s="2" t="s">
        <v>1</v>
      </c>
      <c r="C1" s="2"/>
      <c r="D1" s="2"/>
      <c r="E1" s="3"/>
      <c r="F1" s="1" t="s">
        <v>2</v>
      </c>
      <c r="G1" s="4"/>
      <c r="H1" s="17"/>
      <c r="J1" t="s">
        <v>36</v>
      </c>
      <c r="K1" t="s">
        <v>37</v>
      </c>
      <c r="L1" t="s">
        <v>38</v>
      </c>
      <c r="M1" t="s">
        <v>39</v>
      </c>
      <c r="N1" t="s">
        <v>41</v>
      </c>
      <c r="O1" t="s">
        <v>42</v>
      </c>
    </row>
    <row r="2" spans="1:15" x14ac:dyDescent="0.25">
      <c r="A2" s="5" t="s">
        <v>3</v>
      </c>
      <c r="B2" s="6" t="s">
        <v>4</v>
      </c>
      <c r="C2" s="6" t="s">
        <v>5</v>
      </c>
      <c r="D2" s="6" t="s">
        <v>33</v>
      </c>
      <c r="E2" s="7" t="s">
        <v>6</v>
      </c>
      <c r="F2" s="6" t="s">
        <v>4</v>
      </c>
      <c r="G2" s="7" t="s">
        <v>6</v>
      </c>
      <c r="H2" s="6"/>
      <c r="I2" s="27" t="s">
        <v>43</v>
      </c>
      <c r="J2" s="24">
        <v>5.0000000000000001E-4</v>
      </c>
      <c r="K2" s="27" t="s">
        <v>45</v>
      </c>
      <c r="L2" s="27" t="s">
        <v>48</v>
      </c>
      <c r="M2" s="27" t="s">
        <v>48</v>
      </c>
    </row>
    <row r="3" spans="1:15" x14ac:dyDescent="0.25">
      <c r="A3" s="5" t="s">
        <v>7</v>
      </c>
      <c r="B3" s="6">
        <v>-8244.9720981800001</v>
      </c>
      <c r="C3" s="6">
        <v>-13440</v>
      </c>
      <c r="D3" s="6">
        <v>-17800</v>
      </c>
      <c r="E3" s="7">
        <v>-8239.0131744699993</v>
      </c>
      <c r="F3" s="5">
        <v>-8244.8701999999994</v>
      </c>
      <c r="G3" s="7">
        <v>-8238.9114000000009</v>
      </c>
      <c r="H3" s="6"/>
      <c r="I3" t="s">
        <v>7</v>
      </c>
      <c r="J3">
        <v>-8254.6245999999992</v>
      </c>
      <c r="K3">
        <v>-8249.6126000000004</v>
      </c>
      <c r="L3">
        <v>-13448.159</v>
      </c>
      <c r="M3">
        <v>-17804.771000000001</v>
      </c>
      <c r="N3">
        <v>-14013.395</v>
      </c>
      <c r="O3">
        <v>-11834.431</v>
      </c>
    </row>
    <row r="4" spans="1:15" x14ac:dyDescent="0.25">
      <c r="A4" s="5" t="s">
        <v>8</v>
      </c>
      <c r="B4" s="6">
        <f>B3/2000</f>
        <v>-4.1224860490899999</v>
      </c>
      <c r="C4" s="6">
        <f>C3/4000</f>
        <v>-3.36</v>
      </c>
      <c r="D4" s="6">
        <f>D3/4000</f>
        <v>-4.45</v>
      </c>
      <c r="E4" s="7">
        <f>E3/1999</f>
        <v>-4.1215673709204594</v>
      </c>
      <c r="F4" s="6">
        <f>F3/2000</f>
        <v>-4.1224350999999997</v>
      </c>
      <c r="G4" s="7">
        <f>G3/1999</f>
        <v>-4.1215164582291148</v>
      </c>
      <c r="H4" s="6"/>
      <c r="I4" t="s">
        <v>40</v>
      </c>
      <c r="J4">
        <f>J3/2000</f>
        <v>-4.1273122999999998</v>
      </c>
      <c r="K4">
        <f>K3/4000</f>
        <v>-2.0624031500000002</v>
      </c>
      <c r="L4">
        <f>L3/4000</f>
        <v>-3.3620397500000001</v>
      </c>
      <c r="M4">
        <f>M3/4000</f>
        <v>-4.4511927500000006</v>
      </c>
      <c r="N4">
        <f>N3/2000</f>
        <v>-7.0066975000000005</v>
      </c>
      <c r="O4">
        <f>O3/2000</f>
        <v>-5.9172155000000002</v>
      </c>
    </row>
    <row r="5" spans="1:15" x14ac:dyDescent="0.25">
      <c r="A5" s="5" t="s">
        <v>9</v>
      </c>
      <c r="B5" s="6">
        <v>23280.773000000001</v>
      </c>
      <c r="C5" s="6">
        <v>66427.05</v>
      </c>
      <c r="D5" s="6">
        <v>43618.855000000003</v>
      </c>
      <c r="E5" s="7">
        <v>23280.776999999998</v>
      </c>
      <c r="F5" s="5">
        <v>23279.121999999999</v>
      </c>
      <c r="G5" s="7">
        <v>23276.831999999999</v>
      </c>
      <c r="H5" s="6"/>
      <c r="I5" t="s">
        <v>11</v>
      </c>
      <c r="J5">
        <f>J3-1999*$B$4-$C$4</f>
        <v>-10.414987869090183</v>
      </c>
      <c r="K5">
        <f>K3-1999*$B$4-$D$4</f>
        <v>-4.3129878690913754</v>
      </c>
      <c r="L5">
        <f>L3-3999*$C$4-$B$4</f>
        <v>-7.3965139509102329</v>
      </c>
      <c r="M5">
        <f>M3-3999*$D$4-$B$4</f>
        <v>-5.0985139509113679</v>
      </c>
      <c r="N5">
        <f>N3-1000*$B$4-1000*$C$4</f>
        <v>-6530.9089509100013</v>
      </c>
      <c r="O5">
        <f>O3-1000*$B$4-1000*$D$4</f>
        <v>-3261.9449509100004</v>
      </c>
    </row>
    <row r="6" spans="1:15" x14ac:dyDescent="0.25">
      <c r="A6" s="5" t="s">
        <v>10</v>
      </c>
      <c r="B6" s="6">
        <f t="shared" ref="B6:G6" si="0">(B5^(1/3))/10</f>
        <v>2.8553923967084787</v>
      </c>
      <c r="C6" s="6">
        <f t="shared" si="0"/>
        <v>4.0499375085617482</v>
      </c>
      <c r="D6" s="6">
        <f t="shared" si="0"/>
        <v>3.5201250117017246</v>
      </c>
      <c r="E6" s="7">
        <f t="shared" si="0"/>
        <v>2.8553925602421222</v>
      </c>
      <c r="F6" s="6">
        <f t="shared" si="0"/>
        <v>2.8553248965973874</v>
      </c>
      <c r="G6" s="7">
        <f t="shared" si="0"/>
        <v>2.8552312660840067</v>
      </c>
      <c r="H6" s="6"/>
      <c r="N6">
        <f>N5/2000</f>
        <v>-3.2654544754550008</v>
      </c>
      <c r="O6">
        <f>O5/2000</f>
        <v>-1.6309724754550001</v>
      </c>
    </row>
    <row r="7" spans="1:15" x14ac:dyDescent="0.25">
      <c r="A7" s="8" t="s">
        <v>11</v>
      </c>
      <c r="B7" s="9"/>
      <c r="C7" s="9"/>
      <c r="D7" s="9"/>
      <c r="E7" s="10">
        <f>E3-1999*B4</f>
        <v>1.8364376609097235</v>
      </c>
      <c r="F7" s="8"/>
      <c r="G7" s="10">
        <f>G3-1999*F4</f>
        <v>1.8363648999984434</v>
      </c>
      <c r="H7" s="6"/>
      <c r="I7" t="s">
        <v>9</v>
      </c>
      <c r="J7">
        <v>23280.776999999998</v>
      </c>
      <c r="K7">
        <v>23280.776999999998</v>
      </c>
      <c r="L7">
        <v>66405.524000000005</v>
      </c>
      <c r="M7">
        <v>43611.885000000002</v>
      </c>
      <c r="N7">
        <v>23279.776999999998</v>
      </c>
      <c r="O7">
        <v>23280.776999999998</v>
      </c>
    </row>
    <row r="8" spans="1:15" x14ac:dyDescent="0.25">
      <c r="A8" s="5" t="s">
        <v>12</v>
      </c>
      <c r="B8" s="6"/>
      <c r="C8" s="6"/>
      <c r="D8" s="6"/>
      <c r="E8" s="2"/>
      <c r="F8" s="2"/>
      <c r="G8" s="4"/>
      <c r="H8" s="17"/>
      <c r="I8" t="s">
        <v>10</v>
      </c>
      <c r="J8" s="6">
        <f t="shared" ref="J8:O8" si="1">(J7^(1/3))/10</f>
        <v>2.8553925602421222</v>
      </c>
      <c r="K8" s="6">
        <f t="shared" si="1"/>
        <v>2.8553925602421222</v>
      </c>
      <c r="L8" s="6">
        <f t="shared" si="1"/>
        <v>4.0494999941584933</v>
      </c>
      <c r="M8" s="6">
        <f t="shared" si="1"/>
        <v>3.5199375042709375</v>
      </c>
      <c r="N8" s="6">
        <f t="shared" si="1"/>
        <v>2.8553516762480791</v>
      </c>
      <c r="O8" s="6">
        <f t="shared" si="1"/>
        <v>2.8553925602421222</v>
      </c>
    </row>
    <row r="9" spans="1:15" x14ac:dyDescent="0.25">
      <c r="A9" s="5"/>
      <c r="B9" s="6"/>
      <c r="C9" s="6"/>
      <c r="D9" s="6"/>
      <c r="E9" s="6"/>
      <c r="F9" s="6"/>
      <c r="G9" s="11"/>
      <c r="H9" s="17"/>
    </row>
    <row r="10" spans="1:15" x14ac:dyDescent="0.25">
      <c r="A10" s="12"/>
      <c r="B10" s="13" t="s">
        <v>13</v>
      </c>
      <c r="C10" s="13" t="s">
        <v>14</v>
      </c>
      <c r="D10" s="18" t="s">
        <v>34</v>
      </c>
      <c r="E10" s="6"/>
      <c r="F10" s="6"/>
      <c r="G10" s="11"/>
      <c r="H10" s="17"/>
      <c r="I10" t="s">
        <v>43</v>
      </c>
      <c r="J10" s="24">
        <v>1E-3</v>
      </c>
      <c r="K10" s="27" t="s">
        <v>46</v>
      </c>
      <c r="L10" s="27" t="s">
        <v>48</v>
      </c>
      <c r="M10" s="27" t="s">
        <v>48</v>
      </c>
    </row>
    <row r="11" spans="1:15" x14ac:dyDescent="0.25">
      <c r="A11" s="12" t="s">
        <v>15</v>
      </c>
      <c r="B11" s="13">
        <v>2.83412</v>
      </c>
      <c r="C11" s="13">
        <v>4.0419200000000002</v>
      </c>
      <c r="D11" s="18">
        <v>3.5223200000000001</v>
      </c>
      <c r="E11" s="6"/>
      <c r="F11" s="6"/>
      <c r="G11" s="11"/>
      <c r="H11" s="17"/>
      <c r="I11" t="s">
        <v>7</v>
      </c>
      <c r="J11">
        <v>-8249.5236999999997</v>
      </c>
      <c r="K11">
        <v>-8246.7253999999994</v>
      </c>
      <c r="L11">
        <v>-13444.123</v>
      </c>
      <c r="M11">
        <v>-17801.414000000001</v>
      </c>
      <c r="N11">
        <v>-11144.342000000001</v>
      </c>
      <c r="O11">
        <v>-9850.8616999999995</v>
      </c>
    </row>
    <row r="12" spans="1:15" x14ac:dyDescent="0.25">
      <c r="A12" s="12" t="s">
        <v>16</v>
      </c>
      <c r="B12" s="13">
        <f>B11/1</f>
        <v>2.83412</v>
      </c>
      <c r="C12" s="13">
        <f>C11/1</f>
        <v>4.0419200000000002</v>
      </c>
      <c r="D12" s="18">
        <f>D11/1</f>
        <v>3.5223200000000001</v>
      </c>
      <c r="E12" s="6"/>
      <c r="F12" s="6"/>
      <c r="G12" s="11"/>
      <c r="H12" s="17"/>
      <c r="I12" t="s">
        <v>40</v>
      </c>
      <c r="J12">
        <f>J11/2000</f>
        <v>-4.1247618499999996</v>
      </c>
      <c r="K12">
        <f>K11/4000</f>
        <v>-2.0616813499999997</v>
      </c>
      <c r="L12">
        <f>L11/4000</f>
        <v>-3.3610307499999998</v>
      </c>
      <c r="M12">
        <f>M11/4000</f>
        <v>-4.4503535000000003</v>
      </c>
      <c r="N12">
        <f>N11/2000</f>
        <v>-5.572171</v>
      </c>
      <c r="O12">
        <f>O11/2000</f>
        <v>-4.9254308499999997</v>
      </c>
    </row>
    <row r="13" spans="1:15" x14ac:dyDescent="0.25">
      <c r="A13" s="12" t="s">
        <v>7</v>
      </c>
      <c r="B13" s="14">
        <v>-16.616845000000001</v>
      </c>
      <c r="C13" s="13">
        <v>-14.971221</v>
      </c>
      <c r="D13" s="18">
        <v>-22.273644999999998</v>
      </c>
      <c r="E13" s="6"/>
      <c r="F13" s="6"/>
      <c r="G13" s="11"/>
      <c r="H13" s="17"/>
      <c r="I13" t="s">
        <v>11</v>
      </c>
      <c r="J13">
        <f>J11-1999*$B$4-$C$4</f>
        <v>-5.3140878690907272</v>
      </c>
      <c r="K13">
        <f>K11-1999*$B$4-$D$4</f>
        <v>-1.4257878690903452</v>
      </c>
      <c r="L13">
        <f>L11-3999*$C$4-$B$4</f>
        <v>-3.3605139509101747</v>
      </c>
      <c r="M13">
        <f>M11-3999*$D$4-$B$4</f>
        <v>-1.741513950911397</v>
      </c>
      <c r="N13">
        <f>N11-1000*$B$4-1000*$C$4</f>
        <v>-3661.8559509100005</v>
      </c>
      <c r="O13">
        <f>O11-1000*$B$4-1000*$D$4</f>
        <v>-1278.3756509099994</v>
      </c>
    </row>
    <row r="14" spans="1:15" x14ac:dyDescent="0.25">
      <c r="A14" s="12" t="s">
        <v>8</v>
      </c>
      <c r="B14" s="13">
        <f>B13/2</f>
        <v>-8.3084225000000007</v>
      </c>
      <c r="C14" s="13">
        <f>C13/4</f>
        <v>-3.74280525</v>
      </c>
      <c r="D14" s="18">
        <f>D13/4</f>
        <v>-5.5684112499999996</v>
      </c>
      <c r="E14" s="6"/>
      <c r="F14" s="6"/>
      <c r="G14" s="11"/>
      <c r="H14" s="17"/>
      <c r="N14">
        <f>N13/2000</f>
        <v>-1.8309279754550003</v>
      </c>
      <c r="O14">
        <f>O13/2000</f>
        <v>-0.63918782545499975</v>
      </c>
    </row>
    <row r="15" spans="1:15" x14ac:dyDescent="0.25">
      <c r="A15" s="5"/>
      <c r="B15" s="6"/>
      <c r="C15" s="6"/>
      <c r="D15" s="6"/>
      <c r="E15" s="6"/>
      <c r="F15" s="6"/>
      <c r="G15" s="11"/>
      <c r="H15" s="17"/>
      <c r="I15" t="s">
        <v>9</v>
      </c>
      <c r="J15">
        <v>23280.776999999998</v>
      </c>
      <c r="N15">
        <v>24704.045999999998</v>
      </c>
      <c r="O15">
        <v>23520.046999999999</v>
      </c>
    </row>
    <row r="16" spans="1:15" x14ac:dyDescent="0.25">
      <c r="A16" s="15"/>
      <c r="B16" s="6" t="s">
        <v>17</v>
      </c>
      <c r="C16" s="6" t="s">
        <v>18</v>
      </c>
      <c r="D16" s="6" t="s">
        <v>19</v>
      </c>
      <c r="E16" s="6" t="s">
        <v>20</v>
      </c>
      <c r="F16" s="6" t="s">
        <v>21</v>
      </c>
      <c r="G16" s="25" t="s">
        <v>35</v>
      </c>
      <c r="H16" s="13"/>
      <c r="I16" t="s">
        <v>10</v>
      </c>
      <c r="J16" s="6">
        <f t="shared" ref="J16:O16" si="2">(J15^(1/3))/10</f>
        <v>2.8553925602421222</v>
      </c>
      <c r="K16" s="6">
        <f t="shared" si="2"/>
        <v>0</v>
      </c>
      <c r="L16" s="6">
        <f t="shared" si="2"/>
        <v>0</v>
      </c>
      <c r="M16" s="6">
        <f t="shared" si="2"/>
        <v>0</v>
      </c>
      <c r="N16" s="6">
        <f t="shared" si="2"/>
        <v>2.9124335755755992</v>
      </c>
      <c r="O16" s="6">
        <f t="shared" si="2"/>
        <v>2.8651414111301774</v>
      </c>
    </row>
    <row r="17" spans="1:15" x14ac:dyDescent="0.25">
      <c r="A17" s="15" t="s">
        <v>22</v>
      </c>
      <c r="B17" s="6">
        <v>8.6255535000000005</v>
      </c>
      <c r="C17" s="6"/>
      <c r="D17" s="6"/>
      <c r="E17" s="6"/>
      <c r="F17" s="6"/>
      <c r="G17" s="25">
        <v>2.77799</v>
      </c>
      <c r="H17" s="13"/>
    </row>
    <row r="18" spans="1:15" x14ac:dyDescent="0.25">
      <c r="A18" s="15" t="s">
        <v>10</v>
      </c>
      <c r="B18" s="6">
        <v>2.8751845</v>
      </c>
      <c r="C18" s="6"/>
      <c r="D18" s="6"/>
      <c r="E18" s="6"/>
      <c r="F18" s="6"/>
      <c r="G18" s="25">
        <v>2.77799</v>
      </c>
      <c r="H18" s="13"/>
      <c r="I18" t="s">
        <v>43</v>
      </c>
      <c r="J18" s="24">
        <v>2E-3</v>
      </c>
      <c r="K18" s="27" t="s">
        <v>47</v>
      </c>
      <c r="L18" s="27" t="s">
        <v>48</v>
      </c>
      <c r="M18" s="27" t="s">
        <v>48</v>
      </c>
    </row>
    <row r="19" spans="1:15" x14ac:dyDescent="0.25">
      <c r="A19" s="15" t="s">
        <v>7</v>
      </c>
      <c r="B19" s="6">
        <v>-343.40501</v>
      </c>
      <c r="C19" s="6">
        <v>-334.34195</v>
      </c>
      <c r="D19" s="6">
        <v>-337.30043999999998</v>
      </c>
      <c r="E19" s="6">
        <v>-347.27895000000001</v>
      </c>
      <c r="F19" s="6">
        <v>-338.32251000000002</v>
      </c>
      <c r="G19" s="7">
        <v>-13.125344999999999</v>
      </c>
      <c r="H19" s="6"/>
      <c r="I19" t="s">
        <v>7</v>
      </c>
      <c r="J19">
        <v>-8246.9812000000002</v>
      </c>
      <c r="K19">
        <v>-8244.1993000000002</v>
      </c>
      <c r="L19">
        <v>-13442.074000000001</v>
      </c>
      <c r="M19">
        <v>-17799.225999999999</v>
      </c>
      <c r="N19">
        <v>-9625.6031999999996</v>
      </c>
      <c r="O19">
        <v>-8319.8997999999992</v>
      </c>
    </row>
    <row r="20" spans="1:15" x14ac:dyDescent="0.25">
      <c r="A20" s="15" t="s">
        <v>8</v>
      </c>
      <c r="B20" s="6">
        <v>-6.3593520370370369</v>
      </c>
      <c r="C20" s="6">
        <v>-6.3083386792452831</v>
      </c>
      <c r="D20" s="6">
        <v>-6.3641592452830187</v>
      </c>
      <c r="E20" s="6">
        <v>-6.4310916666666671</v>
      </c>
      <c r="F20" s="6">
        <v>-6.2652316666666668</v>
      </c>
      <c r="G20" s="25">
        <v>-6.5626724999999997</v>
      </c>
      <c r="H20" s="13"/>
      <c r="I20" t="s">
        <v>40</v>
      </c>
      <c r="J20">
        <f>J19/2000</f>
        <v>-4.1234906000000002</v>
      </c>
      <c r="K20">
        <f>K19/4000</f>
        <v>-2.061049825</v>
      </c>
      <c r="L20">
        <f>L19/4000</f>
        <v>-3.3605185</v>
      </c>
      <c r="M20">
        <f>M19/4000</f>
        <v>-4.4498064999999993</v>
      </c>
      <c r="N20">
        <f>N19/2000</f>
        <v>-4.8128015999999993</v>
      </c>
      <c r="O20">
        <f>O19/2000</f>
        <v>-4.1599499</v>
      </c>
    </row>
    <row r="21" spans="1:15" x14ac:dyDescent="0.25">
      <c r="A21" s="15" t="s">
        <v>11</v>
      </c>
      <c r="B21" s="6">
        <f>B19-27*$B14-27*$C14</f>
        <v>-18.021860749999988</v>
      </c>
      <c r="C21" s="6">
        <f>C19-26*$B14-27*$C14</f>
        <v>-17.267223249999986</v>
      </c>
      <c r="D21" s="6">
        <f>D19-27*$B14-26*$C14</f>
        <v>-15.660095999999953</v>
      </c>
      <c r="E21" s="6">
        <f>E19-28*$B14-26*$C14</f>
        <v>-17.330183499999976</v>
      </c>
      <c r="F21" s="6">
        <f>F19-26*$B14-28*$C14</f>
        <v>-17.504978000000008</v>
      </c>
      <c r="G21" s="25">
        <v>0.75148875000000093</v>
      </c>
      <c r="H21" s="13"/>
      <c r="I21" t="s">
        <v>11</v>
      </c>
      <c r="J21">
        <f>J19-1999*$B$4-$C$4</f>
        <v>-2.7715878690911633</v>
      </c>
      <c r="K21">
        <f>K19-1999*$B$4-$D$4</f>
        <v>1.1003121309087875</v>
      </c>
      <c r="L21">
        <f>L19-3999*$C$4-$B$4</f>
        <v>-1.311513950911106</v>
      </c>
      <c r="M21">
        <f>M19-3999*$D$4-$B$4</f>
        <v>0.44648604909052381</v>
      </c>
      <c r="N21">
        <f>N19-1000*$B$4-1000*$C$4</f>
        <v>-2143.1171509099995</v>
      </c>
      <c r="O21">
        <f>O19-1000*$B$4-1000*$D$4</f>
        <v>252.58624909000082</v>
      </c>
    </row>
    <row r="22" spans="1:15" x14ac:dyDescent="0.25">
      <c r="A22" s="15" t="s">
        <v>23</v>
      </c>
      <c r="B22" s="16">
        <f>B21/54</f>
        <v>-0.33373816203703682</v>
      </c>
      <c r="C22" s="6">
        <f>C21/53</f>
        <v>-0.32579666509433935</v>
      </c>
      <c r="D22" s="6">
        <f>D21/53</f>
        <v>-0.29547350943396139</v>
      </c>
      <c r="E22" s="6">
        <f>E21/54</f>
        <v>-0.3209293240740736</v>
      </c>
      <c r="F22" s="6">
        <f>F21/54</f>
        <v>-0.3241662592592594</v>
      </c>
      <c r="G22" s="26">
        <v>0.37574437500000046</v>
      </c>
      <c r="H22" s="19"/>
      <c r="N22">
        <f>N21/2000</f>
        <v>-1.0715585754549997</v>
      </c>
      <c r="O22">
        <f>O21/2000</f>
        <v>0.12629312454500041</v>
      </c>
    </row>
    <row r="23" spans="1:15" x14ac:dyDescent="0.25">
      <c r="A23" s="15"/>
      <c r="B23" s="6">
        <v>19.229900000000001</v>
      </c>
      <c r="C23" s="6"/>
      <c r="D23" s="6"/>
      <c r="E23" s="6"/>
      <c r="F23" s="6"/>
      <c r="G23" s="7"/>
      <c r="H23" s="6"/>
      <c r="I23" t="s">
        <v>9</v>
      </c>
      <c r="N23">
        <v>24862.732</v>
      </c>
      <c r="O23">
        <v>25056.417000000001</v>
      </c>
    </row>
    <row r="24" spans="1:15" x14ac:dyDescent="0.25">
      <c r="A24" s="15"/>
      <c r="B24" s="6">
        <f>B23/54</f>
        <v>0.35610925925925929</v>
      </c>
      <c r="C24" s="6"/>
      <c r="D24" s="6"/>
      <c r="E24" s="6"/>
      <c r="F24" s="6"/>
      <c r="G24" s="7"/>
      <c r="H24" s="6"/>
      <c r="I24" t="s">
        <v>10</v>
      </c>
      <c r="J24" s="6">
        <f t="shared" ref="J24:O24" si="3">(J23^(1/3))/10</f>
        <v>0</v>
      </c>
      <c r="K24" s="6">
        <f t="shared" si="3"/>
        <v>0</v>
      </c>
      <c r="L24" s="6">
        <f t="shared" si="3"/>
        <v>0</v>
      </c>
      <c r="M24" s="6">
        <f t="shared" si="3"/>
        <v>0</v>
      </c>
      <c r="N24" s="6">
        <f t="shared" si="3"/>
        <v>2.9186562591881464</v>
      </c>
      <c r="O24" s="6">
        <f t="shared" si="3"/>
        <v>2.9262156098598626</v>
      </c>
    </row>
    <row r="25" spans="1:15" x14ac:dyDescent="0.25">
      <c r="A25" s="15" t="s">
        <v>24</v>
      </c>
      <c r="B25" s="6"/>
      <c r="C25" s="6">
        <f>53*(C22-B22)</f>
        <v>0.4208993379629658</v>
      </c>
      <c r="D25" s="6">
        <f>53*(D22-B22)</f>
        <v>2.028026587962998</v>
      </c>
      <c r="E25" s="6">
        <f>54*(E22-B22)</f>
        <v>0.69167725000001423</v>
      </c>
      <c r="F25" s="6">
        <f>54*(F22-B22)</f>
        <v>0.51688274999998063</v>
      </c>
      <c r="G25" s="7"/>
      <c r="H25" s="6"/>
    </row>
    <row r="26" spans="1:15" x14ac:dyDescent="0.25">
      <c r="A26" s="15"/>
      <c r="B26" s="17"/>
      <c r="C26" s="17"/>
      <c r="D26" s="17"/>
      <c r="E26" s="17"/>
      <c r="F26" s="17"/>
      <c r="G26" s="11"/>
      <c r="H26" s="17"/>
      <c r="I26" t="s">
        <v>43</v>
      </c>
      <c r="J26" s="24">
        <v>3.0000000000000001E-3</v>
      </c>
      <c r="K26" s="27" t="s">
        <v>95</v>
      </c>
      <c r="L26" s="27" t="s">
        <v>48</v>
      </c>
      <c r="M26" s="27" t="s">
        <v>48</v>
      </c>
    </row>
    <row r="27" spans="1:15" x14ac:dyDescent="0.25">
      <c r="A27" s="15"/>
      <c r="B27" s="18" t="s">
        <v>25</v>
      </c>
      <c r="C27" s="17" t="s">
        <v>26</v>
      </c>
      <c r="D27" s="17" t="s">
        <v>27</v>
      </c>
      <c r="E27" s="17" t="s">
        <v>28</v>
      </c>
      <c r="F27" s="18" t="s">
        <v>44</v>
      </c>
      <c r="G27" s="11"/>
      <c r="H27" s="17"/>
      <c r="I27" t="s">
        <v>7</v>
      </c>
      <c r="J27">
        <v>-8243.5013999999992</v>
      </c>
      <c r="K27">
        <v>-8239.8948</v>
      </c>
      <c r="N27">
        <v>-7604.0135</v>
      </c>
      <c r="O27">
        <v>-6943.1908000000003</v>
      </c>
    </row>
    <row r="28" spans="1:15" x14ac:dyDescent="0.25">
      <c r="A28" s="15" t="s">
        <v>7</v>
      </c>
      <c r="B28" s="18">
        <v>-448.79115000000002</v>
      </c>
      <c r="C28" s="13">
        <v>-438.3279</v>
      </c>
      <c r="D28" s="13">
        <v>-444.96310999999997</v>
      </c>
      <c r="E28" s="13">
        <v>-434.81428</v>
      </c>
      <c r="F28" s="18">
        <v>-445.96480000000003</v>
      </c>
      <c r="G28" s="11"/>
      <c r="H28" s="17"/>
      <c r="I28" t="s">
        <v>40</v>
      </c>
      <c r="J28">
        <f>J27/2000</f>
        <v>-4.1217506999999998</v>
      </c>
      <c r="K28">
        <f>K27/4000</f>
        <v>-2.0599737</v>
      </c>
      <c r="L28">
        <f>L27/4000</f>
        <v>0</v>
      </c>
      <c r="M28">
        <f>M27/4000</f>
        <v>0</v>
      </c>
      <c r="N28">
        <f>N27/2000</f>
        <v>-3.8020067499999999</v>
      </c>
      <c r="O28">
        <f>O27/2000</f>
        <v>-3.4715954</v>
      </c>
    </row>
    <row r="29" spans="1:15" x14ac:dyDescent="0.25">
      <c r="A29" s="15" t="s">
        <v>8</v>
      </c>
      <c r="B29" s="18">
        <f>B28/54</f>
        <v>-8.3109472222222234</v>
      </c>
      <c r="C29" s="13">
        <v>-8.270337735849056</v>
      </c>
      <c r="D29" s="13">
        <v>-8.2400575925925921</v>
      </c>
      <c r="E29" s="13">
        <v>-8.2040430188679245</v>
      </c>
      <c r="F29" s="18">
        <f>F28/54</f>
        <v>-8.2586074074074087</v>
      </c>
      <c r="G29" s="11"/>
      <c r="H29" s="17"/>
      <c r="I29" t="s">
        <v>11</v>
      </c>
      <c r="J29">
        <f>J27-1999*$B$4-$C$4</f>
        <v>0.70821213090981461</v>
      </c>
      <c r="K29">
        <f>K27-1999*$B$4-$D$4</f>
        <v>5.4048121309089767</v>
      </c>
      <c r="L29">
        <f>L27-3999*$C$4-$B$4</f>
        <v>13440.762486049089</v>
      </c>
      <c r="M29">
        <f>M27-3999*$D$4-$B$4</f>
        <v>17799.67248604909</v>
      </c>
      <c r="N29">
        <f>N27-1000*$B$4-1000*$C$4</f>
        <v>-121.52745090999997</v>
      </c>
      <c r="O29">
        <f>O27-1000*$B$4-1000*$D$4</f>
        <v>1629.2952490899997</v>
      </c>
    </row>
    <row r="30" spans="1:15" x14ac:dyDescent="0.25">
      <c r="A30" s="15" t="s">
        <v>11</v>
      </c>
      <c r="B30" s="18"/>
      <c r="C30" s="13">
        <f>C28-53*B29</f>
        <v>2.1523027777778339</v>
      </c>
      <c r="D30" s="19">
        <f>D28-53*B29-C14</f>
        <v>-0.74010197222213847</v>
      </c>
      <c r="E30" s="13">
        <f>E28-52*B29-B35</f>
        <v>1.0962486805555978</v>
      </c>
      <c r="F30" s="19">
        <f>F28-53*B29-D14</f>
        <v>8.3814027777807887E-2</v>
      </c>
      <c r="G30" s="11"/>
      <c r="H30" s="17"/>
      <c r="N30">
        <f>N29/2000</f>
        <v>-6.0763725454999987E-2</v>
      </c>
      <c r="O30">
        <f>O29/2000</f>
        <v>0.81464762454499984</v>
      </c>
    </row>
    <row r="31" spans="1:15" x14ac:dyDescent="0.25">
      <c r="A31" s="17" t="s">
        <v>29</v>
      </c>
      <c r="B31" s="18"/>
      <c r="C31" s="17"/>
      <c r="D31" s="17"/>
      <c r="E31" s="13">
        <f>E30-C30-D30</f>
        <v>-0.31595212500009762</v>
      </c>
      <c r="F31" s="13"/>
      <c r="G31" s="11"/>
      <c r="H31" s="17"/>
      <c r="I31" t="s">
        <v>9</v>
      </c>
      <c r="N31">
        <v>27879.627</v>
      </c>
      <c r="O31">
        <v>28185.882000000001</v>
      </c>
    </row>
    <row r="32" spans="1:15" x14ac:dyDescent="0.25">
      <c r="G32" s="11"/>
      <c r="H32" s="17"/>
      <c r="I32" t="s">
        <v>10</v>
      </c>
      <c r="J32" s="6">
        <f t="shared" ref="J32:O32" si="4">(J31^(1/3))/10</f>
        <v>0</v>
      </c>
      <c r="K32" s="6">
        <f t="shared" si="4"/>
        <v>0</v>
      </c>
      <c r="L32" s="6">
        <f t="shared" si="4"/>
        <v>0</v>
      </c>
      <c r="M32" s="6">
        <f t="shared" si="4"/>
        <v>0</v>
      </c>
      <c r="N32" s="6">
        <f t="shared" si="4"/>
        <v>3.0322312530875508</v>
      </c>
      <c r="O32" s="6">
        <f t="shared" si="4"/>
        <v>3.0432937666748985</v>
      </c>
    </row>
    <row r="33" spans="1:15" x14ac:dyDescent="0.25">
      <c r="B33" t="s">
        <v>30</v>
      </c>
      <c r="C33" s="17" t="s">
        <v>31</v>
      </c>
      <c r="D33" s="17" t="s">
        <v>32</v>
      </c>
      <c r="E33" s="36" t="s">
        <v>109</v>
      </c>
      <c r="F33" s="36" t="s">
        <v>110</v>
      </c>
      <c r="G33" s="11"/>
      <c r="H33" s="17"/>
    </row>
    <row r="34" spans="1:15" x14ac:dyDescent="0.25">
      <c r="A34" t="s">
        <v>7</v>
      </c>
      <c r="B34" s="18">
        <v>-119.72074000000001</v>
      </c>
      <c r="C34" s="13">
        <v>-115.34016</v>
      </c>
      <c r="D34" s="13">
        <v>-124.72243</v>
      </c>
      <c r="E34" s="18">
        <v>-178.08833000000001</v>
      </c>
      <c r="F34">
        <v>-180.09155999999999</v>
      </c>
      <c r="G34" s="11"/>
      <c r="H34" s="17"/>
      <c r="I34" t="s">
        <v>43</v>
      </c>
      <c r="J34" s="24">
        <v>2.5000000000000001E-3</v>
      </c>
      <c r="K34" s="27" t="s">
        <v>96</v>
      </c>
      <c r="L34" s="27" t="s">
        <v>48</v>
      </c>
      <c r="M34" s="27" t="s">
        <v>48</v>
      </c>
    </row>
    <row r="35" spans="1:15" x14ac:dyDescent="0.25">
      <c r="A35" t="s">
        <v>8</v>
      </c>
      <c r="B35" s="18">
        <f>B34/32</f>
        <v>-3.7412731250000002</v>
      </c>
      <c r="C35" s="13">
        <v>-3.7206503225806449</v>
      </c>
      <c r="D35" s="13">
        <v>-3.8975759375000001</v>
      </c>
      <c r="E35" s="18">
        <f>E34/32</f>
        <v>-5.5652603125000004</v>
      </c>
      <c r="F35">
        <v>-5.6278612499999996</v>
      </c>
      <c r="G35" s="11"/>
      <c r="H35" s="17"/>
      <c r="I35" t="s">
        <v>7</v>
      </c>
      <c r="J35">
        <v>-8246.3248000000003</v>
      </c>
      <c r="K35">
        <v>-8242.0424000000003</v>
      </c>
      <c r="L35">
        <v>-13441.628000000001</v>
      </c>
      <c r="M35">
        <v>-17798.579000000002</v>
      </c>
      <c r="N35">
        <v>-9226.5576999999994</v>
      </c>
      <c r="O35">
        <v>-7659.5727999999999</v>
      </c>
    </row>
    <row r="36" spans="1:15" x14ac:dyDescent="0.25">
      <c r="A36" s="20" t="s">
        <v>11</v>
      </c>
      <c r="B36" s="20"/>
      <c r="C36" s="21">
        <f>C34-31*B35</f>
        <v>0.63930687500000261</v>
      </c>
      <c r="D36" s="22">
        <f>D34-31*B35-B29</f>
        <v>-0.43201590277777946</v>
      </c>
      <c r="E36" s="20"/>
      <c r="F36" s="37">
        <v>0.74245690972226264</v>
      </c>
      <c r="G36" s="23"/>
      <c r="H36" s="17"/>
      <c r="I36" t="s">
        <v>40</v>
      </c>
      <c r="J36">
        <f>J35/2000</f>
        <v>-4.1231624</v>
      </c>
      <c r="K36">
        <f>K35/4000</f>
        <v>-2.0605106000000002</v>
      </c>
      <c r="L36">
        <f>L35/4000</f>
        <v>-3.3604070000000004</v>
      </c>
      <c r="M36">
        <f>M35/4000</f>
        <v>-4.44964475</v>
      </c>
      <c r="N36">
        <f>N35/2000</f>
        <v>-4.6132788499999995</v>
      </c>
      <c r="O36">
        <f>O35/2000</f>
        <v>-3.8297864000000001</v>
      </c>
    </row>
    <row r="37" spans="1:15" x14ac:dyDescent="0.25">
      <c r="I37" t="s">
        <v>11</v>
      </c>
      <c r="J37">
        <f>J35-1999*$B$4-$C$4</f>
        <v>-2.1151878690913146</v>
      </c>
      <c r="K37">
        <f>K35-1999*$B$4-$D$4</f>
        <v>3.2572121309087381</v>
      </c>
      <c r="L37">
        <f>L35-3999*$C$4-$B$4</f>
        <v>-0.86551395091119332</v>
      </c>
      <c r="M37">
        <f>M35-3999*$D$4-$B$4</f>
        <v>1.0934860490877298</v>
      </c>
      <c r="N37">
        <f>N35-1000*$B$4-1000*$C$4</f>
        <v>-1744.0716509099993</v>
      </c>
      <c r="O37">
        <f>O35-1000*$B$4-1000*$D$4</f>
        <v>912.91324909000014</v>
      </c>
    </row>
    <row r="38" spans="1:15" x14ac:dyDescent="0.25">
      <c r="N38">
        <f>N37/2000</f>
        <v>-0.87203582545499969</v>
      </c>
      <c r="O38">
        <f>O37/2000</f>
        <v>0.45645662454500008</v>
      </c>
    </row>
    <row r="39" spans="1:15" x14ac:dyDescent="0.25">
      <c r="I39" t="s">
        <v>9</v>
      </c>
      <c r="N39">
        <v>25600.239000000001</v>
      </c>
      <c r="O39">
        <v>26612.645</v>
      </c>
    </row>
    <row r="40" spans="1:15" x14ac:dyDescent="0.25">
      <c r="I40" t="s">
        <v>10</v>
      </c>
      <c r="J40" s="6">
        <f t="shared" ref="J40:O40" si="5">(J39^(1/3))/10</f>
        <v>0</v>
      </c>
      <c r="K40" s="6">
        <f t="shared" si="5"/>
        <v>0</v>
      </c>
      <c r="L40" s="6">
        <f t="shared" si="5"/>
        <v>0</v>
      </c>
      <c r="M40" s="6">
        <f t="shared" si="5"/>
        <v>0</v>
      </c>
      <c r="N40" s="6">
        <f t="shared" si="5"/>
        <v>2.9472343705871853</v>
      </c>
      <c r="O40" s="6">
        <f t="shared" si="5"/>
        <v>2.985584359238417</v>
      </c>
    </row>
    <row r="42" spans="1:15" x14ac:dyDescent="0.25">
      <c r="I42" t="s">
        <v>43</v>
      </c>
      <c r="J42" s="24">
        <v>2E-3</v>
      </c>
      <c r="K42" s="27" t="s">
        <v>169</v>
      </c>
      <c r="L42" s="27" t="s">
        <v>170</v>
      </c>
      <c r="M42" s="27" t="s">
        <v>170</v>
      </c>
    </row>
    <row r="43" spans="1:15" x14ac:dyDescent="0.25">
      <c r="I43" t="s">
        <v>7</v>
      </c>
      <c r="J43">
        <v>-8245.1201999999994</v>
      </c>
      <c r="K43">
        <v>-8242.3374000000003</v>
      </c>
      <c r="L43">
        <v>-13440.731</v>
      </c>
      <c r="M43">
        <v>-17797.269</v>
      </c>
      <c r="N43">
        <v>-8348.4935000000005</v>
      </c>
      <c r="O43">
        <v>-6998.2242999999999</v>
      </c>
    </row>
    <row r="44" spans="1:15" x14ac:dyDescent="0.25">
      <c r="I44" t="s">
        <v>40</v>
      </c>
      <c r="J44">
        <f>J43/2000</f>
        <v>-4.1225600999999994</v>
      </c>
      <c r="K44">
        <f>K43/4000</f>
        <v>-2.0605843500000001</v>
      </c>
      <c r="L44">
        <f>L43/4000</f>
        <v>-3.3601827499999999</v>
      </c>
      <c r="M44">
        <f>M43/4000</f>
        <v>-4.44931725</v>
      </c>
      <c r="N44">
        <f>N43/2000</f>
        <v>-4.17424675</v>
      </c>
      <c r="O44">
        <f>O43/2000</f>
        <v>-3.4991121499999998</v>
      </c>
    </row>
    <row r="45" spans="1:15" x14ac:dyDescent="0.25">
      <c r="I45" t="s">
        <v>11</v>
      </c>
      <c r="J45">
        <f>J43-1999*$B$4-$C$4</f>
        <v>-0.91058786909037748</v>
      </c>
      <c r="K45">
        <f>K43-1999*$B$4-$D$4</f>
        <v>2.9622121309086653</v>
      </c>
      <c r="L45">
        <f>L43-3999*$C$4-$B$4</f>
        <v>3.1486049089650692E-2</v>
      </c>
      <c r="M45">
        <f>M43-3999*$D$4-$B$4</f>
        <v>2.4034860490890395</v>
      </c>
      <c r="N45">
        <f>N43-1000*$B$4-1000*$C$4</f>
        <v>-866.00745091000044</v>
      </c>
      <c r="O45">
        <f>O43-1000*$B$4-1000*$D$4</f>
        <v>1574.2617490900002</v>
      </c>
    </row>
    <row r="46" spans="1:15" x14ac:dyDescent="0.25">
      <c r="N46">
        <f>N45/2000</f>
        <v>-0.43300372545500021</v>
      </c>
      <c r="O46">
        <f>O45/2000</f>
        <v>0.78713087454500008</v>
      </c>
    </row>
    <row r="47" spans="1:15" x14ac:dyDescent="0.25">
      <c r="I47" t="s">
        <v>9</v>
      </c>
      <c r="N47">
        <v>22984.957999999999</v>
      </c>
      <c r="O47">
        <v>23873.273000000001</v>
      </c>
    </row>
    <row r="48" spans="1:15" x14ac:dyDescent="0.25">
      <c r="I48" t="s">
        <v>10</v>
      </c>
      <c r="J48" s="6">
        <f t="shared" ref="J48:O48" si="6">(J47^(1/3))/10</f>
        <v>0</v>
      </c>
      <c r="K48" s="6">
        <f t="shared" si="6"/>
        <v>0</v>
      </c>
      <c r="L48" s="6">
        <f t="shared" si="6"/>
        <v>0</v>
      </c>
      <c r="M48" s="6">
        <f t="shared" si="6"/>
        <v>0</v>
      </c>
      <c r="N48" s="6">
        <f t="shared" si="6"/>
        <v>2.8432468816488963</v>
      </c>
      <c r="O48" s="6">
        <f t="shared" si="6"/>
        <v>2.8794131793718263</v>
      </c>
    </row>
    <row r="49" spans="9:16" x14ac:dyDescent="0.25">
      <c r="I49" t="s">
        <v>131</v>
      </c>
      <c r="J49">
        <f>ABS(J45-$D$30)</f>
        <v>0.17048589686823901</v>
      </c>
      <c r="K49">
        <f>ABS(K45-$F$30)</f>
        <v>2.8783981031308574</v>
      </c>
      <c r="L49">
        <f>ABS(L45-$D$36)</f>
        <v>0.46350195186743015</v>
      </c>
      <c r="M49">
        <f>ABS(M45-$F$36)</f>
        <v>1.6610291393667769</v>
      </c>
      <c r="N49">
        <f>ABS(N46-$B$22)</f>
        <v>9.9265563417963387E-2</v>
      </c>
      <c r="O49">
        <f>ABS(O46-$G$22)</f>
        <v>0.41138649954499962</v>
      </c>
      <c r="P49">
        <f>0.35*N49+0.35*N50+0.15*J49+0.15*L49</f>
        <v>0.14101929092952387</v>
      </c>
    </row>
    <row r="50" spans="9:16" x14ac:dyDescent="0.25">
      <c r="N50">
        <f>ABS(N48-$B$18)</f>
        <v>3.1937618351103758E-2</v>
      </c>
      <c r="O50">
        <f>ABS(O48-$G$18)</f>
        <v>0.10142317937182632</v>
      </c>
      <c r="P50">
        <f>0.35*O49+0.35*O50+0.15*J49+0.15*L49</f>
        <v>0.27458156493123942</v>
      </c>
    </row>
    <row r="51" spans="9:16" x14ac:dyDescent="0.25">
      <c r="I51" t="s">
        <v>43</v>
      </c>
      <c r="J51" s="24">
        <v>2.5000000000000001E-3</v>
      </c>
      <c r="K51" s="27" t="s">
        <v>171</v>
      </c>
      <c r="L51" s="27" t="s">
        <v>170</v>
      </c>
      <c r="M51" s="27" t="s">
        <v>170</v>
      </c>
    </row>
    <row r="52" spans="9:16" x14ac:dyDescent="0.25">
      <c r="I52" t="s">
        <v>7</v>
      </c>
      <c r="J52">
        <v>-8244.4637112100008</v>
      </c>
      <c r="K52">
        <v>-8240.3852230800003</v>
      </c>
      <c r="L52">
        <v>-13440.2850428</v>
      </c>
      <c r="M52">
        <v>-17796.621852600001</v>
      </c>
      <c r="N52">
        <v>-7856.9572018099998</v>
      </c>
      <c r="O52">
        <v>-6266.4952178699996</v>
      </c>
    </row>
    <row r="53" spans="9:16" x14ac:dyDescent="0.25">
      <c r="I53" t="s">
        <v>40</v>
      </c>
      <c r="J53">
        <f>J52/2000</f>
        <v>-4.1222318556050004</v>
      </c>
      <c r="K53">
        <f>K52/4000</f>
        <v>-2.0600963057700001</v>
      </c>
      <c r="L53">
        <f>L52/4000</f>
        <v>-3.3600712606999998</v>
      </c>
      <c r="M53">
        <f>M52/4000</f>
        <v>-4.4491554631500003</v>
      </c>
      <c r="N53">
        <f>N52/2000</f>
        <v>-3.9284786009049997</v>
      </c>
      <c r="O53">
        <f>O52/2000</f>
        <v>-3.1332476089349997</v>
      </c>
    </row>
    <row r="54" spans="9:16" x14ac:dyDescent="0.25">
      <c r="I54" t="s">
        <v>11</v>
      </c>
      <c r="J54">
        <f>J52-1999*$B$4-$C$4</f>
        <v>-0.2540990790918296</v>
      </c>
      <c r="K54">
        <f>K52-1999*$B$4-$D$4</f>
        <v>4.9143890509087216</v>
      </c>
      <c r="L54">
        <f>L52-3999*$C$4-$B$4</f>
        <v>0.47744324908926217</v>
      </c>
      <c r="M54">
        <f>M52-3999*$D$4-$B$4</f>
        <v>3.0506334490881244</v>
      </c>
      <c r="N54">
        <f>N52-1000*$B$4-1000*$C$4</f>
        <v>-374.47115271999974</v>
      </c>
      <c r="O54">
        <f>O52-1000*$B$4-1000*$D$4</f>
        <v>2305.9908312200005</v>
      </c>
    </row>
    <row r="55" spans="9:16" x14ac:dyDescent="0.25">
      <c r="N55">
        <f>N54/2000</f>
        <v>-0.18723557635999988</v>
      </c>
      <c r="O55">
        <f>O54/2000</f>
        <v>1.1529954156100002</v>
      </c>
    </row>
    <row r="56" spans="9:16" x14ac:dyDescent="0.25">
      <c r="I56" t="s">
        <v>9</v>
      </c>
      <c r="N56">
        <v>24834.766</v>
      </c>
      <c r="O56">
        <v>26719.407999999999</v>
      </c>
    </row>
    <row r="57" spans="9:16" x14ac:dyDescent="0.25">
      <c r="I57" t="s">
        <v>10</v>
      </c>
      <c r="J57" s="6">
        <f t="shared" ref="J57:O57" si="7">(J56^(1/3))/10</f>
        <v>0</v>
      </c>
      <c r="K57" s="6">
        <f t="shared" si="7"/>
        <v>0</v>
      </c>
      <c r="L57" s="6">
        <f t="shared" si="7"/>
        <v>0</v>
      </c>
      <c r="M57" s="6">
        <f t="shared" si="7"/>
        <v>0</v>
      </c>
      <c r="N57" s="6">
        <f t="shared" si="7"/>
        <v>2.9175615314948256</v>
      </c>
      <c r="O57" s="6">
        <f t="shared" si="7"/>
        <v>2.9895714944662899</v>
      </c>
    </row>
    <row r="58" spans="9:16" x14ac:dyDescent="0.25">
      <c r="I58" t="s">
        <v>131</v>
      </c>
      <c r="J58">
        <f>ABS(J54-$D$30)</f>
        <v>0.48600289313030887</v>
      </c>
      <c r="K58">
        <f>ABS(K54-$F$30)</f>
        <v>4.8305750231309137</v>
      </c>
      <c r="L58">
        <f>ABS(L54-$D$36)</f>
        <v>0.90945915186704163</v>
      </c>
      <c r="M58">
        <f>ABS(M54-$F$36)</f>
        <v>2.3081765393658618</v>
      </c>
      <c r="N58">
        <f>ABS(N55-$B$22)</f>
        <v>0.14650258567703695</v>
      </c>
      <c r="O58">
        <f>ABS(O55-$G$22)</f>
        <v>0.77725104060999972</v>
      </c>
      <c r="P58">
        <f>0.35*N58+0.35*N59+0.15*J58+0.15*L58</f>
        <v>0.27542717275975442</v>
      </c>
    </row>
    <row r="59" spans="9:16" x14ac:dyDescent="0.25">
      <c r="N59">
        <f>ABS(N57-$B$18)</f>
        <v>4.2377031494825523E-2</v>
      </c>
      <c r="O59">
        <f>ABS(O57-$G$18)</f>
        <v>0.21158149446628993</v>
      </c>
      <c r="P59">
        <f>0.35*O58+0.35*O59+0.15*J58+0.15*L58</f>
        <v>0.55541069402630394</v>
      </c>
    </row>
    <row r="61" spans="9:16" x14ac:dyDescent="0.25">
      <c r="I61" t="s">
        <v>43</v>
      </c>
      <c r="J61" s="24">
        <v>1E-3</v>
      </c>
      <c r="K61" s="27" t="s">
        <v>172</v>
      </c>
      <c r="L61" s="27" t="s">
        <v>170</v>
      </c>
      <c r="M61" s="27" t="s">
        <v>170</v>
      </c>
    </row>
    <row r="62" spans="9:16" x14ac:dyDescent="0.25">
      <c r="I62" t="s">
        <v>7</v>
      </c>
      <c r="J62">
        <v>-8247.6627000000008</v>
      </c>
      <c r="K62">
        <v>-8244.8644999999997</v>
      </c>
      <c r="L62">
        <v>-13442.779</v>
      </c>
      <c r="M62">
        <v>-17799.456999999999</v>
      </c>
      <c r="N62">
        <v>-10070.486999999999</v>
      </c>
      <c r="O62">
        <v>-9340.0026999999991</v>
      </c>
    </row>
    <row r="63" spans="9:16" x14ac:dyDescent="0.25">
      <c r="I63" t="s">
        <v>40</v>
      </c>
      <c r="J63">
        <f>J62/2000</f>
        <v>-4.1238313500000006</v>
      </c>
      <c r="K63">
        <f>K62/4000</f>
        <v>-2.0612161250000001</v>
      </c>
      <c r="L63">
        <f>L62/4000</f>
        <v>-3.36069475</v>
      </c>
      <c r="M63">
        <f>M62/4000</f>
        <v>-4.4498642499999992</v>
      </c>
      <c r="N63">
        <f>N62/2000</f>
        <v>-5.0352435</v>
      </c>
      <c r="O63">
        <f>O62/2000</f>
        <v>-4.6700013499999997</v>
      </c>
    </row>
    <row r="64" spans="9:16" x14ac:dyDescent="0.25">
      <c r="I64" t="s">
        <v>11</v>
      </c>
      <c r="J64">
        <f>J62-1999*$B$4-$C$4</f>
        <v>-3.4530878690917599</v>
      </c>
      <c r="K64">
        <f>K62-1999*$B$4-$D$4</f>
        <v>0.43511213090932888</v>
      </c>
      <c r="L64">
        <f>L62-3999*$C$4-$B$4</f>
        <v>-2.0165139509110332</v>
      </c>
      <c r="M64">
        <f>M62-3999*$D$4-$B$4</f>
        <v>0.21548604909075664</v>
      </c>
      <c r="N64">
        <f>N62-1000*$B$4-1000*$C$4</f>
        <v>-2588.0009509099991</v>
      </c>
      <c r="O64">
        <f>O62-1000*$B$4-1000*$D$4</f>
        <v>-767.51665090999904</v>
      </c>
    </row>
    <row r="65" spans="9:16" x14ac:dyDescent="0.25">
      <c r="N65">
        <f>N64/2000</f>
        <v>-1.2940004754549996</v>
      </c>
      <c r="O65">
        <f>O64/2000</f>
        <v>-0.38375832545499955</v>
      </c>
    </row>
    <row r="66" spans="9:16" x14ac:dyDescent="0.25">
      <c r="I66" t="s">
        <v>9</v>
      </c>
      <c r="N66">
        <v>18650.901999999998</v>
      </c>
      <c r="O66">
        <v>17580.647000000001</v>
      </c>
    </row>
    <row r="67" spans="9:16" x14ac:dyDescent="0.25">
      <c r="I67" t="s">
        <v>10</v>
      </c>
      <c r="J67" s="6">
        <f t="shared" ref="J67:O67" si="8">(J66^(1/3))/10</f>
        <v>0</v>
      </c>
      <c r="K67" s="6">
        <f t="shared" si="8"/>
        <v>0</v>
      </c>
      <c r="L67" s="6">
        <f t="shared" si="8"/>
        <v>0</v>
      </c>
      <c r="M67" s="6">
        <f t="shared" si="8"/>
        <v>0</v>
      </c>
      <c r="N67" s="6">
        <f t="shared" si="8"/>
        <v>2.6519578269589923</v>
      </c>
      <c r="O67" s="6">
        <f t="shared" si="8"/>
        <v>2.6002291218201607</v>
      </c>
    </row>
    <row r="68" spans="9:16" x14ac:dyDescent="0.25">
      <c r="I68" t="s">
        <v>131</v>
      </c>
      <c r="J68">
        <f>ABS(J64-$D$30)</f>
        <v>2.7129858968696214</v>
      </c>
      <c r="K68">
        <f>ABS(K64-$F$30)</f>
        <v>0.35129810313152099</v>
      </c>
      <c r="L68">
        <f>ABS(L64-$D$36)</f>
        <v>1.5844980481332538</v>
      </c>
      <c r="M68">
        <f>ABS(M64-$F$36)</f>
        <v>0.526970860631506</v>
      </c>
      <c r="N68">
        <f>ABS(N65-$B$22)</f>
        <v>0.96026231341796287</v>
      </c>
      <c r="O68">
        <f>ABS(O65-$G$22)</f>
        <v>0.75950270045500001</v>
      </c>
      <c r="P68">
        <f>0.35*N68+0.35*N69+0.15*J68+0.15*L68</f>
        <v>1.058843737011071</v>
      </c>
    </row>
    <row r="69" spans="9:16" x14ac:dyDescent="0.25">
      <c r="N69">
        <f>ABS(N67-$B$18)</f>
        <v>0.22322667304100774</v>
      </c>
      <c r="O69">
        <f>ABS(O67-$G$18)</f>
        <v>0.17776087817983921</v>
      </c>
      <c r="P69">
        <f>0.35*O68+0.35*O69+0.15*J68+0.15*L68</f>
        <v>0.97266484427262501</v>
      </c>
    </row>
    <row r="70" spans="9:16" x14ac:dyDescent="0.25">
      <c r="I70" t="s">
        <v>43</v>
      </c>
      <c r="J70" s="24">
        <v>1.5E-3</v>
      </c>
      <c r="K70" s="27" t="s">
        <v>173</v>
      </c>
      <c r="L70" s="27" t="s">
        <v>170</v>
      </c>
      <c r="M70" s="27" t="s">
        <v>170</v>
      </c>
    </row>
    <row r="71" spans="9:16" x14ac:dyDescent="0.25">
      <c r="I71" t="s">
        <v>7</v>
      </c>
      <c r="J71">
        <v>-8246.0039357200003</v>
      </c>
      <c r="K71">
        <v>-8243.5881304800005</v>
      </c>
      <c r="L71">
        <v>-13441.4361964</v>
      </c>
      <c r="M71">
        <v>-17798.1137327</v>
      </c>
      <c r="N71">
        <v>-8994.2939999999999</v>
      </c>
      <c r="O71">
        <v>-7954.6995577899997</v>
      </c>
    </row>
    <row r="72" spans="9:16" x14ac:dyDescent="0.25">
      <c r="I72" t="s">
        <v>40</v>
      </c>
      <c r="J72">
        <f>J71/2000</f>
        <v>-4.1230019678600005</v>
      </c>
      <c r="K72">
        <f>K71/4000</f>
        <v>-2.0608970326200002</v>
      </c>
      <c r="L72">
        <f>L71/4000</f>
        <v>-3.3603590490999999</v>
      </c>
      <c r="M72">
        <f>M71/4000</f>
        <v>-4.4495284331749998</v>
      </c>
      <c r="N72">
        <f>N71/2000</f>
        <v>-4.497147</v>
      </c>
      <c r="O72">
        <f>O71/2000</f>
        <v>-3.9773497788949999</v>
      </c>
    </row>
    <row r="73" spans="9:16" x14ac:dyDescent="0.25">
      <c r="I73" t="s">
        <v>11</v>
      </c>
      <c r="J73">
        <f>J71-1999*$B$4-$C$4</f>
        <v>-1.7943235890912912</v>
      </c>
      <c r="K73">
        <f>K71-1999*$B$4-$D$4</f>
        <v>1.711481650908536</v>
      </c>
      <c r="L73">
        <f>L71-3999*$C$4-$B$4</f>
        <v>-0.67371035091055376</v>
      </c>
      <c r="M73">
        <f>M71-3999*$D$4-$B$4</f>
        <v>1.5587533490895993</v>
      </c>
      <c r="N73">
        <f>N71-1000*$B$4-1000*$C$4</f>
        <v>-1511.8079509099998</v>
      </c>
      <c r="O73">
        <f>O71-1000*$B$4-1000*$D$4</f>
        <v>617.78649130000031</v>
      </c>
    </row>
    <row r="74" spans="9:16" x14ac:dyDescent="0.25">
      <c r="N74">
        <f>N73/2000</f>
        <v>-0.75590397545499988</v>
      </c>
      <c r="O74">
        <f>O73/2000</f>
        <v>0.30889324565000015</v>
      </c>
    </row>
    <row r="75" spans="9:16" x14ac:dyDescent="0.25">
      <c r="I75" t="s">
        <v>9</v>
      </c>
      <c r="N75">
        <v>20917.613000000001</v>
      </c>
      <c r="O75">
        <v>20856.652999999998</v>
      </c>
    </row>
    <row r="76" spans="9:16" x14ac:dyDescent="0.25">
      <c r="I76" t="s">
        <v>10</v>
      </c>
      <c r="J76" s="6">
        <f t="shared" ref="J76:O76" si="9">(J75^(1/3))/10</f>
        <v>0</v>
      </c>
      <c r="K76" s="6">
        <f t="shared" si="9"/>
        <v>0</v>
      </c>
      <c r="L76" s="6">
        <f t="shared" si="9"/>
        <v>0</v>
      </c>
      <c r="M76" s="6">
        <f t="shared" si="9"/>
        <v>0</v>
      </c>
      <c r="N76" s="6">
        <f t="shared" si="9"/>
        <v>2.7553115195227806</v>
      </c>
      <c r="O76" s="6">
        <f t="shared" si="9"/>
        <v>2.7526323224906366</v>
      </c>
    </row>
    <row r="77" spans="9:16" x14ac:dyDescent="0.25">
      <c r="I77" t="s">
        <v>131</v>
      </c>
      <c r="J77">
        <f>ABS(J73-$D$30)</f>
        <v>1.0542216168691527</v>
      </c>
      <c r="K77">
        <f>ABS(K73-$F$30)</f>
        <v>1.6276676231307281</v>
      </c>
      <c r="L77">
        <f>ABS(L73-$D$36)</f>
        <v>0.2416944481327743</v>
      </c>
      <c r="M77">
        <f>ABS(M73-$F$36)</f>
        <v>0.81629643936733665</v>
      </c>
      <c r="N77">
        <f>ABS(N74-$B$22)</f>
        <v>0.42216581341796305</v>
      </c>
      <c r="O77">
        <f>ABS(O74-$G$22)</f>
        <v>6.6851129350000316E-2</v>
      </c>
      <c r="P77">
        <f>0.35*N77+0.35*N78+0.15*J77+0.15*L77</f>
        <v>0.3841009876136029</v>
      </c>
    </row>
    <row r="78" spans="9:16" x14ac:dyDescent="0.25">
      <c r="N78">
        <f>ABS(N76-$B$18)</f>
        <v>0.11987298047721939</v>
      </c>
      <c r="O78">
        <f>ABS(O76-$G$18)</f>
        <v>2.5357677509363352E-2</v>
      </c>
      <c r="P78">
        <f>0.35*O77+0.35*O78+0.15*J77+0.15*L77</f>
        <v>0.22666049215106632</v>
      </c>
    </row>
    <row r="79" spans="9:16" x14ac:dyDescent="0.25">
      <c r="I79" t="s">
        <v>43</v>
      </c>
      <c r="J79" s="24">
        <v>1.75E-3</v>
      </c>
      <c r="K79" s="27" t="s">
        <v>174</v>
      </c>
      <c r="L79" s="27" t="s">
        <v>170</v>
      </c>
      <c r="M79" s="27" t="s">
        <v>170</v>
      </c>
    </row>
    <row r="80" spans="9:16" x14ac:dyDescent="0.25">
      <c r="I80" t="s">
        <v>7</v>
      </c>
      <c r="J80">
        <v>-8245.4743073900008</v>
      </c>
      <c r="K80">
        <v>-8243.0257585799991</v>
      </c>
      <c r="L80">
        <v>-13441.0375138</v>
      </c>
      <c r="M80">
        <v>-17797.6560565</v>
      </c>
      <c r="N80">
        <v>-8643.0085432399992</v>
      </c>
      <c r="O80">
        <v>-7441.0064281900004</v>
      </c>
    </row>
    <row r="81" spans="9:16" x14ac:dyDescent="0.25">
      <c r="I81" t="s">
        <v>40</v>
      </c>
      <c r="J81">
        <f>J80/2000</f>
        <v>-4.1227371536950006</v>
      </c>
      <c r="K81">
        <f>K80/4000</f>
        <v>-2.060756439645</v>
      </c>
      <c r="L81">
        <f>L80/4000</f>
        <v>-3.3602593784499999</v>
      </c>
      <c r="M81">
        <f>M80/4000</f>
        <v>-4.4494140141249998</v>
      </c>
      <c r="N81">
        <f>N80/2000</f>
        <v>-4.3215042716199994</v>
      </c>
      <c r="O81">
        <f>O80/2000</f>
        <v>-3.7205032140950003</v>
      </c>
    </row>
    <row r="82" spans="9:16" x14ac:dyDescent="0.25">
      <c r="I82" t="s">
        <v>11</v>
      </c>
      <c r="J82">
        <f>J80-1999*$B$4-$C$4</f>
        <v>-1.2646952590918228</v>
      </c>
      <c r="K82">
        <f>K80-1999*$B$4-$D$4</f>
        <v>2.2738535509099167</v>
      </c>
      <c r="L82">
        <f>L80-3999*$C$4-$B$4</f>
        <v>-0.27502775091052456</v>
      </c>
      <c r="M82">
        <f>M80-3999*$D$4-$B$4</f>
        <v>2.0164295490892954</v>
      </c>
      <c r="N82">
        <f>N80-1000*$B$4-1000*$C$4</f>
        <v>-1160.5224941499991</v>
      </c>
      <c r="O82">
        <f>O80-1000*$B$4-1000*$D$4</f>
        <v>1131.4796208999996</v>
      </c>
    </row>
    <row r="83" spans="9:16" x14ac:dyDescent="0.25">
      <c r="N83">
        <f>N82/2000</f>
        <v>-0.5802612470749996</v>
      </c>
      <c r="O83">
        <f>O82/2000</f>
        <v>0.56573981044999977</v>
      </c>
    </row>
    <row r="84" spans="9:16" x14ac:dyDescent="0.25">
      <c r="I84" t="s">
        <v>9</v>
      </c>
      <c r="N84">
        <v>21968.523000000001</v>
      </c>
      <c r="O84">
        <v>22358.304</v>
      </c>
    </row>
    <row r="85" spans="9:16" x14ac:dyDescent="0.25">
      <c r="I85" t="s">
        <v>10</v>
      </c>
      <c r="J85" s="6">
        <f t="shared" ref="J85:O85" si="10">(J84^(1/3))/10</f>
        <v>0</v>
      </c>
      <c r="K85" s="6">
        <f t="shared" si="10"/>
        <v>0</v>
      </c>
      <c r="L85" s="6">
        <f t="shared" si="10"/>
        <v>0</v>
      </c>
      <c r="M85" s="6">
        <f t="shared" si="10"/>
        <v>0</v>
      </c>
      <c r="N85" s="6">
        <f t="shared" si="10"/>
        <v>2.8007023323205682</v>
      </c>
      <c r="O85" s="6">
        <f t="shared" si="10"/>
        <v>2.8171693340163029</v>
      </c>
    </row>
    <row r="86" spans="9:16" x14ac:dyDescent="0.25">
      <c r="I86" t="s">
        <v>131</v>
      </c>
      <c r="J86">
        <f>ABS(J82-$D$30)</f>
        <v>0.52459328686968432</v>
      </c>
      <c r="K86">
        <f>ABS(K82-$F$30)</f>
        <v>2.1900395231321088</v>
      </c>
      <c r="L86">
        <f>ABS(L82-$D$36)</f>
        <v>0.1569881518672549</v>
      </c>
      <c r="M86">
        <f>ABS(M82-$F$36)</f>
        <v>1.2739726393670328</v>
      </c>
      <c r="N86">
        <f>ABS(N83-$B$22)</f>
        <v>0.24652308503796277</v>
      </c>
      <c r="O86">
        <f>ABS(O83-$G$22)</f>
        <v>0.18999543544999931</v>
      </c>
      <c r="P86">
        <f>0.35*N86+0.35*N87+0.15*J86+0.15*L86</f>
        <v>0.21458905426162894</v>
      </c>
    </row>
    <row r="87" spans="9:16" x14ac:dyDescent="0.25">
      <c r="N87">
        <f>ABS(N85-$B$18)</f>
        <v>7.4482167679431832E-2</v>
      </c>
      <c r="O87">
        <f>ABS(O85-$G$18)</f>
        <v>3.9179334016302914E-2</v>
      </c>
      <c r="P87">
        <f>0.35*O86+0.35*O87+0.15*J86+0.15*L86</f>
        <v>0.18244838512374661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0"/>
  <sheetViews>
    <sheetView workbookViewId="0">
      <selection activeCell="B27" sqref="B27"/>
    </sheetView>
  </sheetViews>
  <sheetFormatPr defaultColWidth="11" defaultRowHeight="15.75" x14ac:dyDescent="0.25"/>
  <cols>
    <col min="5" max="6" width="11.875" customWidth="1"/>
    <col min="7" max="7" width="13.125" customWidth="1"/>
    <col min="8" max="8" width="11.875" customWidth="1"/>
    <col min="10" max="18" width="12.125" customWidth="1"/>
  </cols>
  <sheetData>
    <row r="1" spans="1:18" x14ac:dyDescent="0.25">
      <c r="F1" t="s">
        <v>36</v>
      </c>
      <c r="G1" t="s">
        <v>38</v>
      </c>
      <c r="H1" t="s">
        <v>41</v>
      </c>
      <c r="J1" s="31" t="s">
        <v>79</v>
      </c>
      <c r="K1" s="32"/>
      <c r="L1" s="32"/>
      <c r="M1" s="32"/>
      <c r="N1" s="32"/>
      <c r="O1" s="32"/>
      <c r="P1" s="32"/>
      <c r="Q1" s="32"/>
      <c r="R1" s="4"/>
    </row>
    <row r="2" spans="1:18" x14ac:dyDescent="0.25">
      <c r="A2" s="5" t="s">
        <v>3</v>
      </c>
      <c r="B2" s="6" t="s">
        <v>4</v>
      </c>
      <c r="C2" s="6" t="s">
        <v>5</v>
      </c>
      <c r="E2" s="27" t="s">
        <v>43</v>
      </c>
      <c r="F2" s="24">
        <v>2E-3</v>
      </c>
      <c r="G2" s="27" t="s">
        <v>47</v>
      </c>
      <c r="H2" s="27" t="s">
        <v>48</v>
      </c>
      <c r="J2" s="15" t="s">
        <v>74</v>
      </c>
      <c r="K2" s="17" t="s">
        <v>76</v>
      </c>
      <c r="L2" s="17" t="s">
        <v>73</v>
      </c>
      <c r="M2" s="17" t="s">
        <v>77</v>
      </c>
      <c r="N2" s="17" t="s">
        <v>78</v>
      </c>
      <c r="O2" s="17" t="s">
        <v>70</v>
      </c>
      <c r="P2" s="17" t="s">
        <v>71</v>
      </c>
      <c r="Q2" s="17" t="s">
        <v>72</v>
      </c>
      <c r="R2" s="11" t="s">
        <v>75</v>
      </c>
    </row>
    <row r="3" spans="1:18" x14ac:dyDescent="0.25">
      <c r="A3" s="5" t="s">
        <v>7</v>
      </c>
      <c r="B3" s="6">
        <v>-8244.8712527099997</v>
      </c>
      <c r="C3" s="6">
        <v>-13439.999951399999</v>
      </c>
      <c r="E3" t="s">
        <v>7</v>
      </c>
      <c r="F3">
        <v>-8246.9812000000002</v>
      </c>
      <c r="G3">
        <v>-13442.074000000001</v>
      </c>
      <c r="H3">
        <v>-9625.6031999999996</v>
      </c>
      <c r="J3" s="15">
        <v>2.1523027777778339</v>
      </c>
      <c r="K3" s="17">
        <v>-0.74010197222213847</v>
      </c>
      <c r="L3" s="17">
        <v>1.0977808055555975</v>
      </c>
      <c r="M3" s="13">
        <v>-0.43201590277777946</v>
      </c>
      <c r="N3" s="17">
        <v>-0.33373816203703682</v>
      </c>
      <c r="O3" s="17">
        <v>-0.32579666509433935</v>
      </c>
      <c r="P3" s="17">
        <v>-0.29547350943396139</v>
      </c>
      <c r="Q3" s="17">
        <v>-0.11704643749999954</v>
      </c>
      <c r="R3" s="11">
        <v>-0.20129381249999945</v>
      </c>
    </row>
    <row r="4" spans="1:18" x14ac:dyDescent="0.25">
      <c r="A4" s="5" t="s">
        <v>8</v>
      </c>
      <c r="B4" s="6">
        <f>B3/2000</f>
        <v>-4.1224356263550002</v>
      </c>
      <c r="C4" s="6">
        <f>C3/4000</f>
        <v>-3.3599999878499998</v>
      </c>
      <c r="E4" t="s">
        <v>40</v>
      </c>
      <c r="F4">
        <f>F3/2000</f>
        <v>-4.1234906000000002</v>
      </c>
      <c r="G4">
        <f>G3/4000</f>
        <v>-3.3605185</v>
      </c>
      <c r="H4">
        <f>H3/2000</f>
        <v>-4.8128015999999993</v>
      </c>
      <c r="J4" s="15"/>
      <c r="K4" s="17"/>
      <c r="L4" s="17">
        <f>L3-J3-K3</f>
        <v>-0.31442000000009784</v>
      </c>
      <c r="M4" s="17"/>
      <c r="N4" s="17"/>
      <c r="O4" s="17">
        <f>54*(O3-N3)</f>
        <v>0.42884083490566327</v>
      </c>
      <c r="P4" s="17">
        <f>54*(P3-N3)</f>
        <v>2.0662912405660734</v>
      </c>
      <c r="Q4" s="17"/>
      <c r="R4" s="11"/>
    </row>
    <row r="5" spans="1:18" x14ac:dyDescent="0.25">
      <c r="A5" s="5" t="s">
        <v>9</v>
      </c>
      <c r="B5" s="6">
        <v>23269.753000000001</v>
      </c>
      <c r="C5" s="6">
        <v>66430.125</v>
      </c>
      <c r="E5" t="s">
        <v>11</v>
      </c>
      <c r="F5">
        <f>F3-1999*$B$4-$C$4</f>
        <v>-2.8723829285042544</v>
      </c>
      <c r="G5">
        <f>G3-3999*$C$4-$B$4</f>
        <v>-1.3116129614960661</v>
      </c>
      <c r="H5">
        <f>H3-1000*$B$4-1000*$C$4</f>
        <v>-2143.1675857949999</v>
      </c>
      <c r="J5" s="33"/>
      <c r="K5" s="20"/>
      <c r="L5" s="20"/>
      <c r="M5" s="20"/>
      <c r="N5" s="21">
        <v>2.8751845</v>
      </c>
      <c r="O5" s="20"/>
      <c r="P5" s="20"/>
      <c r="Q5" s="21">
        <v>3.7965200000000001</v>
      </c>
      <c r="R5" s="34">
        <v>3.6526999999999998</v>
      </c>
    </row>
    <row r="6" spans="1:18" x14ac:dyDescent="0.25">
      <c r="A6" s="5" t="s">
        <v>10</v>
      </c>
      <c r="B6" s="6">
        <f>(B5^(1/3))/10</f>
        <v>2.8549417903874623</v>
      </c>
      <c r="C6" s="6">
        <f>(C5^(1/3))/10</f>
        <v>4.0499999999999989</v>
      </c>
      <c r="H6">
        <f>H5/2000</f>
        <v>-1.0715837928975001</v>
      </c>
    </row>
    <row r="7" spans="1:18" x14ac:dyDescent="0.25">
      <c r="E7" t="s">
        <v>9</v>
      </c>
      <c r="G7">
        <v>66427.05</v>
      </c>
      <c r="H7">
        <v>24862.732</v>
      </c>
      <c r="K7" t="s">
        <v>36</v>
      </c>
      <c r="L7" t="s">
        <v>73</v>
      </c>
      <c r="M7" t="s">
        <v>38</v>
      </c>
      <c r="N7" t="s">
        <v>41</v>
      </c>
      <c r="O7" t="s">
        <v>70</v>
      </c>
      <c r="P7" t="s">
        <v>71</v>
      </c>
      <c r="Q7" t="s">
        <v>72</v>
      </c>
      <c r="R7" t="s">
        <v>75</v>
      </c>
    </row>
    <row r="8" spans="1:18" x14ac:dyDescent="0.25">
      <c r="A8" s="15"/>
      <c r="B8" s="6" t="s">
        <v>17</v>
      </c>
      <c r="E8" t="s">
        <v>10</v>
      </c>
      <c r="F8" s="6">
        <f>(F7^(1/3))/10</f>
        <v>0</v>
      </c>
      <c r="G8" s="6">
        <f>(G7^(1/3))/10</f>
        <v>4.0499375085617482</v>
      </c>
      <c r="H8" s="6">
        <f>(H7^(1/3))/10</f>
        <v>2.9186562591881464</v>
      </c>
      <c r="J8" s="27" t="s">
        <v>43</v>
      </c>
      <c r="K8" s="24">
        <v>2E-3</v>
      </c>
      <c r="L8" s="24"/>
      <c r="M8" s="27" t="s">
        <v>136</v>
      </c>
      <c r="N8" s="27" t="s">
        <v>137</v>
      </c>
    </row>
    <row r="9" spans="1:18" x14ac:dyDescent="0.25">
      <c r="A9" s="15" t="s">
        <v>22</v>
      </c>
      <c r="B9" s="6">
        <v>8.6255535000000005</v>
      </c>
      <c r="J9" t="s">
        <v>7</v>
      </c>
      <c r="K9">
        <v>-8244.9825000000001</v>
      </c>
      <c r="L9">
        <v>-8239.0972000000002</v>
      </c>
      <c r="M9">
        <v>-13441.196</v>
      </c>
      <c r="N9">
        <v>-8097.2618000000002</v>
      </c>
      <c r="O9">
        <v>-8091.5074999999997</v>
      </c>
      <c r="P9">
        <v>-8091.4879000000001</v>
      </c>
      <c r="Q9">
        <v>-14904.235000000001</v>
      </c>
      <c r="R9">
        <v>-16372.272999999999</v>
      </c>
    </row>
    <row r="10" spans="1:18" x14ac:dyDescent="0.25">
      <c r="A10" s="15" t="s">
        <v>10</v>
      </c>
      <c r="B10" s="6">
        <v>2.8751845</v>
      </c>
      <c r="E10" s="27" t="s">
        <v>43</v>
      </c>
      <c r="F10" s="24">
        <v>2E-3</v>
      </c>
      <c r="G10" s="27" t="s">
        <v>51</v>
      </c>
      <c r="H10" s="27" t="s">
        <v>50</v>
      </c>
      <c r="J10" t="s">
        <v>11</v>
      </c>
      <c r="K10">
        <f>K9-1999*$B$4-$C$4</f>
        <v>-0.87368292850415541</v>
      </c>
      <c r="L10">
        <f>L9-1998*$B$4-$C$4</f>
        <v>0.88918144514017827</v>
      </c>
      <c r="M10">
        <f>M9-3999*$C$4-$B$4</f>
        <v>-0.43361296149545492</v>
      </c>
      <c r="N10">
        <f>N9-1000*$B$4-1000*$C$4</f>
        <v>-614.82618579500058</v>
      </c>
      <c r="O10">
        <f>(O9-999*$B$4-1000*$C$4)/1999</f>
        <v>-0.30675053597866669</v>
      </c>
      <c r="P10">
        <f>(P9-1000*$B$4-999*$C$4)/1999</f>
        <v>-0.30635932255270165</v>
      </c>
      <c r="Q10">
        <f>(Q9-1000*$B$4-3000*$C$4)/4000</f>
        <v>-0.17544985252375045</v>
      </c>
      <c r="R10">
        <f>(R9-3000*$B$4-1000*$C$4)/4000</f>
        <v>-0.16124153327124952</v>
      </c>
    </row>
    <row r="11" spans="1:18" x14ac:dyDescent="0.25">
      <c r="A11" s="15" t="s">
        <v>7</v>
      </c>
      <c r="B11" s="6">
        <v>-343.40501</v>
      </c>
      <c r="E11" t="s">
        <v>7</v>
      </c>
      <c r="F11">
        <v>-8247.3948</v>
      </c>
      <c r="G11">
        <v>-13442.373</v>
      </c>
      <c r="H11">
        <v>-9925.8073999999997</v>
      </c>
      <c r="L11">
        <f>L10-B27-K10</f>
        <v>-7.3549576355666391E-2</v>
      </c>
      <c r="N11">
        <f>N10/2000</f>
        <v>-0.3074130928975003</v>
      </c>
      <c r="O11">
        <f>1999*(O10-N11)</f>
        <v>1.3244512807483686</v>
      </c>
      <c r="P11">
        <f>1999*(P10-N11)</f>
        <v>2.1064869192524882</v>
      </c>
    </row>
    <row r="12" spans="1:18" x14ac:dyDescent="0.25">
      <c r="A12" s="15" t="s">
        <v>8</v>
      </c>
      <c r="B12" s="6">
        <v>-6.3593520370370369</v>
      </c>
      <c r="E12" t="s">
        <v>40</v>
      </c>
      <c r="F12">
        <f>F11/2000</f>
        <v>-4.1236974000000002</v>
      </c>
      <c r="G12">
        <f>G11/4000</f>
        <v>-3.36059325</v>
      </c>
      <c r="H12">
        <f>H11/2000</f>
        <v>-4.9629037</v>
      </c>
      <c r="J12" t="s">
        <v>9</v>
      </c>
      <c r="N12">
        <v>25662.749</v>
      </c>
      <c r="Q12">
        <v>59113.902000000002</v>
      </c>
      <c r="R12">
        <v>51437.343999999997</v>
      </c>
    </row>
    <row r="13" spans="1:18" x14ac:dyDescent="0.25">
      <c r="A13" s="15" t="s">
        <v>11</v>
      </c>
      <c r="B13" s="6">
        <v>-18.021860749999988</v>
      </c>
      <c r="E13" t="s">
        <v>11</v>
      </c>
      <c r="F13">
        <f>F11-1999*$B$4-$C$4</f>
        <v>-3.2859829285041147</v>
      </c>
      <c r="G13">
        <f>G11-3999*$C$4-$B$4</f>
        <v>-1.6106129614951348</v>
      </c>
      <c r="H13">
        <f>H11-1000*$B$4-1000*$C$4</f>
        <v>-2443.3717857950001</v>
      </c>
      <c r="J13" t="s">
        <v>10</v>
      </c>
      <c r="K13" s="6">
        <f>(K12^(1/3))/10</f>
        <v>0</v>
      </c>
      <c r="L13" s="6"/>
      <c r="M13" s="6">
        <f t="shared" ref="M13:R13" si="0">(M12^(1/3))/10</f>
        <v>0</v>
      </c>
      <c r="N13" s="6">
        <f t="shared" si="0"/>
        <v>2.9496312475971225</v>
      </c>
      <c r="O13" s="6">
        <f t="shared" si="0"/>
        <v>0</v>
      </c>
      <c r="P13" s="6">
        <f t="shared" si="0"/>
        <v>0</v>
      </c>
      <c r="Q13" s="6">
        <f t="shared" si="0"/>
        <v>3.8955000036491128</v>
      </c>
      <c r="R13" s="6">
        <f t="shared" si="0"/>
        <v>3.7190000009881197</v>
      </c>
    </row>
    <row r="14" spans="1:18" x14ac:dyDescent="0.25">
      <c r="A14" s="15" t="s">
        <v>23</v>
      </c>
      <c r="B14" s="16">
        <v>-0.33373816203703682</v>
      </c>
      <c r="H14">
        <f>H13/2000</f>
        <v>-1.2216858928975001</v>
      </c>
      <c r="J14" t="s">
        <v>131</v>
      </c>
      <c r="K14">
        <f>ABS(K10-B24)</f>
        <v>0.13358095628201694</v>
      </c>
      <c r="L14">
        <f>ABS(L11-B29)</f>
        <v>0.24087042364443145</v>
      </c>
      <c r="M14">
        <f>ABS(M10-B19)</f>
        <v>1.5970587176754591E-3</v>
      </c>
      <c r="N14">
        <f>ABS(N11-B14)</f>
        <v>2.6325069139536528E-2</v>
      </c>
      <c r="O14">
        <f>ABS(O11-B31)</f>
        <v>0.90355194278540285</v>
      </c>
      <c r="P14">
        <f>ABS(P11-B33)</f>
        <v>7.8460331289490259E-2</v>
      </c>
      <c r="Q14">
        <f>ABS(Q10-B35)</f>
        <v>5.8403415023750904E-2</v>
      </c>
      <c r="R14">
        <f>ABS(R10-B38)</f>
        <v>4.0052279228749932E-2</v>
      </c>
    </row>
    <row r="15" spans="1:18" x14ac:dyDescent="0.25">
      <c r="E15" t="s">
        <v>9</v>
      </c>
      <c r="H15">
        <v>25018.545999999998</v>
      </c>
      <c r="N15">
        <f>ABS(N13-B10)</f>
        <v>7.4446747597122442E-2</v>
      </c>
      <c r="Q15">
        <f>ABS(Q13-B36)</f>
        <v>9.8980003649112636E-2</v>
      </c>
      <c r="R15">
        <f>ABS(R13-B39)</f>
        <v>6.6300000988119834E-2</v>
      </c>
    </row>
    <row r="16" spans="1:18" x14ac:dyDescent="0.25">
      <c r="B16" t="s">
        <v>32</v>
      </c>
      <c r="E16" t="s">
        <v>10</v>
      </c>
      <c r="F16" s="6">
        <f>(F15^(1/3))/10</f>
        <v>0</v>
      </c>
      <c r="G16" s="6">
        <f>(G15^(1/3))/10</f>
        <v>0</v>
      </c>
      <c r="H16" s="6">
        <f>(H15^(1/3))/10</f>
        <v>2.9247406105967437</v>
      </c>
    </row>
    <row r="17" spans="1:15" x14ac:dyDescent="0.25">
      <c r="A17" t="s">
        <v>7</v>
      </c>
      <c r="B17">
        <v>-124.72243</v>
      </c>
      <c r="K17" t="s">
        <v>36</v>
      </c>
      <c r="L17" t="s">
        <v>38</v>
      </c>
      <c r="M17" t="s">
        <v>41</v>
      </c>
    </row>
    <row r="18" spans="1:15" x14ac:dyDescent="0.25">
      <c r="A18" t="s">
        <v>8</v>
      </c>
      <c r="B18">
        <v>-3.8975759375000001</v>
      </c>
      <c r="E18" s="27" t="s">
        <v>43</v>
      </c>
      <c r="F18" s="24">
        <v>2E-3</v>
      </c>
      <c r="G18" s="27" t="s">
        <v>52</v>
      </c>
      <c r="H18" s="27" t="s">
        <v>53</v>
      </c>
      <c r="J18" s="27" t="s">
        <v>43</v>
      </c>
      <c r="K18" s="24">
        <v>2E-3</v>
      </c>
      <c r="L18" s="27" t="s">
        <v>129</v>
      </c>
      <c r="M18" s="27" t="s">
        <v>130</v>
      </c>
    </row>
    <row r="19" spans="1:15" x14ac:dyDescent="0.25">
      <c r="A19" s="17" t="s">
        <v>11</v>
      </c>
      <c r="B19" s="29">
        <v>-0.43201590277777946</v>
      </c>
      <c r="E19" t="s">
        <v>7</v>
      </c>
      <c r="F19">
        <v>-8246.5676000000003</v>
      </c>
      <c r="G19">
        <v>-13441.776</v>
      </c>
      <c r="H19">
        <v>-9328.0617000000002</v>
      </c>
      <c r="J19" t="s">
        <v>7</v>
      </c>
      <c r="K19">
        <v>-8244.9503000000004</v>
      </c>
      <c r="L19">
        <v>-13441.361000000001</v>
      </c>
      <c r="M19">
        <v>-6959.3728000000001</v>
      </c>
    </row>
    <row r="20" spans="1:15" x14ac:dyDescent="0.25">
      <c r="E20" t="s">
        <v>40</v>
      </c>
      <c r="F20">
        <f>F19/2000</f>
        <v>-4.1232838000000003</v>
      </c>
      <c r="G20">
        <f>G19/4000</f>
        <v>-3.3604439999999998</v>
      </c>
      <c r="H20">
        <f>H19/2000</f>
        <v>-4.6640308500000005</v>
      </c>
      <c r="J20" t="s">
        <v>40</v>
      </c>
      <c r="K20">
        <f>K19/2000</f>
        <v>-4.1224751500000005</v>
      </c>
      <c r="L20">
        <f>L19/4000</f>
        <v>-3.3603402500000001</v>
      </c>
      <c r="M20">
        <f>M19/2000</f>
        <v>-3.4796863999999998</v>
      </c>
    </row>
    <row r="21" spans="1:15" x14ac:dyDescent="0.25">
      <c r="A21" s="15"/>
      <c r="B21" t="s">
        <v>27</v>
      </c>
      <c r="E21" t="s">
        <v>11</v>
      </c>
      <c r="F21">
        <f>F19-1999*$B$4-$C$4</f>
        <v>-2.4587829285043941</v>
      </c>
      <c r="G21">
        <f>G19-3999*$C$4-$B$4</f>
        <v>-1.0136129614953822</v>
      </c>
      <c r="H21">
        <f>H19-1000*$B$4-1000*$C$4</f>
        <v>-1845.6260857950006</v>
      </c>
      <c r="J21" t="s">
        <v>11</v>
      </c>
      <c r="K21">
        <f>K19-1999*$B$4-$C$4</f>
        <v>-0.84148292850450757</v>
      </c>
      <c r="L21">
        <f>L19-3999*$C$4-$B$4</f>
        <v>-0.59861296149632803</v>
      </c>
      <c r="M21">
        <f>M19-1000*$B$4-1000*$C$4</f>
        <v>523.06281420499954</v>
      </c>
    </row>
    <row r="22" spans="1:15" x14ac:dyDescent="0.25">
      <c r="A22" s="15" t="s">
        <v>7</v>
      </c>
      <c r="B22">
        <v>-444.96310999999997</v>
      </c>
      <c r="H22">
        <f>H21/2000</f>
        <v>-0.92281304289750032</v>
      </c>
      <c r="M22">
        <f>M21/2000</f>
        <v>0.26153140710249978</v>
      </c>
    </row>
    <row r="23" spans="1:15" x14ac:dyDescent="0.25">
      <c r="A23" s="15" t="s">
        <v>8</v>
      </c>
      <c r="B23">
        <v>-8.2400575925925921</v>
      </c>
      <c r="E23" t="s">
        <v>9</v>
      </c>
      <c r="H23">
        <v>24655.987000000001</v>
      </c>
      <c r="J23" t="s">
        <v>9</v>
      </c>
      <c r="M23">
        <v>25513.855</v>
      </c>
    </row>
    <row r="24" spans="1:15" x14ac:dyDescent="0.25">
      <c r="A24" s="15" t="s">
        <v>11</v>
      </c>
      <c r="B24" s="28">
        <v>-0.74010197222213847</v>
      </c>
      <c r="E24" t="s">
        <v>10</v>
      </c>
      <c r="F24" s="6">
        <f>(F23^(1/3))/10</f>
        <v>0</v>
      </c>
      <c r="G24" s="6">
        <f>(G23^(1/3))/10</f>
        <v>0</v>
      </c>
      <c r="H24" s="6">
        <f>(H23^(1/3))/10</f>
        <v>2.9105437433330286</v>
      </c>
      <c r="J24" t="s">
        <v>10</v>
      </c>
      <c r="K24" s="6">
        <f>(K23^(1/3))/10</f>
        <v>0</v>
      </c>
      <c r="L24" s="6">
        <f>(L23^(1/3))/10</f>
        <v>0</v>
      </c>
      <c r="M24" s="6">
        <f>(M23^(1/3))/10</f>
        <v>2.9439156412279099</v>
      </c>
    </row>
    <row r="25" spans="1:15" x14ac:dyDescent="0.25">
      <c r="J25" s="33" t="s">
        <v>131</v>
      </c>
      <c r="K25" s="20">
        <f>(K21-$B$24)</f>
        <v>-0.10138095628236909</v>
      </c>
      <c r="L25" s="20">
        <f>(L21-$B$19)</f>
        <v>-0.16659705871854857</v>
      </c>
      <c r="M25" s="9">
        <f>(M22-$B$14)</f>
        <v>0.59526956913953666</v>
      </c>
      <c r="N25" s="9">
        <f>(M24-$B$10)</f>
        <v>6.8731141227909909E-2</v>
      </c>
      <c r="O25" s="23">
        <f>0.35*ABS(M25)+0.15*ABS(K25)+0.15*ABS(L25)+0.35*ABS(N25)</f>
        <v>0.27259695087874392</v>
      </c>
    </row>
    <row r="26" spans="1:15" x14ac:dyDescent="0.25">
      <c r="B26" t="s">
        <v>74</v>
      </c>
      <c r="E26" s="27" t="s">
        <v>43</v>
      </c>
      <c r="F26" s="24">
        <v>2E-3</v>
      </c>
      <c r="G26" s="27" t="s">
        <v>54</v>
      </c>
      <c r="H26" s="27" t="s">
        <v>55</v>
      </c>
      <c r="J26" s="27" t="s">
        <v>43</v>
      </c>
      <c r="K26" s="24">
        <v>2E-3</v>
      </c>
      <c r="L26" s="27" t="s">
        <v>132</v>
      </c>
      <c r="M26" s="27" t="s">
        <v>133</v>
      </c>
    </row>
    <row r="27" spans="1:15" x14ac:dyDescent="0.25">
      <c r="A27" t="s">
        <v>11</v>
      </c>
      <c r="B27" s="30">
        <v>1.8364139500000001</v>
      </c>
      <c r="E27" t="s">
        <v>7</v>
      </c>
      <c r="F27">
        <v>-8246.3608000000004</v>
      </c>
      <c r="G27">
        <v>-13441.626</v>
      </c>
      <c r="H27">
        <v>-9180.6797000000006</v>
      </c>
      <c r="J27" t="s">
        <v>7</v>
      </c>
      <c r="K27">
        <v>-8244.9210999999996</v>
      </c>
      <c r="L27">
        <v>-13440.951999999999</v>
      </c>
      <c r="M27">
        <v>-8189.5401000000002</v>
      </c>
    </row>
    <row r="28" spans="1:15" x14ac:dyDescent="0.25">
      <c r="B28" t="s">
        <v>138</v>
      </c>
      <c r="E28" t="s">
        <v>40</v>
      </c>
      <c r="F28">
        <f>F27/2000</f>
        <v>-4.1231803999999999</v>
      </c>
      <c r="G28">
        <f>G27/4000</f>
        <v>-3.3604064999999999</v>
      </c>
      <c r="H28">
        <f>H27/2000</f>
        <v>-4.5903398500000003</v>
      </c>
      <c r="J28" t="s">
        <v>40</v>
      </c>
      <c r="K28">
        <f>K27/2000</f>
        <v>-4.1224605499999996</v>
      </c>
      <c r="L28">
        <f>L27/4000</f>
        <v>-3.3602379999999998</v>
      </c>
      <c r="M28">
        <f>M27/2000</f>
        <v>-4.0947700500000002</v>
      </c>
    </row>
    <row r="29" spans="1:15" x14ac:dyDescent="0.25">
      <c r="A29" t="s">
        <v>11</v>
      </c>
      <c r="B29">
        <v>-0.31442000000009784</v>
      </c>
      <c r="E29" t="s">
        <v>11</v>
      </c>
      <c r="F29">
        <f>F27-1999*$B$4-$C$4</f>
        <v>-2.2519829285044639</v>
      </c>
      <c r="G29">
        <f>G27-3999*$C$4-$B$4</f>
        <v>-0.86361296149574596</v>
      </c>
      <c r="H29">
        <f>H27-1000*$B$4-1000*$C$4</f>
        <v>-1698.244085795001</v>
      </c>
      <c r="J29" t="s">
        <v>11</v>
      </c>
      <c r="K29">
        <f>K27-1999*$B$4-$C$4</f>
        <v>-0.81228292850365191</v>
      </c>
      <c r="L29">
        <f>L27-3999*$C$4-$B$4</f>
        <v>-0.18961296149485829</v>
      </c>
      <c r="M29">
        <f>M27-1000*$B$4-1000*$C$4</f>
        <v>-707.10448579500053</v>
      </c>
    </row>
    <row r="30" spans="1:15" x14ac:dyDescent="0.25">
      <c r="B30" t="s">
        <v>70</v>
      </c>
      <c r="H30">
        <f>H29/2000</f>
        <v>-0.84912204289750048</v>
      </c>
      <c r="M30">
        <f>M29/2000</f>
        <v>-0.35355224289750026</v>
      </c>
    </row>
    <row r="31" spans="1:15" x14ac:dyDescent="0.25">
      <c r="A31" t="s">
        <v>11</v>
      </c>
      <c r="B31">
        <v>0.4208993379629658</v>
      </c>
      <c r="E31" t="s">
        <v>9</v>
      </c>
      <c r="H31">
        <v>24534.287</v>
      </c>
      <c r="J31" t="s">
        <v>9</v>
      </c>
      <c r="M31">
        <v>25432.448</v>
      </c>
    </row>
    <row r="32" spans="1:15" x14ac:dyDescent="0.25">
      <c r="B32" t="s">
        <v>71</v>
      </c>
      <c r="E32" t="s">
        <v>10</v>
      </c>
      <c r="F32" s="6">
        <f>(F31^(1/3))/10</f>
        <v>0</v>
      </c>
      <c r="G32" s="6">
        <f>(G31^(1/3))/10</f>
        <v>0</v>
      </c>
      <c r="H32" s="6">
        <f>(H31^(1/3))/10</f>
        <v>2.90574710487562</v>
      </c>
      <c r="J32" t="s">
        <v>10</v>
      </c>
      <c r="K32" s="6">
        <f>(K31^(1/3))/10</f>
        <v>0</v>
      </c>
      <c r="L32" s="6">
        <f>(L31^(1/3))/10</f>
        <v>0</v>
      </c>
      <c r="M32" s="6">
        <f>(M31^(1/3))/10</f>
        <v>2.94078125688862</v>
      </c>
    </row>
    <row r="33" spans="1:18" x14ac:dyDescent="0.25">
      <c r="A33" t="s">
        <v>11</v>
      </c>
      <c r="B33">
        <v>2.028026587962998</v>
      </c>
      <c r="J33" s="33" t="s">
        <v>131</v>
      </c>
      <c r="K33" s="20">
        <f>(K29-$B$24)</f>
        <v>-7.2180956281513442E-2</v>
      </c>
      <c r="L33" s="20">
        <f>(L29-$B$19)</f>
        <v>0.24240294128292117</v>
      </c>
      <c r="M33" s="9">
        <f>(M30-$B$14)</f>
        <v>-1.9814080860463434E-2</v>
      </c>
      <c r="N33" s="9">
        <f>(M32-$B$10)</f>
        <v>6.5596756888619989E-2</v>
      </c>
      <c r="O33" s="23">
        <f>0.35*ABS(M33)+0.15*ABS(K33)+0.15*ABS(L33)+0.35*ABS(N33)</f>
        <v>7.7081377846844393E-2</v>
      </c>
    </row>
    <row r="34" spans="1:18" x14ac:dyDescent="0.25">
      <c r="B34" t="s">
        <v>72</v>
      </c>
      <c r="E34" s="27" t="s">
        <v>43</v>
      </c>
      <c r="F34" s="24">
        <v>2E-3</v>
      </c>
      <c r="G34" s="27" t="s">
        <v>56</v>
      </c>
      <c r="H34" s="27" t="s">
        <v>57</v>
      </c>
      <c r="J34" s="27" t="s">
        <v>43</v>
      </c>
      <c r="K34" s="24">
        <v>2E-3</v>
      </c>
      <c r="L34" s="27" t="s">
        <v>134</v>
      </c>
      <c r="M34" s="27" t="s">
        <v>135</v>
      </c>
    </row>
    <row r="35" spans="1:18" x14ac:dyDescent="0.25">
      <c r="A35" t="s">
        <v>11</v>
      </c>
      <c r="B35">
        <v>-0.11704643749999954</v>
      </c>
      <c r="E35" t="s">
        <v>7</v>
      </c>
      <c r="F35">
        <v>-8245.9472999999998</v>
      </c>
      <c r="G35">
        <v>-13441.328</v>
      </c>
      <c r="H35">
        <v>-8890.1070999999993</v>
      </c>
      <c r="J35" t="s">
        <v>7</v>
      </c>
      <c r="K35">
        <v>-8244.9663999999993</v>
      </c>
      <c r="L35">
        <v>-13441.163</v>
      </c>
      <c r="M35">
        <v>-8247.2343000000001</v>
      </c>
    </row>
    <row r="36" spans="1:18" x14ac:dyDescent="0.25">
      <c r="B36">
        <v>3.7965200000000001</v>
      </c>
      <c r="E36" t="s">
        <v>40</v>
      </c>
      <c r="F36">
        <f>F35/2000</f>
        <v>-4.1229736499999996</v>
      </c>
      <c r="G36">
        <f>G35/4000</f>
        <v>-3.3603320000000001</v>
      </c>
      <c r="H36">
        <f>H35/2000</f>
        <v>-4.4450535499999999</v>
      </c>
      <c r="J36" t="s">
        <v>40</v>
      </c>
      <c r="K36">
        <f>K35/2000</f>
        <v>-4.1224831999999996</v>
      </c>
      <c r="L36">
        <f>L35/4000</f>
        <v>-3.3602907500000003</v>
      </c>
      <c r="M36">
        <f>M35/2000</f>
        <v>-4.1236171500000003</v>
      </c>
    </row>
    <row r="37" spans="1:18" x14ac:dyDescent="0.25">
      <c r="B37" t="s">
        <v>139</v>
      </c>
      <c r="E37" t="s">
        <v>11</v>
      </c>
      <c r="F37">
        <f>F35-1999*$B$4-$C$4</f>
        <v>-1.8384829285038964</v>
      </c>
      <c r="G37">
        <f>G35-3999*$C$4-$B$4</f>
        <v>-0.56561296149506202</v>
      </c>
      <c r="H37">
        <f>H35-1000*$B$4-1000*$C$4</f>
        <v>-1407.6714857949996</v>
      </c>
      <c r="J37" t="s">
        <v>11</v>
      </c>
      <c r="K37">
        <f>K35-1999*$B$4-$C$4</f>
        <v>-0.85758292850342199</v>
      </c>
      <c r="L37">
        <f>L35-3999*$C$4-$B$4</f>
        <v>-0.40061296149600789</v>
      </c>
      <c r="M37">
        <f>M35-1000*$B$4-1000*$C$4</f>
        <v>-764.79868579500044</v>
      </c>
    </row>
    <row r="38" spans="1:18" x14ac:dyDescent="0.25">
      <c r="A38" t="s">
        <v>11</v>
      </c>
      <c r="B38" s="18">
        <v>-0.20129381249999945</v>
      </c>
      <c r="H38">
        <f>H37/2000</f>
        <v>-0.70383574289749984</v>
      </c>
      <c r="M38">
        <f>M37/2000</f>
        <v>-0.38239934289750022</v>
      </c>
    </row>
    <row r="39" spans="1:18" x14ac:dyDescent="0.25">
      <c r="B39">
        <v>3.6526999999999998</v>
      </c>
      <c r="E39" t="s">
        <v>9</v>
      </c>
      <c r="H39">
        <v>24232.044999999998</v>
      </c>
      <c r="J39" t="s">
        <v>9</v>
      </c>
      <c r="M39">
        <v>26069.114000000001</v>
      </c>
    </row>
    <row r="40" spans="1:18" x14ac:dyDescent="0.25">
      <c r="B40" t="s">
        <v>210</v>
      </c>
      <c r="E40" t="s">
        <v>10</v>
      </c>
      <c r="F40" s="6">
        <f>(F39^(1/3))/10</f>
        <v>0</v>
      </c>
      <c r="G40" s="6">
        <f>(G39^(1/3))/10</f>
        <v>0</v>
      </c>
      <c r="H40" s="6">
        <f>(H39^(1/3))/10</f>
        <v>2.8937656400033545</v>
      </c>
      <c r="J40" t="s">
        <v>10</v>
      </c>
      <c r="K40" s="6">
        <f>(K39^(1/3))/10</f>
        <v>0</v>
      </c>
      <c r="L40" s="6">
        <f>(L39^(1/3))/10</f>
        <v>0</v>
      </c>
      <c r="M40" s="6">
        <f>(M39^(1/3))/10</f>
        <v>2.9651187452857766</v>
      </c>
    </row>
    <row r="41" spans="1:18" x14ac:dyDescent="0.25">
      <c r="A41" t="s">
        <v>11</v>
      </c>
      <c r="B41">
        <v>-0.20124056249999889</v>
      </c>
      <c r="J41" s="33" t="s">
        <v>131</v>
      </c>
      <c r="K41" s="20">
        <f>(K37-$B$24)</f>
        <v>-0.11748095628128352</v>
      </c>
      <c r="L41" s="20">
        <f>(L37-$B$19)</f>
        <v>3.1402941281771568E-2</v>
      </c>
      <c r="M41" s="9">
        <f>(M38-$B$14)</f>
        <v>-4.8661180860463393E-2</v>
      </c>
      <c r="N41" s="9">
        <f>(M40-$B$10)</f>
        <v>8.9934245285776537E-2</v>
      </c>
      <c r="O41" s="23">
        <f>0.35*ABS(M41)+0.15*ABS(K41)+0.15*ABS(L41)+0.35*ABS(N41)</f>
        <v>7.0840983785642242E-2</v>
      </c>
    </row>
    <row r="42" spans="1:18" x14ac:dyDescent="0.25">
      <c r="B42">
        <v>5.7411383726971987</v>
      </c>
      <c r="E42" s="27" t="s">
        <v>43</v>
      </c>
      <c r="F42" s="24">
        <v>2E-3</v>
      </c>
      <c r="G42" s="27" t="s">
        <v>58</v>
      </c>
      <c r="H42" s="27" t="s">
        <v>59</v>
      </c>
      <c r="J42" s="27" t="s">
        <v>43</v>
      </c>
      <c r="K42" s="24">
        <v>2E-3</v>
      </c>
      <c r="L42" s="27" t="s">
        <v>136</v>
      </c>
      <c r="M42" s="27" t="s">
        <v>137</v>
      </c>
    </row>
    <row r="43" spans="1:18" x14ac:dyDescent="0.25">
      <c r="E43" t="s">
        <v>7</v>
      </c>
      <c r="F43">
        <v>-8245.5337999999992</v>
      </c>
      <c r="G43">
        <v>-13441.029</v>
      </c>
      <c r="H43">
        <v>-8608.8322000000007</v>
      </c>
      <c r="J43" t="s">
        <v>7</v>
      </c>
      <c r="K43">
        <v>-8244.9825000000001</v>
      </c>
      <c r="L43">
        <v>-13441.196</v>
      </c>
      <c r="M43">
        <v>-8097.2618000000002</v>
      </c>
      <c r="Q43" t="s">
        <v>177</v>
      </c>
      <c r="R43">
        <v>2.5576166250000005</v>
      </c>
    </row>
    <row r="44" spans="1:18" x14ac:dyDescent="0.25">
      <c r="E44" t="s">
        <v>40</v>
      </c>
      <c r="F44">
        <f>F43/2000</f>
        <v>-4.1227668999999993</v>
      </c>
      <c r="G44">
        <f>G43/4000</f>
        <v>-3.3602572500000001</v>
      </c>
      <c r="H44">
        <f>H43/2000</f>
        <v>-4.3044161000000001</v>
      </c>
      <c r="J44" t="s">
        <v>40</v>
      </c>
      <c r="K44">
        <f>K43/2000</f>
        <v>-4.1224912500000004</v>
      </c>
      <c r="L44">
        <f>L43/4000</f>
        <v>-3.3602989999999999</v>
      </c>
      <c r="M44">
        <f>M43/2000</f>
        <v>-4.0486309</v>
      </c>
      <c r="Q44" t="s">
        <v>179</v>
      </c>
      <c r="R44">
        <v>-0.28567512500000003</v>
      </c>
    </row>
    <row r="45" spans="1:18" x14ac:dyDescent="0.25">
      <c r="E45" t="s">
        <v>11</v>
      </c>
      <c r="F45">
        <f>F43-1999*$B$4-$C$4</f>
        <v>-1.4249829285033289</v>
      </c>
      <c r="G45">
        <f>G43-3999*$C$4-$B$4</f>
        <v>-0.26661296149599334</v>
      </c>
      <c r="H45">
        <f>H43-1000*$B$4-1000*$C$4</f>
        <v>-1126.3965857950011</v>
      </c>
      <c r="J45" t="s">
        <v>11</v>
      </c>
      <c r="K45">
        <f>K43-1999*$B$4-$C$4</f>
        <v>-0.87368292850415541</v>
      </c>
      <c r="L45">
        <f>L43-3999*$C$4-$B$4</f>
        <v>-0.43361296149545492</v>
      </c>
      <c r="M45">
        <f>M43-1000*$B$4-1000*$C$4</f>
        <v>-614.82618579500058</v>
      </c>
      <c r="Q45" t="s">
        <v>178</v>
      </c>
      <c r="R45">
        <v>16.938559875000003</v>
      </c>
    </row>
    <row r="46" spans="1:18" x14ac:dyDescent="0.25">
      <c r="H46">
        <f>H45/2000</f>
        <v>-0.56319829289750056</v>
      </c>
      <c r="M46">
        <f>M45/2000</f>
        <v>-0.3074130928975003</v>
      </c>
    </row>
    <row r="47" spans="1:18" x14ac:dyDescent="0.25">
      <c r="E47" t="s">
        <v>9</v>
      </c>
      <c r="H47">
        <v>23790.106</v>
      </c>
      <c r="J47" t="s">
        <v>9</v>
      </c>
      <c r="M47">
        <v>25662.749</v>
      </c>
    </row>
    <row r="48" spans="1:18" x14ac:dyDescent="0.25">
      <c r="E48" t="s">
        <v>10</v>
      </c>
      <c r="F48" s="6">
        <f>(F47^(1/3))/10</f>
        <v>0</v>
      </c>
      <c r="G48" s="6">
        <f>(G47^(1/3))/10</f>
        <v>0</v>
      </c>
      <c r="H48" s="6">
        <f>(H47^(1/3))/10</f>
        <v>2.8760656314352335</v>
      </c>
      <c r="J48" t="s">
        <v>10</v>
      </c>
      <c r="K48" s="6">
        <f>(K47^(1/3))/10</f>
        <v>0</v>
      </c>
      <c r="L48" s="6">
        <f>(L47^(1/3))/10</f>
        <v>0</v>
      </c>
      <c r="M48" s="6">
        <f>(M47^(1/3))/10</f>
        <v>2.9496312475971225</v>
      </c>
    </row>
    <row r="49" spans="5:18" x14ac:dyDescent="0.25">
      <c r="J49" s="33" t="s">
        <v>131</v>
      </c>
      <c r="K49" s="20">
        <f>(K45-$B$24)</f>
        <v>-0.13358095628201694</v>
      </c>
      <c r="L49" s="20">
        <f>(L45-$B$19)</f>
        <v>-1.5970587176754591E-3</v>
      </c>
      <c r="M49" s="9">
        <f>(M46-$B$14)</f>
        <v>2.6325069139536528E-2</v>
      </c>
      <c r="N49" s="9">
        <f>(M48-$B$10)</f>
        <v>7.4446747597122442E-2</v>
      </c>
      <c r="O49" s="23">
        <f>0.35*ABS(M49)+0.15*ABS(K49)+0.15*ABS(L49)+0.35*ABS(N49)</f>
        <v>5.5546838107784491E-2</v>
      </c>
    </row>
    <row r="50" spans="5:18" x14ac:dyDescent="0.25">
      <c r="E50" s="27" t="s">
        <v>43</v>
      </c>
      <c r="F50" s="24">
        <v>2E-3</v>
      </c>
      <c r="G50" s="27" t="s">
        <v>60</v>
      </c>
      <c r="H50" s="27" t="s">
        <v>61</v>
      </c>
      <c r="J50" s="27" t="s">
        <v>43</v>
      </c>
      <c r="K50" s="24">
        <v>1.75E-3</v>
      </c>
      <c r="L50" s="27" t="s">
        <v>175</v>
      </c>
      <c r="M50" s="27" t="s">
        <v>176</v>
      </c>
      <c r="P50" t="s">
        <v>177</v>
      </c>
      <c r="Q50" s="38" t="s">
        <v>179</v>
      </c>
      <c r="R50" s="38" t="s">
        <v>178</v>
      </c>
    </row>
    <row r="51" spans="5:18" x14ac:dyDescent="0.25">
      <c r="E51" t="s">
        <v>7</v>
      </c>
      <c r="F51">
        <v>-8245.3292999999994</v>
      </c>
      <c r="G51">
        <v>-13441.093000000001</v>
      </c>
      <c r="H51">
        <v>-8452.7258999999995</v>
      </c>
      <c r="J51" t="s">
        <v>7</v>
      </c>
      <c r="K51">
        <v>-8244.8934000000008</v>
      </c>
      <c r="L51">
        <v>-13441.245000000001</v>
      </c>
      <c r="M51">
        <v>-8085.2389000000003</v>
      </c>
      <c r="P51">
        <v>-2455.0392999999999</v>
      </c>
      <c r="Q51" s="38">
        <v>-7820.8737000000001</v>
      </c>
      <c r="R51" s="38">
        <v>25021.575000000001</v>
      </c>
    </row>
    <row r="52" spans="5:18" x14ac:dyDescent="0.25">
      <c r="E52" t="s">
        <v>40</v>
      </c>
      <c r="F52">
        <f>F51/2000</f>
        <v>-4.1226646499999999</v>
      </c>
      <c r="G52">
        <f>G51/4000</f>
        <v>-3.3602732500000001</v>
      </c>
      <c r="H52">
        <f>H51/2000</f>
        <v>-4.2263629499999995</v>
      </c>
      <c r="J52" t="s">
        <v>40</v>
      </c>
      <c r="K52">
        <f>K51/2000</f>
        <v>-4.1224467000000002</v>
      </c>
      <c r="L52">
        <f>L51/4000</f>
        <v>-3.3603112500000001</v>
      </c>
      <c r="M52">
        <f>M51/2000</f>
        <v>-4.0426194500000001</v>
      </c>
      <c r="P52">
        <f>P51/2000</f>
        <v>-1.2275196499999999</v>
      </c>
      <c r="Q52" s="38">
        <f t="shared" ref="Q52:R52" si="1">Q51/2000</f>
        <v>-3.91043685</v>
      </c>
      <c r="R52" s="38">
        <f t="shared" si="1"/>
        <v>12.510787500000001</v>
      </c>
    </row>
    <row r="53" spans="5:18" x14ac:dyDescent="0.25">
      <c r="E53" t="s">
        <v>11</v>
      </c>
      <c r="F53">
        <f>F51-1999*$B$4-$C$4</f>
        <v>-1.2204829285035035</v>
      </c>
      <c r="G53">
        <f>G51-3999*$C$4-$B$4</f>
        <v>-0.33061296149629893</v>
      </c>
      <c r="H53">
        <f>H51-1000*$B$4-1000*$C$4</f>
        <v>-970.29028579499982</v>
      </c>
      <c r="J53" t="s">
        <v>11</v>
      </c>
      <c r="K53">
        <f>K51-1999*$B$4-$C$4</f>
        <v>-0.78458292850492084</v>
      </c>
      <c r="L53">
        <f>L51-3999*$C$4-$B$4</f>
        <v>-0.48261296149634259</v>
      </c>
      <c r="M53">
        <f>M51-1000*$B$4-1000*$C$4</f>
        <v>-602.80328579500065</v>
      </c>
      <c r="P53">
        <f>P51-1000*$B$4-1000*$C$4</f>
        <v>5027.3963142049997</v>
      </c>
      <c r="Q53" s="38">
        <f t="shared" ref="Q53:R53" si="2">Q51-1000*$B$4-1000*$C$4</f>
        <v>-338.43808579500046</v>
      </c>
      <c r="R53" s="38">
        <f t="shared" si="2"/>
        <v>32504.010614204999</v>
      </c>
    </row>
    <row r="54" spans="5:18" x14ac:dyDescent="0.25">
      <c r="H54">
        <f>H53/2000</f>
        <v>-0.48514514289749988</v>
      </c>
      <c r="M54">
        <f>M53/2000</f>
        <v>-0.30140164289750032</v>
      </c>
      <c r="P54">
        <f>P53/2000</f>
        <v>2.5136981571024997</v>
      </c>
      <c r="Q54" s="38">
        <f t="shared" ref="Q54:R54" si="3">Q53/2000</f>
        <v>-0.16921904289750023</v>
      </c>
      <c r="R54" s="38">
        <f t="shared" si="3"/>
        <v>16.2520053071025</v>
      </c>
    </row>
    <row r="55" spans="5:18" x14ac:dyDescent="0.25">
      <c r="E55" t="s">
        <v>9</v>
      </c>
      <c r="H55">
        <v>24893.370999999999</v>
      </c>
      <c r="J55" t="s">
        <v>9</v>
      </c>
      <c r="M55">
        <v>26001.091</v>
      </c>
      <c r="Q55" s="38"/>
      <c r="R55" s="38"/>
    </row>
    <row r="56" spans="5:18" x14ac:dyDescent="0.25">
      <c r="E56" t="s">
        <v>10</v>
      </c>
      <c r="F56" s="6">
        <f>(F55^(1/3))/10</f>
        <v>0</v>
      </c>
      <c r="G56" s="6">
        <f>(G55^(1/3))/10</f>
        <v>0</v>
      </c>
      <c r="H56" s="6">
        <f>(H55^(1/3))/10</f>
        <v>2.9198546793882802</v>
      </c>
      <c r="J56" t="s">
        <v>10</v>
      </c>
      <c r="K56" s="6">
        <f>(K55^(1/3))/10</f>
        <v>0</v>
      </c>
      <c r="L56" s="6">
        <f>(L55^(1/3))/10</f>
        <v>0</v>
      </c>
      <c r="M56" s="6">
        <f>(M55^(1/3))/10</f>
        <v>2.9625375047920359</v>
      </c>
      <c r="Q56" s="38"/>
      <c r="R56" s="38"/>
    </row>
    <row r="57" spans="5:18" x14ac:dyDescent="0.25">
      <c r="J57" s="33" t="s">
        <v>131</v>
      </c>
      <c r="K57" s="9">
        <f>(K53-$B$24)</f>
        <v>-4.4480956282782369E-2</v>
      </c>
      <c r="L57" s="9">
        <f>(L53-$B$19)</f>
        <v>-5.0597058718563126E-2</v>
      </c>
      <c r="M57" s="9">
        <f>(M54-$B$14)</f>
        <v>3.2336519139536501E-2</v>
      </c>
      <c r="N57" s="9">
        <f>(M56-$B$10)</f>
        <v>8.7353004792035893E-2</v>
      </c>
      <c r="O57" s="10">
        <f>0.35*ABS(M57)+0.15*ABS(K57)+0.15*ABS(L57)+0.35*ABS(N57)</f>
        <v>5.6153035626252158E-2</v>
      </c>
      <c r="P57" s="44">
        <f>P54-$R$43</f>
        <v>-4.3918467897500868E-2</v>
      </c>
      <c r="Q57" s="45">
        <f>Q54-$R$44</f>
        <v>0.1164560821024998</v>
      </c>
      <c r="R57" s="45">
        <f>R54-$R$45</f>
        <v>-0.68655456789750247</v>
      </c>
    </row>
    <row r="58" spans="5:18" x14ac:dyDescent="0.25">
      <c r="E58" s="27" t="s">
        <v>43</v>
      </c>
      <c r="F58" s="24">
        <v>2E-3</v>
      </c>
      <c r="G58" s="27" t="s">
        <v>62</v>
      </c>
      <c r="H58" s="27" t="s">
        <v>63</v>
      </c>
      <c r="J58" s="51" t="s">
        <v>43</v>
      </c>
      <c r="K58" s="52">
        <v>1.75E-3</v>
      </c>
      <c r="L58" s="51" t="s">
        <v>180</v>
      </c>
      <c r="M58" s="51" t="s">
        <v>181</v>
      </c>
      <c r="N58" s="49"/>
      <c r="O58" s="49"/>
      <c r="P58" s="49" t="s">
        <v>177</v>
      </c>
      <c r="Q58" s="38" t="s">
        <v>179</v>
      </c>
      <c r="R58" s="38" t="s">
        <v>178</v>
      </c>
    </row>
    <row r="59" spans="5:18" x14ac:dyDescent="0.25">
      <c r="E59" t="s">
        <v>7</v>
      </c>
      <c r="F59">
        <v>-8244.7666000000008</v>
      </c>
      <c r="G59">
        <v>-13441.146000000001</v>
      </c>
      <c r="H59">
        <v>-8179.9317000000001</v>
      </c>
      <c r="J59" s="49" t="s">
        <v>7</v>
      </c>
      <c r="K59" s="49">
        <v>-8245.0203999999994</v>
      </c>
      <c r="L59" s="49">
        <v>-13441.199000000001</v>
      </c>
      <c r="M59" s="49">
        <v>-8227.9670000000006</v>
      </c>
      <c r="N59" s="49"/>
      <c r="O59" s="49"/>
      <c r="P59" s="49">
        <v>-2318.5403000000001</v>
      </c>
      <c r="Q59" s="38">
        <v>-8098.7075999999997</v>
      </c>
      <c r="R59" s="38">
        <v>28070.682000000001</v>
      </c>
    </row>
    <row r="60" spans="5:18" x14ac:dyDescent="0.25">
      <c r="E60" t="s">
        <v>40</v>
      </c>
      <c r="F60">
        <f>F59/2000</f>
        <v>-4.1223833000000001</v>
      </c>
      <c r="G60">
        <f>G59/4000</f>
        <v>-3.3602865</v>
      </c>
      <c r="H60">
        <f>H59/2000</f>
        <v>-4.0899658500000005</v>
      </c>
      <c r="J60" s="49" t="s">
        <v>40</v>
      </c>
      <c r="K60" s="49">
        <f>K59/2000</f>
        <v>-4.1225101999999998</v>
      </c>
      <c r="L60" s="49">
        <f>L59/4000</f>
        <v>-3.3602997500000003</v>
      </c>
      <c r="M60" s="49">
        <f>M59/2000</f>
        <v>-4.1139835000000007</v>
      </c>
      <c r="N60" s="49"/>
      <c r="O60" s="49"/>
      <c r="P60" s="49">
        <f>P59/2000</f>
        <v>-1.15927015</v>
      </c>
      <c r="Q60" s="38">
        <f t="shared" ref="Q60" si="4">Q59/2000</f>
        <v>-4.0493537999999996</v>
      </c>
      <c r="R60" s="38">
        <f t="shared" ref="R60" si="5">R59/2000</f>
        <v>14.035341000000001</v>
      </c>
    </row>
    <row r="61" spans="5:18" x14ac:dyDescent="0.25">
      <c r="E61" t="s">
        <v>11</v>
      </c>
      <c r="F61">
        <f>F59-1999*$B$4-$C$4</f>
        <v>-0.65778292850491793</v>
      </c>
      <c r="G61">
        <f>G59-3999*$C$4-$B$4</f>
        <v>-0.38361296149618251</v>
      </c>
      <c r="H61">
        <f>H59-1000*$B$4-1000*$C$4</f>
        <v>-697.49608579500045</v>
      </c>
      <c r="J61" s="49" t="s">
        <v>11</v>
      </c>
      <c r="K61" s="49">
        <f>K59-1999*$B$4-$C$4</f>
        <v>-0.9115829285035093</v>
      </c>
      <c r="L61" s="49">
        <f>L59-3999*$C$4-$B$4</f>
        <v>-0.4366129614960661</v>
      </c>
      <c r="M61" s="49">
        <f>M59-1000*$B$4-1000*$C$4</f>
        <v>-745.53138579500092</v>
      </c>
      <c r="N61" s="49"/>
      <c r="O61" s="49"/>
      <c r="P61" s="49">
        <f>P59-1000*$B$4-1000*$C$4</f>
        <v>5163.8953142049995</v>
      </c>
      <c r="Q61" s="38">
        <f t="shared" ref="Q61:R61" si="6">Q59-1000*$B$4-1000*$C$4</f>
        <v>-616.27198579500009</v>
      </c>
      <c r="R61" s="38">
        <f t="shared" si="6"/>
        <v>35553.117614205003</v>
      </c>
    </row>
    <row r="62" spans="5:18" x14ac:dyDescent="0.25">
      <c r="H62">
        <f>H61/2000</f>
        <v>-0.34874804289750022</v>
      </c>
      <c r="J62" s="49"/>
      <c r="K62" s="49"/>
      <c r="L62" s="49"/>
      <c r="M62" s="49">
        <f>M61/2000</f>
        <v>-0.37276569289750044</v>
      </c>
      <c r="N62" s="49"/>
      <c r="O62" s="49"/>
      <c r="P62" s="49">
        <f>P61/2000</f>
        <v>2.5819476571025</v>
      </c>
      <c r="Q62" s="38">
        <f t="shared" ref="Q62" si="7">Q61/2000</f>
        <v>-0.30813599289750004</v>
      </c>
      <c r="R62" s="38">
        <f t="shared" ref="R62" si="8">R61/2000</f>
        <v>17.7765588071025</v>
      </c>
    </row>
    <row r="63" spans="5:18" x14ac:dyDescent="0.25">
      <c r="E63" t="s">
        <v>9</v>
      </c>
      <c r="H63">
        <v>26533.837</v>
      </c>
      <c r="J63" s="49" t="s">
        <v>9</v>
      </c>
      <c r="K63" s="49"/>
      <c r="L63" s="49"/>
      <c r="M63" s="49">
        <v>24144.147000000001</v>
      </c>
      <c r="N63" s="49"/>
      <c r="O63" s="49"/>
      <c r="P63" s="49"/>
      <c r="Q63" s="38"/>
      <c r="R63" s="38"/>
    </row>
    <row r="64" spans="5:18" x14ac:dyDescent="0.25">
      <c r="E64" t="s">
        <v>10</v>
      </c>
      <c r="F64" s="6">
        <f>(F63^(1/3))/10</f>
        <v>0</v>
      </c>
      <c r="G64" s="6">
        <f>(G63^(1/3))/10</f>
        <v>0</v>
      </c>
      <c r="H64" s="6">
        <f>(H63^(1/3))/10</f>
        <v>2.9826343760296155</v>
      </c>
      <c r="J64" s="49" t="s">
        <v>10</v>
      </c>
      <c r="K64" s="50">
        <f>(K63^(1/3))/10</f>
        <v>0</v>
      </c>
      <c r="L64" s="50">
        <f>(L63^(1/3))/10</f>
        <v>0</v>
      </c>
      <c r="M64" s="50">
        <f>(M63^(1/3))/10</f>
        <v>2.890262504940563</v>
      </c>
      <c r="N64" s="49"/>
      <c r="O64" s="49"/>
      <c r="P64" s="49"/>
      <c r="Q64" s="38"/>
      <c r="R64" s="38"/>
    </row>
    <row r="65" spans="5:18" x14ac:dyDescent="0.25">
      <c r="J65" s="53" t="s">
        <v>131</v>
      </c>
      <c r="K65" s="54">
        <f>(K61-$B$24)</f>
        <v>-0.17148095628137083</v>
      </c>
      <c r="L65" s="54">
        <f>(L61-$B$19)</f>
        <v>-4.5970587182866396E-3</v>
      </c>
      <c r="M65" s="54">
        <f>(M62-$B$14)</f>
        <v>-3.9027530860463622E-2</v>
      </c>
      <c r="N65" s="54">
        <f>(M64-$B$10)</f>
        <v>1.5078004940562995E-2</v>
      </c>
      <c r="O65" s="55">
        <f>0.35*ABS(M65)+0.15*ABS(K65)+0.15*ABS(L65)+0.35*ABS(N65)</f>
        <v>4.5348639780307939E-2</v>
      </c>
      <c r="P65" s="56">
        <f>P62-$R$43</f>
        <v>2.4331032102499428E-2</v>
      </c>
      <c r="Q65" s="45">
        <f>Q62-$R$44</f>
        <v>-2.2460867897500014E-2</v>
      </c>
      <c r="R65" s="45">
        <f>R62-$R$45</f>
        <v>0.83799893210249721</v>
      </c>
    </row>
    <row r="66" spans="5:18" x14ac:dyDescent="0.25">
      <c r="E66" s="27" t="s">
        <v>43</v>
      </c>
      <c r="F66" s="24">
        <v>2E-3</v>
      </c>
      <c r="G66" s="27" t="s">
        <v>64</v>
      </c>
      <c r="H66" s="27" t="s">
        <v>65</v>
      </c>
      <c r="J66" s="51" t="s">
        <v>43</v>
      </c>
      <c r="K66" s="52">
        <v>1.75E-3</v>
      </c>
      <c r="L66" s="51" t="s">
        <v>183</v>
      </c>
      <c r="M66" s="51" t="s">
        <v>182</v>
      </c>
      <c r="N66" s="49"/>
      <c r="O66" s="49"/>
      <c r="P66" s="49" t="s">
        <v>177</v>
      </c>
      <c r="Q66" s="38" t="s">
        <v>179</v>
      </c>
      <c r="R66" s="38" t="s">
        <v>178</v>
      </c>
    </row>
    <row r="67" spans="5:18" x14ac:dyDescent="0.25">
      <c r="E67" t="s">
        <v>7</v>
      </c>
      <c r="F67">
        <v>-8245.1681000000008</v>
      </c>
      <c r="G67">
        <v>-13441.157999999999</v>
      </c>
      <c r="H67">
        <v>-8310.3953000000001</v>
      </c>
      <c r="J67" s="49" t="s">
        <v>7</v>
      </c>
      <c r="K67" s="49">
        <v>-8245.0203999999994</v>
      </c>
      <c r="L67" s="49">
        <v>-13441.199000000001</v>
      </c>
      <c r="M67" s="49">
        <v>-8227.9670000000006</v>
      </c>
      <c r="N67" s="49"/>
      <c r="O67" s="49"/>
      <c r="P67" s="49">
        <v>-2318.5403000000001</v>
      </c>
      <c r="Q67" s="38">
        <v>-8098.7075999999997</v>
      </c>
      <c r="R67" s="38">
        <v>26448.63</v>
      </c>
    </row>
    <row r="68" spans="5:18" x14ac:dyDescent="0.25">
      <c r="E68" t="s">
        <v>40</v>
      </c>
      <c r="F68">
        <f>F67/2000</f>
        <v>-4.1225840500000004</v>
      </c>
      <c r="G68">
        <f>G67/4000</f>
        <v>-3.3602894999999999</v>
      </c>
      <c r="H68">
        <f>H67/2000</f>
        <v>-4.1551976499999999</v>
      </c>
      <c r="J68" s="49" t="s">
        <v>40</v>
      </c>
      <c r="K68" s="49">
        <f>K67/2000</f>
        <v>-4.1225101999999998</v>
      </c>
      <c r="L68" s="49">
        <f>L67/4000</f>
        <v>-3.3602997500000003</v>
      </c>
      <c r="M68" s="49">
        <f>M67/2000</f>
        <v>-4.1139835000000007</v>
      </c>
      <c r="N68" s="49"/>
      <c r="O68" s="49"/>
      <c r="P68" s="49">
        <f>P67/2000</f>
        <v>-1.15927015</v>
      </c>
      <c r="Q68" s="38">
        <f t="shared" ref="Q68" si="9">Q67/2000</f>
        <v>-4.0493537999999996</v>
      </c>
      <c r="R68" s="38">
        <f t="shared" ref="R68" si="10">R67/2000</f>
        <v>13.224315000000001</v>
      </c>
    </row>
    <row r="69" spans="5:18" x14ac:dyDescent="0.25">
      <c r="E69" t="s">
        <v>11</v>
      </c>
      <c r="F69">
        <f>F67-1999*$B$4-$C$4</f>
        <v>-1.0592829285048597</v>
      </c>
      <c r="G69">
        <f>G67-3999*$C$4-$B$4</f>
        <v>-0.39561296149498926</v>
      </c>
      <c r="H69">
        <f>H67-1000*$B$4-1000*$C$4</f>
        <v>-827.9596857950005</v>
      </c>
      <c r="J69" s="49" t="s">
        <v>11</v>
      </c>
      <c r="K69" s="49">
        <f>K67-1999*$B$4-$C$4</f>
        <v>-0.9115829285035093</v>
      </c>
      <c r="L69" s="49">
        <f>L67-3999*$C$4-$B$4</f>
        <v>-0.4366129614960661</v>
      </c>
      <c r="M69" s="49">
        <f>M67-1000*$B$4-1000*$C$4</f>
        <v>-745.53138579500092</v>
      </c>
      <c r="N69" s="49"/>
      <c r="O69" s="49"/>
      <c r="P69" s="49">
        <f>P67-1000*$B$4-1000*$C$4</f>
        <v>5163.8953142049995</v>
      </c>
      <c r="Q69" s="38">
        <f t="shared" ref="Q69:R69" si="11">Q67-1000*$B$4-1000*$C$4</f>
        <v>-616.27198579500009</v>
      </c>
      <c r="R69" s="38">
        <f t="shared" si="11"/>
        <v>33931.065614204999</v>
      </c>
    </row>
    <row r="70" spans="5:18" x14ac:dyDescent="0.25">
      <c r="H70">
        <f>H69/2000</f>
        <v>-0.41397984289750023</v>
      </c>
      <c r="J70" s="49"/>
      <c r="K70" s="49"/>
      <c r="L70" s="49"/>
      <c r="M70" s="49">
        <f>M69/2000</f>
        <v>-0.37276569289750044</v>
      </c>
      <c r="N70" s="49"/>
      <c r="O70" s="49"/>
      <c r="P70" s="49">
        <f>P69/2000</f>
        <v>2.5819476571025</v>
      </c>
      <c r="Q70" s="38">
        <f t="shared" ref="Q70" si="12">Q69/2000</f>
        <v>-0.30813599289750004</v>
      </c>
      <c r="R70" s="38">
        <f t="shared" ref="R70" si="13">R69/2000</f>
        <v>16.965532807102498</v>
      </c>
    </row>
    <row r="71" spans="5:18" x14ac:dyDescent="0.25">
      <c r="E71" t="s">
        <v>9</v>
      </c>
      <c r="H71">
        <v>25439.624</v>
      </c>
      <c r="J71" s="49" t="s">
        <v>9</v>
      </c>
      <c r="K71" s="49"/>
      <c r="L71" s="49"/>
      <c r="M71" s="49">
        <v>24144.147000000001</v>
      </c>
      <c r="N71" s="49"/>
      <c r="O71" s="49"/>
      <c r="P71" s="49"/>
      <c r="Q71" s="38"/>
      <c r="R71" s="38"/>
    </row>
    <row r="72" spans="5:18" x14ac:dyDescent="0.25">
      <c r="E72" t="s">
        <v>10</v>
      </c>
      <c r="F72" s="6">
        <f>(F71^(1/3))/10</f>
        <v>0</v>
      </c>
      <c r="G72" s="6">
        <f>(G71^(1/3))/10</f>
        <v>0</v>
      </c>
      <c r="H72" s="6">
        <f>(H71^(1/3))/10</f>
        <v>2.9410578204057476</v>
      </c>
      <c r="J72" s="49" t="s">
        <v>10</v>
      </c>
      <c r="K72" s="50">
        <f>(K71^(1/3))/10</f>
        <v>0</v>
      </c>
      <c r="L72" s="50">
        <f>(L71^(1/3))/10</f>
        <v>0</v>
      </c>
      <c r="M72" s="50">
        <f>(M71^(1/3))/10</f>
        <v>2.890262504940563</v>
      </c>
      <c r="N72" s="49"/>
      <c r="O72" s="49"/>
      <c r="P72" s="49"/>
      <c r="Q72" s="38"/>
      <c r="R72" s="38"/>
    </row>
    <row r="73" spans="5:18" x14ac:dyDescent="0.25">
      <c r="J73" s="53" t="s">
        <v>131</v>
      </c>
      <c r="K73" s="54">
        <f>(K69-$B$24)</f>
        <v>-0.17148095628137083</v>
      </c>
      <c r="L73" s="54">
        <f>(L69-$B$19)</f>
        <v>-4.5970587182866396E-3</v>
      </c>
      <c r="M73" s="54">
        <f>(M70-$B$14)</f>
        <v>-3.9027530860463622E-2</v>
      </c>
      <c r="N73" s="54">
        <f>(M72-$B$10)</f>
        <v>1.5078004940562995E-2</v>
      </c>
      <c r="O73" s="55">
        <f>0.35*ABS(M73)+0.15*ABS(K73)+0.15*ABS(L73)+0.35*ABS(N73)</f>
        <v>4.5348639780307939E-2</v>
      </c>
      <c r="P73" s="56">
        <f>P70-$R$43</f>
        <v>2.4331032102499428E-2</v>
      </c>
      <c r="Q73" s="45">
        <f>Q70-$R$44</f>
        <v>-2.2460867897500014E-2</v>
      </c>
      <c r="R73" s="45">
        <f>R70-$R$45</f>
        <v>2.6972932102495406E-2</v>
      </c>
    </row>
    <row r="74" spans="5:18" x14ac:dyDescent="0.25">
      <c r="E74" s="27" t="s">
        <v>43</v>
      </c>
      <c r="F74" s="24">
        <v>2E-3</v>
      </c>
      <c r="G74" s="27" t="s">
        <v>66</v>
      </c>
      <c r="H74" s="27" t="s">
        <v>67</v>
      </c>
      <c r="J74" s="39" t="s">
        <v>43</v>
      </c>
      <c r="K74" s="40">
        <v>1.75E-3</v>
      </c>
      <c r="L74" s="39" t="s">
        <v>223</v>
      </c>
      <c r="M74" s="39" t="s">
        <v>45</v>
      </c>
      <c r="N74" s="28"/>
      <c r="O74" s="28"/>
      <c r="P74" s="28" t="s">
        <v>177</v>
      </c>
      <c r="Q74" s="41" t="s">
        <v>179</v>
      </c>
      <c r="R74" s="41" t="s">
        <v>178</v>
      </c>
    </row>
    <row r="75" spans="5:18" x14ac:dyDescent="0.25">
      <c r="E75" t="s">
        <v>7</v>
      </c>
      <c r="F75">
        <v>-8245.24</v>
      </c>
      <c r="G75">
        <v>-13441.13</v>
      </c>
      <c r="H75">
        <v>-8378.0944</v>
      </c>
      <c r="J75" s="28" t="s">
        <v>7</v>
      </c>
      <c r="K75" s="28">
        <v>-8244.8282999999992</v>
      </c>
      <c r="L75" s="28">
        <v>-13440.843000000001</v>
      </c>
      <c r="M75" s="28">
        <v>-8147.0584144799996</v>
      </c>
      <c r="N75" s="28"/>
      <c r="O75" s="28"/>
      <c r="P75" s="28">
        <v>-2416.8078</v>
      </c>
      <c r="Q75" s="41">
        <v>-8065.43</v>
      </c>
      <c r="R75" s="41">
        <v>26448.63</v>
      </c>
    </row>
    <row r="76" spans="5:18" x14ac:dyDescent="0.25">
      <c r="E76" t="s">
        <v>40</v>
      </c>
      <c r="F76">
        <f>F75/2000</f>
        <v>-4.1226199999999995</v>
      </c>
      <c r="G76">
        <f>G75/4000</f>
        <v>-3.3602824999999998</v>
      </c>
      <c r="H76">
        <f>H75/2000</f>
        <v>-4.1890472000000001</v>
      </c>
      <c r="J76" s="28" t="s">
        <v>40</v>
      </c>
      <c r="K76" s="28">
        <f>K75/2000</f>
        <v>-4.12241415</v>
      </c>
      <c r="L76" s="28">
        <f>L75/4000</f>
        <v>-3.3602107500000002</v>
      </c>
      <c r="M76" s="28">
        <f>M75/2000</f>
        <v>-4.07352920724</v>
      </c>
      <c r="N76" s="28"/>
      <c r="O76" s="28"/>
      <c r="P76" s="28">
        <f>P75/2000</f>
        <v>-1.2084039</v>
      </c>
      <c r="Q76" s="41">
        <f t="shared" ref="Q76:R76" si="14">Q75/2000</f>
        <v>-4.0327150000000005</v>
      </c>
      <c r="R76" s="41">
        <f t="shared" si="14"/>
        <v>13.224315000000001</v>
      </c>
    </row>
    <row r="77" spans="5:18" x14ac:dyDescent="0.25">
      <c r="E77" t="s">
        <v>11</v>
      </c>
      <c r="F77">
        <f>F75-1999*$B$4-$C$4</f>
        <v>-1.1311829285038644</v>
      </c>
      <c r="G77">
        <f>G75-3999*$C$4-$B$4</f>
        <v>-0.36761296149474187</v>
      </c>
      <c r="H77">
        <f>H75-1000*$B$4-1000*$C$4</f>
        <v>-895.65878579500031</v>
      </c>
      <c r="J77" s="28" t="s">
        <v>11</v>
      </c>
      <c r="K77" s="28">
        <f>K75-1999*$B$4-$C$4</f>
        <v>-0.71948292850329976</v>
      </c>
      <c r="L77" s="28">
        <f>L75-3999*$C$4-$B$4</f>
        <v>-8.0612961496298929E-2</v>
      </c>
      <c r="M77" s="28">
        <f>M75-1000*$B$4-1000*$C$4</f>
        <v>-664.62280027499992</v>
      </c>
      <c r="N77" s="28"/>
      <c r="O77" s="28"/>
      <c r="P77" s="28">
        <f>P75-1000*$B$4-1000*$C$4</f>
        <v>5065.6278142049996</v>
      </c>
      <c r="Q77" s="41">
        <f t="shared" ref="Q77:R77" si="15">Q75-1000*$B$4-1000*$C$4</f>
        <v>-582.99438579500065</v>
      </c>
      <c r="R77" s="41">
        <f t="shared" si="15"/>
        <v>33931.065614204999</v>
      </c>
    </row>
    <row r="78" spans="5:18" x14ac:dyDescent="0.25">
      <c r="H78">
        <f>H77/2000</f>
        <v>-0.44782939289750018</v>
      </c>
      <c r="J78" s="28"/>
      <c r="K78" s="28"/>
      <c r="L78" s="28"/>
      <c r="M78" s="28">
        <f>M77/2000</f>
        <v>-0.33231140013749993</v>
      </c>
      <c r="N78" s="28"/>
      <c r="O78" s="28"/>
      <c r="P78" s="28">
        <f>P77/2000</f>
        <v>2.5328139071024998</v>
      </c>
      <c r="Q78" s="41">
        <f t="shared" ref="Q78:R78" si="16">Q77/2000</f>
        <v>-0.29149719289750031</v>
      </c>
      <c r="R78" s="41">
        <f t="shared" si="16"/>
        <v>16.965532807102498</v>
      </c>
    </row>
    <row r="79" spans="5:18" x14ac:dyDescent="0.25">
      <c r="E79" t="s">
        <v>9</v>
      </c>
      <c r="H79">
        <v>25208.284</v>
      </c>
      <c r="J79" s="28" t="s">
        <v>9</v>
      </c>
      <c r="K79" s="28"/>
      <c r="L79" s="28"/>
      <c r="M79" s="28">
        <v>23740.098000000002</v>
      </c>
      <c r="N79" s="28"/>
      <c r="O79" s="28"/>
      <c r="P79" s="28"/>
      <c r="Q79" s="41"/>
      <c r="R79" s="41"/>
    </row>
    <row r="80" spans="5:18" x14ac:dyDescent="0.25">
      <c r="E80" t="s">
        <v>10</v>
      </c>
      <c r="F80" s="6">
        <f>(F79^(1/3))/10</f>
        <v>0</v>
      </c>
      <c r="G80" s="6">
        <f>(G79^(1/3))/10</f>
        <v>0</v>
      </c>
      <c r="H80" s="6">
        <f>(H79^(1/3))/10</f>
        <v>2.9321156389754499</v>
      </c>
      <c r="J80" s="28" t="s">
        <v>10</v>
      </c>
      <c r="K80" s="16">
        <f>(K79^(1/3))/10</f>
        <v>0</v>
      </c>
      <c r="L80" s="16">
        <f>(L79^(1/3))/10</f>
        <v>0</v>
      </c>
      <c r="M80" s="16">
        <f>(M79^(1/3))/10</f>
        <v>2.8740490061954609</v>
      </c>
      <c r="N80" s="28"/>
      <c r="O80" s="28"/>
      <c r="P80" s="28"/>
      <c r="Q80" s="41"/>
      <c r="R80" s="41"/>
    </row>
    <row r="81" spans="5:18" x14ac:dyDescent="0.25">
      <c r="J81" s="42" t="s">
        <v>131</v>
      </c>
      <c r="K81" s="43">
        <f>(K77-$B$24)</f>
        <v>2.0619043718838714E-2</v>
      </c>
      <c r="L81" s="43">
        <f>(L77-$B$19)</f>
        <v>0.35140294128148053</v>
      </c>
      <c r="M81" s="43">
        <f>(M78-$B$14)</f>
        <v>1.426761899536888E-3</v>
      </c>
      <c r="N81" s="43">
        <f>(M80-$B$10)</f>
        <v>-1.1354938045391449E-3</v>
      </c>
      <c r="O81" s="46">
        <f>0.35*ABS(M81)+0.15*ABS(K81)+0.15*ABS(L81)+0.35*ABS(N81)</f>
        <v>5.6700087246474497E-2</v>
      </c>
      <c r="P81" s="47">
        <f>P78-$R$43</f>
        <v>-2.480271789750077E-2</v>
      </c>
      <c r="Q81" s="48">
        <f>Q78-$R$44</f>
        <v>-5.8220678975002826E-3</v>
      </c>
      <c r="R81" s="48">
        <f>R78-$R$45</f>
        <v>2.6972932102495406E-2</v>
      </c>
    </row>
    <row r="82" spans="5:18" x14ac:dyDescent="0.25">
      <c r="E82" s="27" t="s">
        <v>43</v>
      </c>
      <c r="F82" s="24">
        <v>2E-3</v>
      </c>
      <c r="G82" s="27" t="s">
        <v>68</v>
      </c>
      <c r="H82" s="27" t="s">
        <v>69</v>
      </c>
    </row>
    <row r="83" spans="5:18" x14ac:dyDescent="0.25">
      <c r="E83" t="s">
        <v>7</v>
      </c>
      <c r="F83">
        <v>-8244.9866000000002</v>
      </c>
      <c r="G83">
        <v>-13441.151</v>
      </c>
      <c r="H83">
        <v>-8242.8971999999994</v>
      </c>
      <c r="K83" t="s">
        <v>74</v>
      </c>
      <c r="L83" t="s">
        <v>138</v>
      </c>
    </row>
    <row r="84" spans="5:18" x14ac:dyDescent="0.25">
      <c r="E84" t="s">
        <v>40</v>
      </c>
      <c r="F84">
        <f>F83/2000</f>
        <v>-4.1224933000000004</v>
      </c>
      <c r="G84">
        <f>G83/4000</f>
        <v>-3.3602877499999999</v>
      </c>
      <c r="H84">
        <f>H83/2000</f>
        <v>-4.1214485999999999</v>
      </c>
      <c r="K84">
        <v>-8238.8732999999993</v>
      </c>
      <c r="L84">
        <v>-8238.9320507699995</v>
      </c>
    </row>
    <row r="85" spans="5:18" x14ac:dyDescent="0.25">
      <c r="E85" t="s">
        <v>11</v>
      </c>
      <c r="F85">
        <f>F83-1999*$B$4-$C$4</f>
        <v>-0.87778292850426309</v>
      </c>
      <c r="G85">
        <f>G83-3999*$C$4-$B$4</f>
        <v>-0.38861296149538216</v>
      </c>
      <c r="H85">
        <f>H83-1000*$B$4-1000*$C$4</f>
        <v>-760.46158579499979</v>
      </c>
      <c r="K85" s="28">
        <f>K84/1999</f>
        <v>-4.1214973986993497</v>
      </c>
      <c r="L85" s="28">
        <f>L84/1999</f>
        <v>-4.1215267887793896</v>
      </c>
    </row>
    <row r="86" spans="5:18" x14ac:dyDescent="0.25">
      <c r="H86">
        <f>H85/2000</f>
        <v>-0.38023079289749989</v>
      </c>
      <c r="K86" s="28">
        <f>K84-1999*$B$4</f>
        <v>1.8755170836466277</v>
      </c>
      <c r="L86" s="28">
        <f>L84-1998*$B$4-$C$4</f>
        <v>1.0543306751408577</v>
      </c>
    </row>
    <row r="87" spans="5:18" x14ac:dyDescent="0.25">
      <c r="E87" t="s">
        <v>9</v>
      </c>
      <c r="H87">
        <v>25962.274000000001</v>
      </c>
      <c r="L87" s="44">
        <f>L86-K86-K77</f>
        <v>-0.10170348000247031</v>
      </c>
    </row>
    <row r="88" spans="5:18" x14ac:dyDescent="0.25">
      <c r="E88" t="s">
        <v>10</v>
      </c>
      <c r="F88" s="6">
        <f>(F87^(1/3))/10</f>
        <v>0</v>
      </c>
      <c r="G88" s="6">
        <f>(G87^(1/3))/10</f>
        <v>0</v>
      </c>
      <c r="H88" s="6">
        <f>(H87^(1/3))/10</f>
        <v>2.9610625142228435</v>
      </c>
    </row>
    <row r="90" spans="5:18" x14ac:dyDescent="0.25">
      <c r="E90" s="27" t="s">
        <v>43</v>
      </c>
      <c r="F90" s="24">
        <v>2E-3</v>
      </c>
      <c r="G90" s="27" t="s">
        <v>111</v>
      </c>
      <c r="H90" s="27" t="s">
        <v>112</v>
      </c>
    </row>
    <row r="91" spans="5:18" x14ac:dyDescent="0.25">
      <c r="E91" t="s">
        <v>7</v>
      </c>
      <c r="F91">
        <v>-8243.5380000000005</v>
      </c>
      <c r="G91">
        <v>-13441.009</v>
      </c>
      <c r="H91">
        <v>-7085.9273000000003</v>
      </c>
    </row>
    <row r="92" spans="5:18" x14ac:dyDescent="0.25">
      <c r="E92" t="s">
        <v>40</v>
      </c>
      <c r="F92">
        <f>F91/2000</f>
        <v>-4.1217690000000005</v>
      </c>
      <c r="G92">
        <f>G91/4000</f>
        <v>-3.3602522499999998</v>
      </c>
      <c r="H92">
        <f>H91/2000</f>
        <v>-3.5429636500000004</v>
      </c>
    </row>
    <row r="93" spans="5:18" x14ac:dyDescent="0.25">
      <c r="E93" t="s">
        <v>11</v>
      </c>
      <c r="F93">
        <f>F91-1999*$B$4-$C$4</f>
        <v>0.57081707149545169</v>
      </c>
      <c r="G93">
        <f>G91-3999*$C$4-$B$4</f>
        <v>-0.24661296149555678</v>
      </c>
      <c r="H93">
        <f>H91-1000*$B$4-1000*$C$4</f>
        <v>396.50831420499935</v>
      </c>
    </row>
    <row r="94" spans="5:18" x14ac:dyDescent="0.25">
      <c r="H94">
        <f>H93/2000</f>
        <v>0.19825415710249966</v>
      </c>
    </row>
    <row r="95" spans="5:18" x14ac:dyDescent="0.25">
      <c r="E95" t="s">
        <v>9</v>
      </c>
      <c r="H95">
        <v>30929.113000000001</v>
      </c>
    </row>
    <row r="96" spans="5:18" x14ac:dyDescent="0.25">
      <c r="E96" t="s">
        <v>10</v>
      </c>
      <c r="F96" s="6">
        <f>(F95^(1/3))/10</f>
        <v>0</v>
      </c>
      <c r="G96" s="6">
        <f>(G95^(1/3))/10</f>
        <v>0</v>
      </c>
      <c r="H96" s="6">
        <f>(H95^(1/3))/10</f>
        <v>3.1389843835631135</v>
      </c>
    </row>
    <row r="98" spans="5:8" x14ac:dyDescent="0.25">
      <c r="E98" s="27" t="s">
        <v>43</v>
      </c>
      <c r="F98" s="24">
        <v>2E-3</v>
      </c>
      <c r="G98" s="27" t="s">
        <v>113</v>
      </c>
      <c r="H98" s="27" t="s">
        <v>114</v>
      </c>
    </row>
    <row r="99" spans="5:8" x14ac:dyDescent="0.25">
      <c r="E99" t="s">
        <v>7</v>
      </c>
      <c r="F99">
        <v>-8245.2623000000003</v>
      </c>
      <c r="G99">
        <v>-13441.285</v>
      </c>
      <c r="H99">
        <v>-8016.9354000000003</v>
      </c>
    </row>
    <row r="100" spans="5:8" x14ac:dyDescent="0.25">
      <c r="E100" t="s">
        <v>40</v>
      </c>
      <c r="F100">
        <f>F99/2000</f>
        <v>-4.1226311500000001</v>
      </c>
      <c r="G100">
        <f>G99/4000</f>
        <v>-3.3603212500000001</v>
      </c>
      <c r="H100">
        <f>H99/2000</f>
        <v>-4.0084676999999997</v>
      </c>
    </row>
    <row r="101" spans="5:8" x14ac:dyDescent="0.25">
      <c r="E101" t="s">
        <v>11</v>
      </c>
      <c r="F101">
        <f>F99-1999*$B$4-$C$4</f>
        <v>-1.1534829285044057</v>
      </c>
      <c r="G101">
        <f>G99-3999*$C$4-$B$4</f>
        <v>-0.52261296149539671</v>
      </c>
      <c r="H101">
        <f>H99-1000*$B$4-1000*$C$4</f>
        <v>-534.49978579500066</v>
      </c>
    </row>
    <row r="102" spans="5:8" x14ac:dyDescent="0.25">
      <c r="H102">
        <f>H101/2000</f>
        <v>-0.26724989289750034</v>
      </c>
    </row>
    <row r="103" spans="5:8" x14ac:dyDescent="0.25">
      <c r="E103" t="s">
        <v>9</v>
      </c>
      <c r="H103">
        <v>25270.153999999999</v>
      </c>
    </row>
    <row r="104" spans="5:8" x14ac:dyDescent="0.25">
      <c r="E104" t="s">
        <v>10</v>
      </c>
      <c r="F104" s="6">
        <f>(F103^(1/3))/10</f>
        <v>0</v>
      </c>
      <c r="G104" s="6">
        <f>(G103^(1/3))/10</f>
        <v>0</v>
      </c>
      <c r="H104" s="6">
        <f>(H103^(1/3))/10</f>
        <v>2.9345124936756077</v>
      </c>
    </row>
    <row r="106" spans="5:8" x14ac:dyDescent="0.25">
      <c r="E106" s="27" t="s">
        <v>43</v>
      </c>
      <c r="F106" s="24">
        <v>2E-3</v>
      </c>
      <c r="G106" s="27" t="s">
        <v>115</v>
      </c>
      <c r="H106" s="27" t="s">
        <v>116</v>
      </c>
    </row>
    <row r="107" spans="5:8" x14ac:dyDescent="0.25">
      <c r="E107" t="s">
        <v>7</v>
      </c>
      <c r="F107">
        <v>-8244.9683999999997</v>
      </c>
      <c r="G107">
        <v>-13441.306</v>
      </c>
      <c r="H107">
        <v>-7791.4305999999997</v>
      </c>
    </row>
    <row r="108" spans="5:8" x14ac:dyDescent="0.25">
      <c r="E108" t="s">
        <v>40</v>
      </c>
      <c r="F108">
        <f>F107/2000</f>
        <v>-4.1224841999999997</v>
      </c>
      <c r="G108">
        <f>G107/4000</f>
        <v>-3.3603265000000002</v>
      </c>
      <c r="H108">
        <f>H107/2000</f>
        <v>-3.8957153</v>
      </c>
    </row>
    <row r="109" spans="5:8" x14ac:dyDescent="0.25">
      <c r="E109" t="s">
        <v>11</v>
      </c>
      <c r="F109">
        <f>F107-1999*$B$4-$C$4</f>
        <v>-0.85958292850382945</v>
      </c>
      <c r="G109">
        <f>G107-3999*$C$4-$B$4</f>
        <v>-0.54361296149603699</v>
      </c>
      <c r="H109">
        <f>H107-1000*$B$4-1000*$C$4</f>
        <v>-308.99498579500005</v>
      </c>
    </row>
    <row r="110" spans="5:8" x14ac:dyDescent="0.25">
      <c r="H110">
        <f>H109/2000</f>
        <v>-0.15449749289750003</v>
      </c>
    </row>
    <row r="111" spans="5:8" x14ac:dyDescent="0.25">
      <c r="E111" t="s">
        <v>9</v>
      </c>
      <c r="H111">
        <v>25979.251</v>
      </c>
    </row>
    <row r="112" spans="5:8" x14ac:dyDescent="0.25">
      <c r="E112" t="s">
        <v>10</v>
      </c>
      <c r="F112" s="6">
        <f>(F111^(1/3))/10</f>
        <v>0</v>
      </c>
      <c r="G112" s="6">
        <f>(G111^(1/3))/10</f>
        <v>0</v>
      </c>
      <c r="H112" s="6">
        <f>(H111^(1/3))/10</f>
        <v>2.9617077967448839</v>
      </c>
    </row>
    <row r="114" spans="5:8" x14ac:dyDescent="0.25">
      <c r="E114" s="27" t="s">
        <v>43</v>
      </c>
      <c r="F114" s="24">
        <v>2E-3</v>
      </c>
      <c r="G114" s="27" t="s">
        <v>117</v>
      </c>
      <c r="H114" s="27" t="s">
        <v>118</v>
      </c>
    </row>
    <row r="115" spans="5:8" x14ac:dyDescent="0.25">
      <c r="E115" t="s">
        <v>7</v>
      </c>
      <c r="F115">
        <v>-8244.8219000000008</v>
      </c>
      <c r="G115">
        <v>-13441.206</v>
      </c>
      <c r="H115">
        <v>-7711.3897999999999</v>
      </c>
    </row>
    <row r="116" spans="5:8" x14ac:dyDescent="0.25">
      <c r="E116" t="s">
        <v>40</v>
      </c>
      <c r="F116">
        <f>F115/2000</f>
        <v>-4.1224109500000008</v>
      </c>
      <c r="G116">
        <f>G115/4000</f>
        <v>-3.3603014999999998</v>
      </c>
      <c r="H116">
        <f>H115/2000</f>
        <v>-3.8556949</v>
      </c>
    </row>
    <row r="117" spans="5:8" x14ac:dyDescent="0.25">
      <c r="E117" t="s">
        <v>11</v>
      </c>
      <c r="F117">
        <f>F115-1999*$B$4-$C$4</f>
        <v>-0.71308292850490629</v>
      </c>
      <c r="G117">
        <f>G115-3999*$C$4-$B$4</f>
        <v>-0.4436129614956732</v>
      </c>
      <c r="H117">
        <f>H115-1000*$B$4-1000*$C$4</f>
        <v>-228.95418579500028</v>
      </c>
    </row>
    <row r="118" spans="5:8" x14ac:dyDescent="0.25">
      <c r="H118">
        <f>H117/2000</f>
        <v>-0.11447709289750015</v>
      </c>
    </row>
    <row r="119" spans="5:8" x14ac:dyDescent="0.25">
      <c r="E119" t="s">
        <v>9</v>
      </c>
      <c r="H119">
        <v>26010.800999999999</v>
      </c>
    </row>
    <row r="120" spans="5:8" x14ac:dyDescent="0.25">
      <c r="E120" t="s">
        <v>10</v>
      </c>
      <c r="F120" s="6">
        <f>(F119^(1/3))/10</f>
        <v>0</v>
      </c>
      <c r="G120" s="6">
        <f>(G119^(1/3))/10</f>
        <v>0</v>
      </c>
      <c r="H120" s="6">
        <f>(H119^(1/3))/10</f>
        <v>2.9629062413582132</v>
      </c>
    </row>
    <row r="122" spans="5:8" x14ac:dyDescent="0.25">
      <c r="E122" s="27" t="s">
        <v>43</v>
      </c>
      <c r="F122" s="24">
        <v>2E-3</v>
      </c>
      <c r="G122" s="27" t="s">
        <v>119</v>
      </c>
      <c r="H122" s="27" t="s">
        <v>120</v>
      </c>
    </row>
    <row r="123" spans="5:8" x14ac:dyDescent="0.25">
      <c r="E123" t="s">
        <v>7</v>
      </c>
      <c r="F123">
        <v>-8245.3443000000007</v>
      </c>
      <c r="G123">
        <v>-13441.178</v>
      </c>
      <c r="H123">
        <v>-8138.0576000000001</v>
      </c>
    </row>
    <row r="124" spans="5:8" x14ac:dyDescent="0.25">
      <c r="E124" t="s">
        <v>40</v>
      </c>
      <c r="F124">
        <f>F123/2000</f>
        <v>-4.1226721500000005</v>
      </c>
      <c r="G124">
        <f>G123/4000</f>
        <v>-3.3602945000000002</v>
      </c>
      <c r="H124">
        <f>H123/2000</f>
        <v>-4.0690287999999999</v>
      </c>
    </row>
    <row r="125" spans="5:8" x14ac:dyDescent="0.25">
      <c r="E125" t="s">
        <v>11</v>
      </c>
      <c r="F125">
        <f>F123-1999*$B$4-$C$4</f>
        <v>-1.2354829285047404</v>
      </c>
      <c r="G125">
        <f>G123-3999*$C$4-$B$4</f>
        <v>-0.41561296149542581</v>
      </c>
      <c r="H125">
        <f>H123-1000*$B$4-1000*$C$4</f>
        <v>-655.62198579500046</v>
      </c>
    </row>
    <row r="126" spans="5:8" x14ac:dyDescent="0.25">
      <c r="H126">
        <f>H125/2000</f>
        <v>-0.32781099289750021</v>
      </c>
    </row>
    <row r="127" spans="5:8" x14ac:dyDescent="0.25">
      <c r="E127" t="s">
        <v>9</v>
      </c>
      <c r="H127">
        <v>24813.29</v>
      </c>
    </row>
    <row r="128" spans="5:8" x14ac:dyDescent="0.25">
      <c r="E128" t="s">
        <v>10</v>
      </c>
      <c r="F128" s="6">
        <f>(F127^(1/3))/10</f>
        <v>0</v>
      </c>
      <c r="G128" s="6">
        <f>(G127^(1/3))/10</f>
        <v>0</v>
      </c>
      <c r="H128" s="6">
        <f>(H127^(1/3))/10</f>
        <v>2.9167202965195509</v>
      </c>
    </row>
    <row r="130" spans="5:8" x14ac:dyDescent="0.25">
      <c r="E130" s="27" t="s">
        <v>43</v>
      </c>
      <c r="F130" s="24">
        <v>2E-3</v>
      </c>
      <c r="G130" s="27" t="s">
        <v>121</v>
      </c>
      <c r="H130" s="27" t="s">
        <v>122</v>
      </c>
    </row>
    <row r="131" spans="5:8" x14ac:dyDescent="0.25">
      <c r="E131" t="s">
        <v>7</v>
      </c>
      <c r="F131">
        <v>-8245.4526000000005</v>
      </c>
      <c r="G131">
        <v>-13440.987999999999</v>
      </c>
      <c r="H131">
        <v>-8311.8122000000003</v>
      </c>
    </row>
    <row r="132" spans="5:8" x14ac:dyDescent="0.25">
      <c r="E132" t="s">
        <v>40</v>
      </c>
      <c r="F132">
        <f>F131/2000</f>
        <v>-4.1227263000000001</v>
      </c>
      <c r="G132">
        <f>G131/4000</f>
        <v>-3.3602469999999998</v>
      </c>
      <c r="H132">
        <f>H131/2000</f>
        <v>-4.1559061000000002</v>
      </c>
    </row>
    <row r="133" spans="5:8" x14ac:dyDescent="0.25">
      <c r="E133" t="s">
        <v>11</v>
      </c>
      <c r="F133">
        <f>F131-1999*$B$4-$C$4</f>
        <v>-1.3437829285046123</v>
      </c>
      <c r="G133">
        <f>G131-3999*$C$4-$B$4</f>
        <v>-0.2256129614949165</v>
      </c>
      <c r="H133">
        <f>H131-1000*$B$4-1000*$C$4</f>
        <v>-829.37658579500066</v>
      </c>
    </row>
    <row r="134" spans="5:8" x14ac:dyDescent="0.25">
      <c r="H134">
        <f>H133/2000</f>
        <v>-0.41468829289750031</v>
      </c>
    </row>
    <row r="135" spans="5:8" x14ac:dyDescent="0.25">
      <c r="E135" t="s">
        <v>9</v>
      </c>
      <c r="H135">
        <v>23835.887999999999</v>
      </c>
    </row>
    <row r="136" spans="5:8" x14ac:dyDescent="0.25">
      <c r="E136" t="s">
        <v>10</v>
      </c>
      <c r="F136" s="6">
        <f>(F135^(1/3))/10</f>
        <v>0</v>
      </c>
      <c r="G136" s="6">
        <f>(G135^(1/3))/10</f>
        <v>0</v>
      </c>
      <c r="H136" s="6">
        <f>(H135^(1/3))/10</f>
        <v>2.8779093623698726</v>
      </c>
    </row>
    <row r="138" spans="5:8" x14ac:dyDescent="0.25">
      <c r="E138" s="27" t="s">
        <v>43</v>
      </c>
      <c r="F138" s="24">
        <v>2E-3</v>
      </c>
      <c r="G138" s="27" t="s">
        <v>123</v>
      </c>
      <c r="H138" s="27" t="s">
        <v>124</v>
      </c>
    </row>
    <row r="139" spans="5:8" x14ac:dyDescent="0.25">
      <c r="E139" t="s">
        <v>7</v>
      </c>
      <c r="F139">
        <v>-8232.1689000000006</v>
      </c>
      <c r="G139">
        <v>-13439.628000000001</v>
      </c>
      <c r="H139">
        <v>-6525.9255999999996</v>
      </c>
    </row>
    <row r="140" spans="5:8" x14ac:dyDescent="0.25">
      <c r="E140" t="s">
        <v>40</v>
      </c>
      <c r="F140">
        <f>F139/2000</f>
        <v>-4.1160844500000007</v>
      </c>
      <c r="G140">
        <f>G139/4000</f>
        <v>-3.3599070000000002</v>
      </c>
      <c r="H140">
        <f>H139/2000</f>
        <v>-3.2629627999999999</v>
      </c>
    </row>
    <row r="141" spans="5:8" x14ac:dyDescent="0.25">
      <c r="E141" t="s">
        <v>11</v>
      </c>
      <c r="F141">
        <f>F139-1999*$B$4-$C$4</f>
        <v>11.939917071495341</v>
      </c>
      <c r="G141">
        <f>G139-3999*$C$4-$B$4</f>
        <v>1.1343870385038466</v>
      </c>
      <c r="H141">
        <f>H139-1000*$B$4-1000*$C$4</f>
        <v>956.51001420500006</v>
      </c>
    </row>
    <row r="142" spans="5:8" x14ac:dyDescent="0.25">
      <c r="H142">
        <f>H141/2000</f>
        <v>0.47825500710250002</v>
      </c>
    </row>
    <row r="143" spans="5:8" x14ac:dyDescent="0.25">
      <c r="E143" t="s">
        <v>9</v>
      </c>
      <c r="H143">
        <v>41051.351999999999</v>
      </c>
    </row>
    <row r="144" spans="5:8" x14ac:dyDescent="0.25">
      <c r="E144" t="s">
        <v>10</v>
      </c>
      <c r="F144" s="6">
        <f>(F143^(1/3))/10</f>
        <v>0</v>
      </c>
      <c r="G144" s="6">
        <f>(G143^(1/3))/10</f>
        <v>0</v>
      </c>
      <c r="H144" s="6">
        <f>(H143^(1/3))/10</f>
        <v>3.4496562564472022</v>
      </c>
    </row>
    <row r="146" spans="5:8" x14ac:dyDescent="0.25">
      <c r="E146" s="27" t="s">
        <v>43</v>
      </c>
      <c r="F146" s="24">
        <v>2E-3</v>
      </c>
      <c r="G146" s="27" t="s">
        <v>125</v>
      </c>
      <c r="H146" s="27" t="s">
        <v>126</v>
      </c>
    </row>
    <row r="147" spans="5:8" x14ac:dyDescent="0.25">
      <c r="E147" t="s">
        <v>7</v>
      </c>
      <c r="F147">
        <v>-8243.2134000000005</v>
      </c>
      <c r="G147">
        <v>-13444.841</v>
      </c>
      <c r="H147">
        <v>-9596.2075999999997</v>
      </c>
    </row>
    <row r="148" spans="5:8" x14ac:dyDescent="0.25">
      <c r="E148" t="s">
        <v>40</v>
      </c>
      <c r="F148">
        <f>F147/2000</f>
        <v>-4.1216067000000001</v>
      </c>
      <c r="G148">
        <f>G147/4000</f>
        <v>-3.3612102500000001</v>
      </c>
      <c r="H148">
        <f>H147/2000</f>
        <v>-4.7981037999999998</v>
      </c>
    </row>
    <row r="149" spans="5:8" x14ac:dyDescent="0.25">
      <c r="E149" t="s">
        <v>11</v>
      </c>
      <c r="F149">
        <f>F147-1999*$B$4-$C$4</f>
        <v>0.8954170714953702</v>
      </c>
      <c r="G149">
        <f>G147-3999*$C$4-$B$4</f>
        <v>-4.0786129614958915</v>
      </c>
      <c r="H149">
        <f>H147-1000*$B$4-1000*$C$4</f>
        <v>-2113.7719857950001</v>
      </c>
    </row>
    <row r="150" spans="5:8" x14ac:dyDescent="0.25">
      <c r="H150">
        <f>H149/2000</f>
        <v>-1.0568859928975001</v>
      </c>
    </row>
    <row r="151" spans="5:8" x14ac:dyDescent="0.25">
      <c r="E151" t="s">
        <v>9</v>
      </c>
      <c r="H151">
        <v>34885.447</v>
      </c>
    </row>
    <row r="152" spans="5:8" x14ac:dyDescent="0.25">
      <c r="E152" t="s">
        <v>10</v>
      </c>
      <c r="F152" s="6">
        <f>(F151^(1/3))/10</f>
        <v>0</v>
      </c>
      <c r="G152" s="6">
        <f>(G151^(1/3))/10</f>
        <v>0</v>
      </c>
      <c r="H152" s="6">
        <f>(H151^(1/3))/10</f>
        <v>3.2674937387032985</v>
      </c>
    </row>
    <row r="154" spans="5:8" x14ac:dyDescent="0.25">
      <c r="E154" s="27" t="s">
        <v>43</v>
      </c>
      <c r="F154" s="24">
        <v>2E-3</v>
      </c>
      <c r="G154" s="27" t="s">
        <v>127</v>
      </c>
      <c r="H154" s="27" t="s">
        <v>128</v>
      </c>
    </row>
    <row r="155" spans="5:8" x14ac:dyDescent="0.25">
      <c r="E155" t="s">
        <v>7</v>
      </c>
      <c r="F155">
        <v>-8244.8060000000005</v>
      </c>
      <c r="G155">
        <v>-13442.838</v>
      </c>
      <c r="H155">
        <v>-8591.1880000000001</v>
      </c>
    </row>
    <row r="156" spans="5:8" x14ac:dyDescent="0.25">
      <c r="E156" t="s">
        <v>40</v>
      </c>
      <c r="F156">
        <f>F155/2000</f>
        <v>-4.1224030000000003</v>
      </c>
      <c r="G156">
        <f>G155/4000</f>
        <v>-3.3607095</v>
      </c>
      <c r="H156">
        <f>H155/2000</f>
        <v>-4.2955940000000004</v>
      </c>
    </row>
    <row r="157" spans="5:8" x14ac:dyDescent="0.25">
      <c r="E157" t="s">
        <v>11</v>
      </c>
      <c r="F157">
        <f>F155-1999*$B$4-$C$4</f>
        <v>-0.69718292850457741</v>
      </c>
      <c r="G157">
        <f>G155-3999*$C$4-$B$4</f>
        <v>-2.0756129614952803</v>
      </c>
      <c r="H157">
        <f>H155-1000*$B$4-1000*$C$4</f>
        <v>-1108.7523857950005</v>
      </c>
    </row>
    <row r="158" spans="5:8" x14ac:dyDescent="0.25">
      <c r="H158">
        <f>H157/2000</f>
        <v>-0.55437619289750029</v>
      </c>
    </row>
    <row r="159" spans="5:8" x14ac:dyDescent="0.25">
      <c r="E159" t="s">
        <v>9</v>
      </c>
      <c r="H159">
        <v>32244.445</v>
      </c>
    </row>
    <row r="160" spans="5:8" x14ac:dyDescent="0.25">
      <c r="E160" t="s">
        <v>10</v>
      </c>
      <c r="F160" s="6">
        <f>(F159^(1/3))/10</f>
        <v>0</v>
      </c>
      <c r="G160" s="6">
        <f>(G159^(1/3))/10</f>
        <v>0</v>
      </c>
      <c r="H160" s="6">
        <f>(H159^(1/3))/10</f>
        <v>3.1828656117426082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workbookViewId="0">
      <selection activeCell="R35" sqref="R35"/>
    </sheetView>
  </sheetViews>
  <sheetFormatPr defaultColWidth="11" defaultRowHeight="15.75" x14ac:dyDescent="0.25"/>
  <cols>
    <col min="2" max="2" width="12.5" customWidth="1"/>
    <col min="3" max="3" width="13.125" customWidth="1"/>
    <col min="9" max="16" width="12" customWidth="1"/>
  </cols>
  <sheetData>
    <row r="1" spans="1:22" x14ac:dyDescent="0.25">
      <c r="F1" t="s">
        <v>37</v>
      </c>
      <c r="G1" t="s">
        <v>39</v>
      </c>
      <c r="H1" t="s">
        <v>42</v>
      </c>
      <c r="K1" t="s">
        <v>37</v>
      </c>
      <c r="L1" t="s">
        <v>39</v>
      </c>
      <c r="M1" t="s">
        <v>42</v>
      </c>
      <c r="P1" t="s">
        <v>37</v>
      </c>
      <c r="Q1" t="s">
        <v>39</v>
      </c>
      <c r="R1" t="s">
        <v>42</v>
      </c>
      <c r="S1" t="s">
        <v>70</v>
      </c>
      <c r="T1" t="s">
        <v>141</v>
      </c>
      <c r="U1" t="s">
        <v>142</v>
      </c>
      <c r="V1" t="s">
        <v>143</v>
      </c>
    </row>
    <row r="2" spans="1:22" x14ac:dyDescent="0.25">
      <c r="A2" s="5" t="s">
        <v>3</v>
      </c>
      <c r="B2" s="6" t="s">
        <v>4</v>
      </c>
      <c r="C2" s="6" t="s">
        <v>33</v>
      </c>
      <c r="E2" s="27" t="s">
        <v>43</v>
      </c>
      <c r="F2" s="27">
        <v>2E-3</v>
      </c>
      <c r="G2" s="27" t="s">
        <v>47</v>
      </c>
      <c r="H2" s="27" t="s">
        <v>48</v>
      </c>
      <c r="J2" s="27" t="s">
        <v>43</v>
      </c>
      <c r="K2" s="35">
        <v>2.5000000000000001E-3</v>
      </c>
      <c r="L2" s="27" t="s">
        <v>97</v>
      </c>
      <c r="M2" s="27" t="s">
        <v>48</v>
      </c>
      <c r="O2" s="27" t="s">
        <v>43</v>
      </c>
      <c r="P2" s="35">
        <v>2.5000000000000001E-3</v>
      </c>
      <c r="Q2" s="27" t="s">
        <v>140</v>
      </c>
      <c r="R2" s="27" t="s">
        <v>137</v>
      </c>
      <c r="U2">
        <v>-17133.491999999998</v>
      </c>
      <c r="V2">
        <v>-16613.268</v>
      </c>
    </row>
    <row r="3" spans="1:22" x14ac:dyDescent="0.25">
      <c r="A3" s="5" t="s">
        <v>7</v>
      </c>
      <c r="B3" s="6">
        <v>-8244.8712527099997</v>
      </c>
      <c r="C3" s="6">
        <v>-17799.9996637</v>
      </c>
      <c r="E3" t="s">
        <v>7</v>
      </c>
      <c r="F3">
        <v>-8244.1993000000002</v>
      </c>
      <c r="G3">
        <v>-17799.225999999999</v>
      </c>
      <c r="H3">
        <v>-8319.8997999999992</v>
      </c>
      <c r="J3" t="s">
        <v>7</v>
      </c>
      <c r="K3">
        <v>-8242.0424000000003</v>
      </c>
      <c r="L3">
        <v>-17798.579000000002</v>
      </c>
      <c r="M3">
        <v>-7659.5727999999999</v>
      </c>
      <c r="O3" t="s">
        <v>7</v>
      </c>
      <c r="P3">
        <v>-8245.1929</v>
      </c>
      <c r="Q3">
        <v>-17799.056</v>
      </c>
      <c r="R3">
        <v>-7815.3087999999998</v>
      </c>
      <c r="S3">
        <v>-7810.1746999999996</v>
      </c>
      <c r="T3">
        <v>-7809.5083999999997</v>
      </c>
    </row>
    <row r="4" spans="1:22" x14ac:dyDescent="0.25">
      <c r="A4" s="5" t="s">
        <v>8</v>
      </c>
      <c r="B4" s="6">
        <f>B3/2000</f>
        <v>-4.1224356263550002</v>
      </c>
      <c r="C4" s="6">
        <f>C3/4000</f>
        <v>-4.4499999159249999</v>
      </c>
      <c r="E4" t="s">
        <v>40</v>
      </c>
      <c r="F4">
        <f>F3/4000</f>
        <v>-2.061049825</v>
      </c>
      <c r="G4">
        <f>G3/4000</f>
        <v>-4.4498064999999993</v>
      </c>
      <c r="H4">
        <f>H3/2000</f>
        <v>-4.1599499</v>
      </c>
      <c r="J4" t="s">
        <v>40</v>
      </c>
      <c r="K4">
        <f>K3/4000</f>
        <v>-2.0605106000000002</v>
      </c>
      <c r="L4">
        <f>L3/4000</f>
        <v>-4.44964475</v>
      </c>
      <c r="M4">
        <f>M3/2000</f>
        <v>-3.8297864000000001</v>
      </c>
      <c r="O4" t="s">
        <v>40</v>
      </c>
      <c r="P4">
        <f>P3/4000</f>
        <v>-2.0612982249999998</v>
      </c>
      <c r="Q4">
        <f>Q3/4000</f>
        <v>-4.4497640000000001</v>
      </c>
      <c r="R4">
        <f>R3/2000</f>
        <v>-3.9076543999999998</v>
      </c>
      <c r="S4">
        <f>S3/1999</f>
        <v>-3.9070408704352175</v>
      </c>
      <c r="T4">
        <f>T3/1999</f>
        <v>-3.9067075537768883</v>
      </c>
    </row>
    <row r="5" spans="1:22" x14ac:dyDescent="0.25">
      <c r="A5" s="5" t="s">
        <v>9</v>
      </c>
      <c r="B5" s="6">
        <v>23269.753000000001</v>
      </c>
      <c r="C5" s="6">
        <v>43618.855000000003</v>
      </c>
      <c r="E5" t="s">
        <v>11</v>
      </c>
      <c r="F5">
        <f>F3-1999*$B$4-$C$4</f>
        <v>0.99951699957069629</v>
      </c>
      <c r="G5">
        <f>G3-3999*$C$4-$B$4</f>
        <v>0.44609941042959722</v>
      </c>
      <c r="H5">
        <f>H3-1000*$B$4-1000*$C$4</f>
        <v>252.5357422800007</v>
      </c>
      <c r="J5" t="s">
        <v>11</v>
      </c>
      <c r="K5">
        <f>K3-1999*$B$4-$C$4</f>
        <v>3.1564169995706468</v>
      </c>
      <c r="L5">
        <f>L3-3999*$C$4-$B$4</f>
        <v>1.0930994104268033</v>
      </c>
      <c r="M5">
        <f>M3-1000*$B$4-1000*$C$4</f>
        <v>912.86274228000002</v>
      </c>
      <c r="O5" t="s">
        <v>11</v>
      </c>
      <c r="P5">
        <f>P3-1999*$B$4-$C$4</f>
        <v>5.9169995709087431E-3</v>
      </c>
      <c r="Q5">
        <f>Q3-3999*$C$4-$B$4</f>
        <v>0.61609941042785099</v>
      </c>
      <c r="R5">
        <f>R3-1000*$B$4-1000*$C$4</f>
        <v>757.12674228000014</v>
      </c>
      <c r="S5">
        <f>S3-999*$B$4-1000*$C$4</f>
        <v>758.13840665364569</v>
      </c>
      <c r="T5">
        <f>T3-1000*$B$4-999*$C$4</f>
        <v>758.47714236407501</v>
      </c>
      <c r="U5">
        <f>(U2-1000*$B$4-3000*$C$4)/4000</f>
        <v>8.4735843532500438E-2</v>
      </c>
      <c r="V5">
        <f>(V2-3000*$B$4-1000*$C$4)/4000</f>
        <v>5.1009698747500352E-2</v>
      </c>
    </row>
    <row r="6" spans="1:22" x14ac:dyDescent="0.25">
      <c r="A6" s="5" t="s">
        <v>10</v>
      </c>
      <c r="B6" s="6">
        <f>(B5^(1/3))/10</f>
        <v>2.8549417903874623</v>
      </c>
      <c r="C6" s="6">
        <f>(C5^(1/3))/10</f>
        <v>3.5201250117017246</v>
      </c>
      <c r="H6">
        <f>H5/2000</f>
        <v>0.12626787114000035</v>
      </c>
      <c r="M6">
        <f>M5/2000</f>
        <v>0.45643137113999999</v>
      </c>
      <c r="R6">
        <f>R5/1999</f>
        <v>0.37875274751375693</v>
      </c>
      <c r="S6">
        <f>S5/1999</f>
        <v>0.37925883274319444</v>
      </c>
      <c r="T6">
        <f>T5/1999</f>
        <v>0.37942828532469985</v>
      </c>
    </row>
    <row r="7" spans="1:22" x14ac:dyDescent="0.25">
      <c r="E7" t="s">
        <v>9</v>
      </c>
      <c r="H7">
        <v>25056.417000000001</v>
      </c>
      <c r="J7" t="s">
        <v>9</v>
      </c>
      <c r="M7">
        <v>26612.645</v>
      </c>
      <c r="O7" t="s">
        <v>9</v>
      </c>
      <c r="R7">
        <v>28325.71</v>
      </c>
      <c r="S7">
        <f>(S6-R6)*1999</f>
        <v>1.0116643736455906</v>
      </c>
      <c r="T7">
        <f>(T6-R6)*1999</f>
        <v>1.3504000840749126</v>
      </c>
      <c r="U7">
        <v>53136.171999999999</v>
      </c>
      <c r="V7">
        <v>56634.163999999997</v>
      </c>
    </row>
    <row r="8" spans="1:22" x14ac:dyDescent="0.25">
      <c r="B8" t="s">
        <v>35</v>
      </c>
      <c r="E8" t="s">
        <v>10</v>
      </c>
      <c r="F8" s="6">
        <f>(F7^(1/3))/10</f>
        <v>0</v>
      </c>
      <c r="G8" s="6">
        <f>(G7^(1/3))/10</f>
        <v>0</v>
      </c>
      <c r="H8" s="6">
        <f>(H7^(1/3))/10</f>
        <v>2.9262156098598626</v>
      </c>
      <c r="J8" t="s">
        <v>10</v>
      </c>
      <c r="K8" s="6">
        <f>(K7^(1/3))/10</f>
        <v>0</v>
      </c>
      <c r="L8" s="6">
        <f>(L7^(1/3))/10</f>
        <v>0</v>
      </c>
      <c r="M8" s="6">
        <f>(M7^(1/3))/10</f>
        <v>2.985584359238417</v>
      </c>
      <c r="O8" t="s">
        <v>10</v>
      </c>
      <c r="P8" s="6">
        <f>(P7^(1/3))/10</f>
        <v>0</v>
      </c>
      <c r="Q8" s="6">
        <f>(Q7^(1/3))/10</f>
        <v>0</v>
      </c>
      <c r="R8" s="6">
        <f>(R7^(1/3))/10</f>
        <v>3.0483179832575038</v>
      </c>
      <c r="U8" s="6">
        <f>(U7^(1/3))/10</f>
        <v>3.7594999900976425</v>
      </c>
      <c r="V8" s="6">
        <f>(V7^(1/3))/10</f>
        <v>3.8402500018078598</v>
      </c>
    </row>
    <row r="9" spans="1:22" x14ac:dyDescent="0.25">
      <c r="A9" s="15" t="s">
        <v>22</v>
      </c>
      <c r="B9">
        <v>2.8540000000000001</v>
      </c>
      <c r="P9">
        <f>ABS(P5-$B$24)</f>
        <v>7.7897028206899144E-2</v>
      </c>
      <c r="Q9">
        <f>ABS(Q5-$B$19)</f>
        <v>0.12635749929441165</v>
      </c>
      <c r="R9">
        <f>ABS(R6-$B$14)</f>
        <v>0.29475274751375691</v>
      </c>
      <c r="U9">
        <f>ABS(U5-$B$31)</f>
        <v>8.6424156467499569E-2</v>
      </c>
      <c r="V9">
        <f>ABS(V5-$B$34)</f>
        <v>9.7552612474995568E-3</v>
      </c>
    </row>
    <row r="10" spans="1:22" x14ac:dyDescent="0.25">
      <c r="A10" s="15" t="s">
        <v>10</v>
      </c>
      <c r="B10">
        <v>2.8540000000000001</v>
      </c>
      <c r="E10" s="27" t="s">
        <v>43</v>
      </c>
      <c r="F10" s="27">
        <v>2E-3</v>
      </c>
      <c r="G10" s="27" t="s">
        <v>80</v>
      </c>
      <c r="H10" s="27" t="s">
        <v>50</v>
      </c>
      <c r="J10" s="27" t="s">
        <v>43</v>
      </c>
      <c r="K10" s="35">
        <v>2.5000000000000001E-3</v>
      </c>
      <c r="L10" s="27" t="s">
        <v>97</v>
      </c>
      <c r="M10" s="27" t="s">
        <v>50</v>
      </c>
      <c r="O10" s="20"/>
      <c r="P10" s="20"/>
      <c r="Q10" s="20"/>
      <c r="R10" s="20">
        <f>ABS(R8-$B$10)</f>
        <v>0.19431798325750371</v>
      </c>
      <c r="S10" s="20"/>
      <c r="T10" s="20"/>
      <c r="U10" s="20">
        <f>ABS(U8-$B$32)</f>
        <v>0.25781999009764256</v>
      </c>
      <c r="V10" s="20">
        <f>ABS(V8-$B$35)</f>
        <v>0.24330000180785971</v>
      </c>
    </row>
    <row r="11" spans="1:22" x14ac:dyDescent="0.25">
      <c r="A11" s="15" t="s">
        <v>7</v>
      </c>
      <c r="B11">
        <v>-13.125344999999999</v>
      </c>
      <c r="E11" t="s">
        <v>7</v>
      </c>
      <c r="F11">
        <v>-8244.6136000000006</v>
      </c>
      <c r="G11">
        <v>-17799.661</v>
      </c>
      <c r="H11">
        <v>-8622.4498999999996</v>
      </c>
      <c r="J11" t="s">
        <v>7</v>
      </c>
      <c r="K11">
        <v>-8242.4578999999994</v>
      </c>
      <c r="L11">
        <v>-17799.013999999999</v>
      </c>
      <c r="M11">
        <v>-7969.2209000000003</v>
      </c>
      <c r="O11" s="27" t="s">
        <v>43</v>
      </c>
      <c r="P11" s="35">
        <v>2.5000000000000001E-3</v>
      </c>
      <c r="Q11" s="27" t="s">
        <v>140</v>
      </c>
      <c r="R11" s="27" t="s">
        <v>137</v>
      </c>
    </row>
    <row r="12" spans="1:22" x14ac:dyDescent="0.25">
      <c r="A12" s="15" t="s">
        <v>8</v>
      </c>
      <c r="B12">
        <v>-6.5626724999999997</v>
      </c>
      <c r="E12" t="s">
        <v>40</v>
      </c>
      <c r="F12">
        <f>F11/4000</f>
        <v>-2.0611534000000002</v>
      </c>
      <c r="G12">
        <f>G11/4000</f>
        <v>-4.4499152500000001</v>
      </c>
      <c r="H12">
        <f>H11/2000</f>
        <v>-4.3112249499999997</v>
      </c>
      <c r="J12" t="s">
        <v>40</v>
      </c>
      <c r="K12">
        <f>K11/4000</f>
        <v>-2.0606144749999999</v>
      </c>
      <c r="L12">
        <f>L11/4000</f>
        <v>-4.4497534999999999</v>
      </c>
      <c r="M12">
        <f>M11/2000</f>
        <v>-3.9846104499999999</v>
      </c>
      <c r="O12" t="s">
        <v>7</v>
      </c>
      <c r="P12">
        <v>-8245.0512999999992</v>
      </c>
      <c r="Q12">
        <v>-17798.911363399999</v>
      </c>
      <c r="R12">
        <v>-7908.9216715700004</v>
      </c>
      <c r="S12">
        <v>-7904.7232999999997</v>
      </c>
      <c r="T12">
        <v>-7903.7204000000002</v>
      </c>
      <c r="U12">
        <v>-16680.580999999998</v>
      </c>
      <c r="V12">
        <v>-16482.538</v>
      </c>
    </row>
    <row r="13" spans="1:22" x14ac:dyDescent="0.25">
      <c r="A13" s="15" t="s">
        <v>11</v>
      </c>
      <c r="B13">
        <v>0.75148875000000093</v>
      </c>
      <c r="E13" t="s">
        <v>11</v>
      </c>
      <c r="F13">
        <f>F11-1999*$B$4-$C$4</f>
        <v>0.58521699957032958</v>
      </c>
      <c r="G13">
        <f>G11-3999*$C$4-$B$4</f>
        <v>1.1099410428287548E-2</v>
      </c>
      <c r="H13">
        <f>H11-1000*$B$4-1000*$C$4</f>
        <v>-50.01435771999968</v>
      </c>
      <c r="J13" t="s">
        <v>11</v>
      </c>
      <c r="K13">
        <f>K11-1999*$B$4-$C$4</f>
        <v>2.7409169995714908</v>
      </c>
      <c r="L13">
        <f>L11-3999*$C$4-$B$4</f>
        <v>0.65809941042913156</v>
      </c>
      <c r="M13">
        <f>M11-1000*$B$4-1000*$C$4</f>
        <v>603.21464227999968</v>
      </c>
      <c r="O13" t="s">
        <v>40</v>
      </c>
      <c r="P13">
        <f>P12/4000</f>
        <v>-2.0612628249999996</v>
      </c>
      <c r="Q13">
        <f>Q12/4000</f>
        <v>-4.4497278408499996</v>
      </c>
      <c r="R13">
        <f>R12/2000</f>
        <v>-3.9544608357850004</v>
      </c>
      <c r="S13">
        <f>S12/1999</f>
        <v>-3.9543388194097049</v>
      </c>
      <c r="T13">
        <f>T12/1999</f>
        <v>-3.9538371185592798</v>
      </c>
    </row>
    <row r="14" spans="1:22" x14ac:dyDescent="0.25">
      <c r="A14" s="15" t="s">
        <v>23</v>
      </c>
      <c r="B14">
        <v>8.4000000000000005E-2</v>
      </c>
      <c r="H14">
        <f>H13/2000</f>
        <v>-2.500717885999984E-2</v>
      </c>
      <c r="M14">
        <f>M13/2000</f>
        <v>0.30160732113999983</v>
      </c>
      <c r="O14" t="s">
        <v>11</v>
      </c>
      <c r="P14">
        <f>P12-1999*$B$4-$C$4</f>
        <v>0.14751699957174402</v>
      </c>
      <c r="Q14">
        <f>Q12-3999*$C$4-$B$4</f>
        <v>0.76073601042968253</v>
      </c>
      <c r="R14">
        <f>R12-1000*$B$4-1000*$C$4</f>
        <v>663.51387070999954</v>
      </c>
      <c r="S14">
        <f>S12-999*$B$4-1000*$C$4</f>
        <v>663.58980665364561</v>
      </c>
      <c r="T14">
        <f>T12-1000*$B$4-999*$C$4</f>
        <v>664.26514236407456</v>
      </c>
      <c r="U14">
        <f>(U12-1000*$B$4-3000*$C$4)/4000</f>
        <v>0.19796359353250045</v>
      </c>
      <c r="V14">
        <f>(V12-3000*$B$4-1000*$C$4)/4000</f>
        <v>8.3692198747500238E-2</v>
      </c>
    </row>
    <row r="15" spans="1:22" x14ac:dyDescent="0.25">
      <c r="E15" t="s">
        <v>9</v>
      </c>
      <c r="H15">
        <v>25184.513999999999</v>
      </c>
      <c r="J15" t="s">
        <v>9</v>
      </c>
      <c r="M15">
        <v>26602.786</v>
      </c>
      <c r="R15">
        <f>R14/1999</f>
        <v>0.33192289680340148</v>
      </c>
      <c r="S15">
        <f>S14/1999</f>
        <v>0.33196088376870714</v>
      </c>
      <c r="T15">
        <f>T14/1999</f>
        <v>0.33229872054230841</v>
      </c>
    </row>
    <row r="16" spans="1:22" x14ac:dyDescent="0.25">
      <c r="B16" t="s">
        <v>49</v>
      </c>
      <c r="E16" t="s">
        <v>10</v>
      </c>
      <c r="F16" s="6">
        <f>(F15^(1/3))/10</f>
        <v>0</v>
      </c>
      <c r="G16" s="6">
        <f>(G15^(1/3))/10</f>
        <v>0</v>
      </c>
      <c r="H16" s="6">
        <f>(H15^(1/3))/10</f>
        <v>2.9311937422050773</v>
      </c>
      <c r="J16" t="s">
        <v>10</v>
      </c>
      <c r="K16" s="6">
        <f>(K15^(1/3))/10</f>
        <v>0</v>
      </c>
      <c r="L16" s="6">
        <f>(L15^(1/3))/10</f>
        <v>0</v>
      </c>
      <c r="M16" s="6">
        <f>(M15^(1/3))/10</f>
        <v>2.9852156308664961</v>
      </c>
      <c r="O16" t="s">
        <v>9</v>
      </c>
      <c r="R16">
        <v>21522.388999999999</v>
      </c>
      <c r="S16">
        <f>(S15-R15)*1999</f>
        <v>7.5935943646011528E-2</v>
      </c>
      <c r="T16">
        <f>(T15-R15)*1999</f>
        <v>0.75127165407495911</v>
      </c>
      <c r="U16">
        <v>58778.792000000001</v>
      </c>
      <c r="V16">
        <v>63238.044000000002</v>
      </c>
    </row>
    <row r="17" spans="1:22" x14ac:dyDescent="0.25">
      <c r="A17" t="s">
        <v>7</v>
      </c>
      <c r="B17">
        <v>-180.09155999999999</v>
      </c>
      <c r="O17" t="s">
        <v>10</v>
      </c>
      <c r="P17" s="6">
        <f>(P16^(1/3))/10</f>
        <v>0</v>
      </c>
      <c r="Q17" s="6">
        <f>(Q16^(1/3))/10</f>
        <v>0</v>
      </c>
      <c r="R17" s="6">
        <f>(R16^(1/3))/10</f>
        <v>2.7816137569084889</v>
      </c>
      <c r="U17" s="6">
        <f>(U16^(1/3))/10</f>
        <v>3.8881250009205237</v>
      </c>
      <c r="V17" s="6">
        <f>(V16^(1/3))/10</f>
        <v>3.9840625000275574</v>
      </c>
    </row>
    <row r="18" spans="1:22" x14ac:dyDescent="0.25">
      <c r="A18" t="s">
        <v>8</v>
      </c>
      <c r="B18">
        <v>-5.6278612499999996</v>
      </c>
      <c r="E18" s="27" t="s">
        <v>43</v>
      </c>
      <c r="F18" s="27">
        <v>2E-3</v>
      </c>
      <c r="G18" s="27" t="s">
        <v>82</v>
      </c>
      <c r="H18" s="27" t="s">
        <v>81</v>
      </c>
      <c r="J18" s="27" t="s">
        <v>43</v>
      </c>
      <c r="K18" s="35">
        <v>2.5000000000000001E-3</v>
      </c>
      <c r="L18" s="27" t="s">
        <v>98</v>
      </c>
      <c r="M18" s="27" t="s">
        <v>90</v>
      </c>
      <c r="P18">
        <f>ABS(P14-$B$24)</f>
        <v>6.3702971793936136E-2</v>
      </c>
      <c r="Q18">
        <f>ABS(Q14-$B$19)</f>
        <v>1.8279100707419893E-2</v>
      </c>
      <c r="R18">
        <f>ABS(R15-$B$14)</f>
        <v>0.24792289680340146</v>
      </c>
      <c r="U18">
        <f>ABS(U14-$B$31)</f>
        <v>2.6803593532500447E-2</v>
      </c>
      <c r="V18">
        <f>ABS(V14-$B$34)</f>
        <v>4.2437761247499442E-2</v>
      </c>
    </row>
    <row r="19" spans="1:22" x14ac:dyDescent="0.25">
      <c r="A19" s="17" t="s">
        <v>11</v>
      </c>
      <c r="B19" s="28">
        <v>0.74245690972226264</v>
      </c>
      <c r="E19" t="s">
        <v>7</v>
      </c>
      <c r="F19">
        <v>-8244.3546999999999</v>
      </c>
      <c r="G19">
        <v>-17799.53</v>
      </c>
      <c r="H19">
        <v>-8447.5103999999992</v>
      </c>
      <c r="J19" t="s">
        <v>7</v>
      </c>
      <c r="K19">
        <v>-8241.9310999999998</v>
      </c>
      <c r="L19">
        <v>-17798.311000000002</v>
      </c>
      <c r="M19">
        <v>-7147.9441999999999</v>
      </c>
      <c r="O19" s="20"/>
      <c r="P19" s="20"/>
      <c r="Q19" s="20"/>
      <c r="R19" s="20">
        <f>ABS(R17-$B$10)</f>
        <v>7.2386243091511204E-2</v>
      </c>
      <c r="S19" s="20"/>
      <c r="T19" s="20"/>
      <c r="U19" s="20">
        <f>ABS(U17-$B$32)</f>
        <v>0.38644500092052381</v>
      </c>
      <c r="V19" s="20">
        <f>ABS(V17-$B$35)</f>
        <v>0.38711250002755726</v>
      </c>
    </row>
    <row r="20" spans="1:22" x14ac:dyDescent="0.25">
      <c r="E20" t="s">
        <v>40</v>
      </c>
      <c r="F20">
        <f>F19/4000</f>
        <v>-2.0610886750000001</v>
      </c>
      <c r="G20">
        <f>G19/4000</f>
        <v>-4.4498824999999993</v>
      </c>
      <c r="H20">
        <f>H19/2000</f>
        <v>-4.2237551999999994</v>
      </c>
      <c r="J20" t="s">
        <v>40</v>
      </c>
      <c r="K20">
        <f>K19/4000</f>
        <v>-2.0604827750000001</v>
      </c>
      <c r="L20">
        <f>L19/4000</f>
        <v>-4.4495777500000004</v>
      </c>
      <c r="M20">
        <f>M19/2000</f>
        <v>-3.5739720999999998</v>
      </c>
      <c r="O20" s="27" t="s">
        <v>43</v>
      </c>
      <c r="P20" s="57">
        <v>1.75E-3</v>
      </c>
      <c r="Q20" s="27" t="s">
        <v>224</v>
      </c>
      <c r="R20" s="27" t="s">
        <v>45</v>
      </c>
    </row>
    <row r="21" spans="1:22" x14ac:dyDescent="0.25">
      <c r="A21" s="15"/>
      <c r="B21" t="s">
        <v>44</v>
      </c>
      <c r="E21" t="s">
        <v>11</v>
      </c>
      <c r="F21">
        <f>F19-1999*$B$4-$C$4</f>
        <v>0.84411699957105135</v>
      </c>
      <c r="G21">
        <f>G19-3999*$C$4-$B$4</f>
        <v>0.14209941042950991</v>
      </c>
      <c r="H21">
        <f>H19-1000*$B$4-1000*$C$4</f>
        <v>124.92514228000073</v>
      </c>
      <c r="J21" t="s">
        <v>11</v>
      </c>
      <c r="K21">
        <f>K19-1999*$B$4-$C$4</f>
        <v>3.2677169995711299</v>
      </c>
      <c r="L21">
        <f>L19-3999*$C$4-$B$4</f>
        <v>1.3610994104268324</v>
      </c>
      <c r="M21">
        <f>M19-1000*$B$4-1000*$C$4</f>
        <v>1424.49134228</v>
      </c>
      <c r="O21" t="s">
        <v>7</v>
      </c>
      <c r="P21">
        <v>-8245.8091543800001</v>
      </c>
      <c r="Q21">
        <v>-17800.8634222</v>
      </c>
      <c r="R21">
        <v>-8409.9779343900009</v>
      </c>
      <c r="U21">
        <v>-16852.496999999999</v>
      </c>
      <c r="V21">
        <v>-16770.477999999999</v>
      </c>
    </row>
    <row r="22" spans="1:22" x14ac:dyDescent="0.25">
      <c r="A22" s="15" t="s">
        <v>7</v>
      </c>
      <c r="B22">
        <v>-445.96480000000003</v>
      </c>
      <c r="H22">
        <f>H21/2000</f>
        <v>6.2462571140000367E-2</v>
      </c>
      <c r="M22">
        <f>M21/2000</f>
        <v>0.71224567114000004</v>
      </c>
      <c r="O22" t="s">
        <v>40</v>
      </c>
      <c r="P22">
        <f>P21/2000</f>
        <v>-4.1229045771899999</v>
      </c>
      <c r="Q22">
        <f>Q21/4000</f>
        <v>-4.4502158555499998</v>
      </c>
      <c r="R22">
        <f>R21/2000</f>
        <v>-4.2049889671950007</v>
      </c>
    </row>
    <row r="23" spans="1:22" x14ac:dyDescent="0.25">
      <c r="A23" s="15" t="s">
        <v>8</v>
      </c>
      <c r="B23">
        <v>-8.2586074074074087</v>
      </c>
      <c r="E23" t="s">
        <v>9</v>
      </c>
      <c r="H23">
        <v>23722.684000000001</v>
      </c>
      <c r="J23" t="s">
        <v>9</v>
      </c>
      <c r="M23">
        <v>25288.616000000002</v>
      </c>
      <c r="O23" t="s">
        <v>11</v>
      </c>
      <c r="P23">
        <f>P21-1999*$B$4-$C$4</f>
        <v>-0.61033738042919161</v>
      </c>
      <c r="Q23">
        <f>Q21-3999*$C$4-$B$4</f>
        <v>-1.1913227895717133</v>
      </c>
      <c r="R23">
        <f>R21-1000*$B$4-1000*$C$4</f>
        <v>162.45760788999905</v>
      </c>
      <c r="U23">
        <f>(U21-1000*$B$4-3000*$C$4)/4000</f>
        <v>0.15498459353250019</v>
      </c>
      <c r="V23">
        <f>(V21-3000*$B$4-1000*$C$4)/4000</f>
        <v>1.170719874750057E-2</v>
      </c>
    </row>
    <row r="24" spans="1:22" x14ac:dyDescent="0.25">
      <c r="A24" s="15" t="s">
        <v>11</v>
      </c>
      <c r="B24" s="28">
        <v>8.3814027777807887E-2</v>
      </c>
      <c r="E24" t="s">
        <v>10</v>
      </c>
      <c r="F24" s="6">
        <f>(F23^(1/3))/10</f>
        <v>0</v>
      </c>
      <c r="G24" s="6">
        <f>(G23^(1/3))/10</f>
        <v>0</v>
      </c>
      <c r="H24" s="6">
        <f>(H23^(1/3))/10</f>
        <v>2.8733461035686307</v>
      </c>
      <c r="J24" t="s">
        <v>10</v>
      </c>
      <c r="K24" s="6">
        <f>(K23^(1/3))/10</f>
        <v>0</v>
      </c>
      <c r="L24" s="6">
        <f>(L23^(1/3))/10</f>
        <v>0</v>
      </c>
      <c r="M24" s="6">
        <f>(M23^(1/3))/10</f>
        <v>2.9352269568242457</v>
      </c>
      <c r="R24">
        <f>R23/1999</f>
        <v>8.1269438664331686E-2</v>
      </c>
    </row>
    <row r="25" spans="1:22" x14ac:dyDescent="0.25">
      <c r="O25" t="s">
        <v>9</v>
      </c>
      <c r="R25">
        <v>22634.346000000001</v>
      </c>
      <c r="U25">
        <v>62422.540999999997</v>
      </c>
      <c r="V25">
        <v>66184.008000000002</v>
      </c>
    </row>
    <row r="26" spans="1:22" x14ac:dyDescent="0.25">
      <c r="B26" t="s">
        <v>70</v>
      </c>
      <c r="E26" s="27" t="s">
        <v>43</v>
      </c>
      <c r="F26" s="27">
        <v>2E-3</v>
      </c>
      <c r="G26" s="27" t="s">
        <v>83</v>
      </c>
      <c r="H26" s="27" t="s">
        <v>84</v>
      </c>
      <c r="J26" s="27" t="s">
        <v>43</v>
      </c>
      <c r="K26" s="35">
        <v>2.5000000000000001E-3</v>
      </c>
      <c r="L26" s="27" t="s">
        <v>99</v>
      </c>
      <c r="M26" s="27" t="s">
        <v>100</v>
      </c>
      <c r="O26" t="s">
        <v>10</v>
      </c>
      <c r="P26" s="6">
        <f>(P25^(1/3))/10</f>
        <v>0</v>
      </c>
      <c r="Q26" s="6">
        <f>(Q25^(1/3))/10</f>
        <v>0</v>
      </c>
      <c r="R26" s="6">
        <f>(R25^(1/3))/10</f>
        <v>2.8287158036995628</v>
      </c>
      <c r="U26" s="6">
        <f>(U25^(1/3))/10</f>
        <v>3.9668625055332107</v>
      </c>
      <c r="V26" s="6">
        <f>(V25^(1/3))/10</f>
        <v>4.0449921948181986</v>
      </c>
    </row>
    <row r="27" spans="1:22" x14ac:dyDescent="0.25">
      <c r="A27" t="s">
        <v>11</v>
      </c>
      <c r="E27" t="s">
        <v>7</v>
      </c>
      <c r="F27">
        <v>-8244.1823999999997</v>
      </c>
      <c r="G27">
        <v>-17799.388999999999</v>
      </c>
      <c r="H27">
        <v>-8396.6497999999992</v>
      </c>
      <c r="J27" t="s">
        <v>7</v>
      </c>
      <c r="K27">
        <v>-8242.2425999999996</v>
      </c>
      <c r="L27">
        <v>-17798.571</v>
      </c>
      <c r="M27">
        <v>-7294.7052000000003</v>
      </c>
      <c r="P27">
        <f>ABS(P23-$B$24)</f>
        <v>0.6941514082069995</v>
      </c>
      <c r="Q27">
        <f>ABS(Q23-$B$19)</f>
        <v>1.933779699293976</v>
      </c>
      <c r="R27">
        <f>ABS(R24-$B$14)</f>
        <v>2.7305613356683189E-3</v>
      </c>
      <c r="U27">
        <f>ABS(U23-$B$31)</f>
        <v>1.617540646749982E-2</v>
      </c>
      <c r="V27">
        <f>ABS(V23-$B$34)</f>
        <v>2.9547238752500225E-2</v>
      </c>
    </row>
    <row r="28" spans="1:22" x14ac:dyDescent="0.25">
      <c r="B28" t="s">
        <v>141</v>
      </c>
      <c r="E28" t="s">
        <v>40</v>
      </c>
      <c r="F28">
        <f>F27/4000</f>
        <v>-2.0610455999999999</v>
      </c>
      <c r="G28">
        <f>G27/4000</f>
        <v>-4.4498472499999995</v>
      </c>
      <c r="H28">
        <f>H27/2000</f>
        <v>-4.1983248999999994</v>
      </c>
      <c r="J28" t="s">
        <v>40</v>
      </c>
      <c r="K28">
        <f>K27/4000</f>
        <v>-2.0605606499999998</v>
      </c>
      <c r="L28">
        <f>L27/4000</f>
        <v>-4.4496427499999998</v>
      </c>
      <c r="M28">
        <f>M27/2000</f>
        <v>-3.6473526000000001</v>
      </c>
      <c r="O28" s="20"/>
      <c r="P28" s="20"/>
      <c r="Q28" s="20"/>
      <c r="R28" s="20">
        <f>ABS(R26-$B$10)</f>
        <v>2.5284196300437323E-2</v>
      </c>
      <c r="S28" s="20"/>
      <c r="T28" s="20"/>
      <c r="U28" s="20">
        <f>ABS(U26-$B$32)</f>
        <v>0.46518250553321083</v>
      </c>
      <c r="V28" s="20">
        <f>ABS(V26-$B$35)</f>
        <v>0.44804219481819851</v>
      </c>
    </row>
    <row r="29" spans="1:22" x14ac:dyDescent="0.25">
      <c r="A29" t="s">
        <v>11</v>
      </c>
      <c r="E29" t="s">
        <v>11</v>
      </c>
      <c r="F29">
        <f>F27-1999*$B$4-$C$4</f>
        <v>1.0164169995712289</v>
      </c>
      <c r="G29">
        <f>G27-3999*$C$4-$B$4</f>
        <v>0.28309941042913156</v>
      </c>
      <c r="H29">
        <f>H27-1000*$B$4-1000*$C$4</f>
        <v>175.7857422800007</v>
      </c>
      <c r="J29" t="s">
        <v>11</v>
      </c>
      <c r="K29">
        <f>K27-1999*$B$4-$C$4</f>
        <v>2.9562169995713337</v>
      </c>
      <c r="L29">
        <f>L27-3999*$C$4-$B$4</f>
        <v>1.1010994104284331</v>
      </c>
      <c r="M29">
        <f>M27-1000*$B$4-1000*$C$4</f>
        <v>1277.7303422799996</v>
      </c>
    </row>
    <row r="30" spans="1:22" x14ac:dyDescent="0.25">
      <c r="B30" t="s">
        <v>142</v>
      </c>
      <c r="H30">
        <f>H29/2000</f>
        <v>8.7892871140000356E-2</v>
      </c>
      <c r="M30">
        <f>M29/2000</f>
        <v>0.63886517113999985</v>
      </c>
      <c r="P30" t="s">
        <v>74</v>
      </c>
      <c r="Q30" t="s">
        <v>138</v>
      </c>
      <c r="R30" t="s">
        <v>227</v>
      </c>
    </row>
    <row r="31" spans="1:22" x14ac:dyDescent="0.25">
      <c r="A31" t="s">
        <v>11</v>
      </c>
      <c r="B31">
        <v>0.17116000000000001</v>
      </c>
      <c r="E31" t="s">
        <v>9</v>
      </c>
      <c r="H31">
        <v>22933.574000000001</v>
      </c>
      <c r="J31" t="s">
        <v>9</v>
      </c>
      <c r="M31">
        <v>25075.366999999998</v>
      </c>
      <c r="P31">
        <v>-8238.8732999999993</v>
      </c>
      <c r="Q31">
        <v>-8240.0305847399995</v>
      </c>
      <c r="R31">
        <v>-8246.9724000000006</v>
      </c>
    </row>
    <row r="32" spans="1:22" x14ac:dyDescent="0.25">
      <c r="B32">
        <v>3.5016799999999999</v>
      </c>
      <c r="E32" t="s">
        <v>10</v>
      </c>
      <c r="F32" s="6">
        <f>(F31^(1/3))/10</f>
        <v>0</v>
      </c>
      <c r="G32" s="6">
        <f>(G31^(1/3))/10</f>
        <v>0</v>
      </c>
      <c r="H32" s="6">
        <f>(H31^(1/3))/10</f>
        <v>2.8411265615903245</v>
      </c>
      <c r="J32" t="s">
        <v>10</v>
      </c>
      <c r="K32" s="6">
        <f>(K31^(1/3))/10</f>
        <v>0</v>
      </c>
      <c r="L32" s="6">
        <f>(L31^(1/3))/10</f>
        <v>0</v>
      </c>
      <c r="M32" s="6">
        <f>(M31^(1/3))/10</f>
        <v>2.9269531163757416</v>
      </c>
      <c r="P32" s="28">
        <f>P31/1999</f>
        <v>-4.1214973986993497</v>
      </c>
      <c r="Q32">
        <f>Q31/1999</f>
        <v>-4.1220763305352675</v>
      </c>
      <c r="R32">
        <f>R31/2000</f>
        <v>-4.1234862000000003</v>
      </c>
    </row>
    <row r="33" spans="1:18" x14ac:dyDescent="0.25">
      <c r="B33" t="s">
        <v>143</v>
      </c>
      <c r="P33" s="28">
        <f>P31-1999*$B$4</f>
        <v>1.8755170836466277</v>
      </c>
      <c r="Q33">
        <f>Q31-1998*$B$4-$C$4</f>
        <v>1.0457966332157955</v>
      </c>
      <c r="R33">
        <f>R31-1998*$B$4-2*$C$4</f>
        <v>-1.4460187108602263</v>
      </c>
    </row>
    <row r="34" spans="1:18" x14ac:dyDescent="0.25">
      <c r="A34" t="s">
        <v>11</v>
      </c>
      <c r="B34">
        <v>4.1254437500000796E-2</v>
      </c>
      <c r="E34" s="27" t="s">
        <v>43</v>
      </c>
      <c r="F34" s="27">
        <v>2E-3</v>
      </c>
      <c r="G34" s="27" t="s">
        <v>85</v>
      </c>
      <c r="H34" s="27" t="s">
        <v>86</v>
      </c>
      <c r="J34" s="27" t="s">
        <v>43</v>
      </c>
      <c r="K34" s="35">
        <v>2.5000000000000001E-3</v>
      </c>
      <c r="L34" s="27" t="s">
        <v>102</v>
      </c>
      <c r="M34" s="27" t="s">
        <v>103</v>
      </c>
      <c r="O34" s="27" t="s">
        <v>225</v>
      </c>
      <c r="Q34">
        <f>Q33-P33-P23</f>
        <v>-0.21938307000164059</v>
      </c>
      <c r="R34">
        <f>R33-2*P23</f>
        <v>-0.22534395000184304</v>
      </c>
    </row>
    <row r="35" spans="1:18" x14ac:dyDescent="0.25">
      <c r="B35">
        <v>3.5969500000000001</v>
      </c>
      <c r="E35" t="s">
        <v>7</v>
      </c>
      <c r="F35">
        <v>-8243.8965000000007</v>
      </c>
      <c r="G35">
        <v>-17799.083999999999</v>
      </c>
      <c r="H35">
        <v>-8227.3338999999996</v>
      </c>
      <c r="J35" t="s">
        <v>7</v>
      </c>
      <c r="K35">
        <v>-8242.4845000000005</v>
      </c>
      <c r="L35">
        <v>-17799.09</v>
      </c>
      <c r="M35">
        <v>-7597.5808999999999</v>
      </c>
    </row>
    <row r="36" spans="1:18" x14ac:dyDescent="0.25">
      <c r="E36" t="s">
        <v>40</v>
      </c>
      <c r="F36">
        <f>F35/4000</f>
        <v>-2.060974125</v>
      </c>
      <c r="G36">
        <f>G35/4000</f>
        <v>-4.4497710000000001</v>
      </c>
      <c r="H36">
        <f>H35/2000</f>
        <v>-4.1136669499999998</v>
      </c>
      <c r="J36" t="s">
        <v>40</v>
      </c>
      <c r="K36">
        <f>K35/4000</f>
        <v>-2.0606211249999999</v>
      </c>
      <c r="L36">
        <f>L35/4000</f>
        <v>-4.4497724999999999</v>
      </c>
      <c r="M36">
        <f>M35/2000</f>
        <v>-3.7987904499999998</v>
      </c>
    </row>
    <row r="37" spans="1:18" x14ac:dyDescent="0.25">
      <c r="E37" t="s">
        <v>11</v>
      </c>
      <c r="F37">
        <f>F35-1999*$B$4-$C$4</f>
        <v>1.3023169995701753</v>
      </c>
      <c r="G37">
        <f>G35-3999*$C$4-$B$4</f>
        <v>0.5880994104294226</v>
      </c>
      <c r="H37">
        <f>H35-1000*$B$4-1000*$C$4</f>
        <v>345.10164228000031</v>
      </c>
      <c r="J37" t="s">
        <v>11</v>
      </c>
      <c r="K37">
        <f>K35-1999*$B$4-$C$4</f>
        <v>2.7143169995704373</v>
      </c>
      <c r="L37">
        <f>L35-3999*$C$4-$B$4</f>
        <v>0.58209941042820024</v>
      </c>
      <c r="M37">
        <f>M35-1000*$B$4-1000*$C$4</f>
        <v>974.85464228000001</v>
      </c>
    </row>
    <row r="38" spans="1:18" x14ac:dyDescent="0.25">
      <c r="H38">
        <f>H37/2000</f>
        <v>0.17255082114000014</v>
      </c>
      <c r="M38">
        <f>M37/2000</f>
        <v>0.48742732113999998</v>
      </c>
    </row>
    <row r="39" spans="1:18" x14ac:dyDescent="0.25">
      <c r="E39" t="s">
        <v>9</v>
      </c>
      <c r="H39">
        <v>22590.39</v>
      </c>
      <c r="J39" t="s">
        <v>9</v>
      </c>
      <c r="M39">
        <v>24655.987000000001</v>
      </c>
    </row>
    <row r="40" spans="1:18" x14ac:dyDescent="0.25">
      <c r="E40" t="s">
        <v>10</v>
      </c>
      <c r="F40" s="6">
        <f>(F39^(1/3))/10</f>
        <v>0</v>
      </c>
      <c r="G40" s="6">
        <f>(G39^(1/3))/10</f>
        <v>0</v>
      </c>
      <c r="H40" s="6">
        <f>(H39^(1/3))/10</f>
        <v>2.8268834908684028</v>
      </c>
      <c r="J40" t="s">
        <v>10</v>
      </c>
      <c r="K40" s="6">
        <f>(K39^(1/3))/10</f>
        <v>0</v>
      </c>
      <c r="L40" s="6">
        <f>(L39^(1/3))/10</f>
        <v>0</v>
      </c>
      <c r="M40" s="6">
        <f>(M39^(1/3))/10</f>
        <v>2.9105437433330286</v>
      </c>
    </row>
    <row r="42" spans="1:18" x14ac:dyDescent="0.25">
      <c r="E42" s="27" t="s">
        <v>43</v>
      </c>
      <c r="F42" s="27">
        <v>2E-3</v>
      </c>
      <c r="G42" s="27" t="s">
        <v>87</v>
      </c>
      <c r="H42" s="27" t="s">
        <v>88</v>
      </c>
      <c r="J42" s="27" t="s">
        <v>43</v>
      </c>
      <c r="K42" s="35">
        <v>2.5000000000000001E-3</v>
      </c>
      <c r="L42" s="27" t="s">
        <v>101</v>
      </c>
      <c r="M42" s="27" t="s">
        <v>104</v>
      </c>
    </row>
    <row r="43" spans="1:18" x14ac:dyDescent="0.25">
      <c r="E43" t="s">
        <v>7</v>
      </c>
      <c r="F43">
        <v>-8243.8781999999992</v>
      </c>
      <c r="G43">
        <v>-17799.077000000001</v>
      </c>
      <c r="H43">
        <v>-8251.6710000000003</v>
      </c>
      <c r="J43" t="s">
        <v>7</v>
      </c>
      <c r="K43">
        <v>-8243.5566999999992</v>
      </c>
      <c r="L43">
        <v>-17800.197</v>
      </c>
      <c r="M43">
        <v>-8209.9922000000006</v>
      </c>
    </row>
    <row r="44" spans="1:18" x14ac:dyDescent="0.25">
      <c r="E44" t="s">
        <v>40</v>
      </c>
      <c r="F44">
        <f>F43/4000</f>
        <v>-2.0609695499999998</v>
      </c>
      <c r="G44">
        <f>G43/4000</f>
        <v>-4.4497692500000001</v>
      </c>
      <c r="H44">
        <f>H43/2000</f>
        <v>-4.1258355</v>
      </c>
      <c r="J44" t="s">
        <v>40</v>
      </c>
      <c r="K44">
        <f>K43/4000</f>
        <v>-2.0608891749999998</v>
      </c>
      <c r="L44">
        <f>L43/4000</f>
        <v>-4.4500492500000002</v>
      </c>
      <c r="M44">
        <f>M43/2000</f>
        <v>-4.1049961000000001</v>
      </c>
    </row>
    <row r="45" spans="1:18" x14ac:dyDescent="0.25">
      <c r="E45" t="s">
        <v>11</v>
      </c>
      <c r="F45">
        <f>F43-1999*$B$4-$C$4</f>
        <v>1.3206169995717207</v>
      </c>
      <c r="G45">
        <f>G43-3999*$C$4-$B$4</f>
        <v>0.59509941042721071</v>
      </c>
      <c r="H45">
        <f>H43-1000*$B$4-1000*$C$4</f>
        <v>320.76454227999966</v>
      </c>
      <c r="J45" t="s">
        <v>11</v>
      </c>
      <c r="K45">
        <f>K43-1999*$B$4-$C$4</f>
        <v>1.6421169995717353</v>
      </c>
      <c r="L45">
        <f>L43-3999*$C$4-$B$4</f>
        <v>-0.52490058957177066</v>
      </c>
      <c r="M45">
        <f>M43-1000*$B$4-1000*$C$4</f>
        <v>362.44334227999934</v>
      </c>
    </row>
    <row r="46" spans="1:18" x14ac:dyDescent="0.25">
      <c r="H46">
        <f>H45/2000</f>
        <v>0.16038227113999984</v>
      </c>
      <c r="M46">
        <f>M45/2000</f>
        <v>0.18122167113999968</v>
      </c>
    </row>
    <row r="47" spans="1:18" x14ac:dyDescent="0.25">
      <c r="E47" t="s">
        <v>9</v>
      </c>
      <c r="H47">
        <v>22303.202000000001</v>
      </c>
      <c r="J47" t="s">
        <v>9</v>
      </c>
      <c r="M47">
        <v>24801.527999999998</v>
      </c>
    </row>
    <row r="48" spans="1:18" x14ac:dyDescent="0.25">
      <c r="E48" t="s">
        <v>10</v>
      </c>
      <c r="F48" s="6">
        <f>(F47^(1/3))/10</f>
        <v>0</v>
      </c>
      <c r="G48" s="6">
        <f>(G47^(1/3))/10</f>
        <v>0</v>
      </c>
      <c r="H48" s="6">
        <f>(H47^(1/3))/10</f>
        <v>2.8148531272913564</v>
      </c>
      <c r="J48" t="s">
        <v>10</v>
      </c>
      <c r="K48" s="6">
        <f>(K47^(1/3))/10</f>
        <v>0</v>
      </c>
      <c r="L48" s="6">
        <f>(L47^(1/3))/10</f>
        <v>0</v>
      </c>
      <c r="M48" s="6">
        <f>(M47^(1/3))/10</f>
        <v>2.9162593622620401</v>
      </c>
    </row>
    <row r="50" spans="5:13" x14ac:dyDescent="0.25">
      <c r="E50" s="27" t="s">
        <v>43</v>
      </c>
      <c r="F50" s="27">
        <v>2E-3</v>
      </c>
      <c r="G50" s="27" t="s">
        <v>89</v>
      </c>
      <c r="H50" s="27" t="s">
        <v>90</v>
      </c>
      <c r="J50" s="27" t="s">
        <v>43</v>
      </c>
      <c r="K50" s="35">
        <v>2.5000000000000001E-3</v>
      </c>
      <c r="L50" s="27" t="s">
        <v>107</v>
      </c>
      <c r="M50" s="27" t="s">
        <v>108</v>
      </c>
    </row>
    <row r="51" spans="5:13" x14ac:dyDescent="0.25">
      <c r="E51" t="s">
        <v>7</v>
      </c>
      <c r="F51">
        <v>-8243.77</v>
      </c>
      <c r="G51">
        <v>-17798.957999999999</v>
      </c>
      <c r="H51">
        <v>-8183.9993000000004</v>
      </c>
      <c r="J51" t="s">
        <v>7</v>
      </c>
      <c r="K51">
        <v>-8244.0931</v>
      </c>
      <c r="L51">
        <v>-17800.701000000001</v>
      </c>
      <c r="M51">
        <v>-8397.7389000000003</v>
      </c>
    </row>
    <row r="52" spans="5:13" x14ac:dyDescent="0.25">
      <c r="E52" t="s">
        <v>40</v>
      </c>
      <c r="F52">
        <f>F51/4000</f>
        <v>-2.0609424999999999</v>
      </c>
      <c r="G52">
        <f>G51/4000</f>
        <v>-4.4497394999999997</v>
      </c>
      <c r="H52">
        <f>H51/2000</f>
        <v>-4.09199965</v>
      </c>
      <c r="J52" t="s">
        <v>40</v>
      </c>
      <c r="K52">
        <f>K51/4000</f>
        <v>-2.0610232750000002</v>
      </c>
      <c r="L52">
        <f>L51/4000</f>
        <v>-4.45017525</v>
      </c>
      <c r="M52">
        <f>M51/2000</f>
        <v>-4.1988694500000001</v>
      </c>
    </row>
    <row r="53" spans="5:13" x14ac:dyDescent="0.25">
      <c r="E53" t="s">
        <v>11</v>
      </c>
      <c r="F53">
        <f>F51-1999*$B$4-$C$4</f>
        <v>1.4288169995704809</v>
      </c>
      <c r="G53">
        <f>G51-3999*$C$4-$B$4</f>
        <v>0.71409941042962632</v>
      </c>
      <c r="H53">
        <f>H51-1000*$B$4-1000*$C$4</f>
        <v>388.43624227999953</v>
      </c>
      <c r="J53" t="s">
        <v>11</v>
      </c>
      <c r="K53">
        <f>K51-1999*$B$4-$C$4</f>
        <v>1.105716999570868</v>
      </c>
      <c r="L53">
        <f>L51-3999*$C$4-$B$4</f>
        <v>-1.0289005895725856</v>
      </c>
      <c r="M53">
        <f>M51-1000*$B$4-1000*$C$4</f>
        <v>174.69664227999965</v>
      </c>
    </row>
    <row r="54" spans="5:13" x14ac:dyDescent="0.25">
      <c r="H54">
        <f>H53/2000</f>
        <v>0.19421812113999976</v>
      </c>
      <c r="M54">
        <f>M53/2000</f>
        <v>8.7348321139999824E-2</v>
      </c>
    </row>
    <row r="55" spans="5:13" x14ac:dyDescent="0.25">
      <c r="E55" t="s">
        <v>9</v>
      </c>
      <c r="H55">
        <v>22187.263999999999</v>
      </c>
      <c r="J55" t="s">
        <v>9</v>
      </c>
      <c r="M55">
        <v>24980.714</v>
      </c>
    </row>
    <row r="56" spans="5:13" x14ac:dyDescent="0.25">
      <c r="E56" t="s">
        <v>10</v>
      </c>
      <c r="F56" s="6">
        <f>(F55^(1/3))/10</f>
        <v>0</v>
      </c>
      <c r="G56" s="6">
        <f>(G55^(1/3))/10</f>
        <v>0</v>
      </c>
      <c r="H56" s="6">
        <f>(H55^(1/3))/10</f>
        <v>2.8099671986140815</v>
      </c>
      <c r="J56" t="s">
        <v>10</v>
      </c>
      <c r="K56" s="6">
        <f>(K55^(1/3))/10</f>
        <v>0</v>
      </c>
      <c r="L56" s="6">
        <f>(L55^(1/3))/10</f>
        <v>0</v>
      </c>
      <c r="M56" s="6">
        <f>(M55^(1/3))/10</f>
        <v>2.9232656433663604</v>
      </c>
    </row>
    <row r="58" spans="5:13" x14ac:dyDescent="0.25">
      <c r="E58" s="27" t="s">
        <v>43</v>
      </c>
      <c r="F58" s="27">
        <v>2E-3</v>
      </c>
      <c r="G58" s="27" t="s">
        <v>91</v>
      </c>
      <c r="H58" s="27" t="s">
        <v>92</v>
      </c>
    </row>
    <row r="59" spans="5:13" x14ac:dyDescent="0.25">
      <c r="E59" t="s">
        <v>7</v>
      </c>
      <c r="F59">
        <v>-8244.5180999999993</v>
      </c>
      <c r="G59">
        <v>-17799.715</v>
      </c>
      <c r="H59">
        <v>-8572.5537999999997</v>
      </c>
    </row>
    <row r="60" spans="5:13" x14ac:dyDescent="0.25">
      <c r="E60" t="s">
        <v>40</v>
      </c>
      <c r="F60">
        <f>F59/4000</f>
        <v>-2.0611295249999997</v>
      </c>
      <c r="G60">
        <f>G59/4000</f>
        <v>-4.4499287499999998</v>
      </c>
      <c r="H60">
        <f>H59/2000</f>
        <v>-4.2862768999999998</v>
      </c>
    </row>
    <row r="61" spans="5:13" x14ac:dyDescent="0.25">
      <c r="E61" t="s">
        <v>11</v>
      </c>
      <c r="F61">
        <f>F59-1999*$B$4-$C$4</f>
        <v>0.68071699957159559</v>
      </c>
      <c r="G61">
        <f>G59-3999*$C$4-$B$4</f>
        <v>-4.2900589571799763E-2</v>
      </c>
      <c r="H61">
        <f>H59-1000*$B$4-1000*$C$4</f>
        <v>-0.11825771999974677</v>
      </c>
    </row>
    <row r="62" spans="5:13" x14ac:dyDescent="0.25">
      <c r="H62">
        <f>H61/2000</f>
        <v>-5.9128859999873385E-5</v>
      </c>
    </row>
    <row r="63" spans="5:13" x14ac:dyDescent="0.25">
      <c r="E63" t="s">
        <v>9</v>
      </c>
      <c r="H63">
        <v>22421.192999999999</v>
      </c>
    </row>
    <row r="64" spans="5:13" x14ac:dyDescent="0.25">
      <c r="E64" t="s">
        <v>10</v>
      </c>
      <c r="F64" s="6">
        <f>(F63^(1/3))/10</f>
        <v>0</v>
      </c>
      <c r="G64" s="6">
        <f>(G63^(1/3))/10</f>
        <v>0</v>
      </c>
      <c r="H64" s="6">
        <f>(H63^(1/3))/10</f>
        <v>2.8198082209502791</v>
      </c>
    </row>
    <row r="66" spans="5:8" x14ac:dyDescent="0.25">
      <c r="E66" s="27" t="s">
        <v>43</v>
      </c>
      <c r="F66" s="27">
        <v>2E-3</v>
      </c>
      <c r="G66" s="27" t="s">
        <v>93</v>
      </c>
      <c r="H66" s="27" t="s">
        <v>94</v>
      </c>
    </row>
    <row r="67" spans="5:8" x14ac:dyDescent="0.25">
      <c r="E67" t="s">
        <v>7</v>
      </c>
      <c r="F67">
        <v>-8244.8744000000006</v>
      </c>
      <c r="G67">
        <v>-17800.060000000001</v>
      </c>
      <c r="H67">
        <v>-8684.8376000000007</v>
      </c>
    </row>
    <row r="68" spans="5:8" x14ac:dyDescent="0.25">
      <c r="E68" t="s">
        <v>40</v>
      </c>
      <c r="F68">
        <f>F67/4000</f>
        <v>-2.0612186000000001</v>
      </c>
      <c r="G68">
        <f>G67/4000</f>
        <v>-4.4500150000000005</v>
      </c>
      <c r="H68">
        <f>H67/2000</f>
        <v>-4.3424188000000008</v>
      </c>
    </row>
    <row r="69" spans="5:8" x14ac:dyDescent="0.25">
      <c r="E69" t="s">
        <v>11</v>
      </c>
      <c r="F69">
        <f>F67-1999*$B$4-$C$4</f>
        <v>0.32441699957031211</v>
      </c>
      <c r="G69">
        <f>G67-3999*$C$4-$B$4</f>
        <v>-0.38790058957296392</v>
      </c>
      <c r="H69">
        <f>H67-1000*$B$4-1000*$C$4</f>
        <v>-112.40205772000081</v>
      </c>
    </row>
    <row r="70" spans="5:8" x14ac:dyDescent="0.25">
      <c r="H70">
        <f>H69/2000</f>
        <v>-5.6201028860000404E-2</v>
      </c>
    </row>
    <row r="71" spans="5:8" x14ac:dyDescent="0.25">
      <c r="E71" t="s">
        <v>9</v>
      </c>
      <c r="H71">
        <v>22528.014999999999</v>
      </c>
    </row>
    <row r="72" spans="5:8" x14ac:dyDescent="0.25">
      <c r="E72" t="s">
        <v>10</v>
      </c>
      <c r="F72" s="6">
        <f>(F71^(1/3))/10</f>
        <v>0</v>
      </c>
      <c r="G72" s="6">
        <f>(G71^(1/3))/10</f>
        <v>0</v>
      </c>
      <c r="H72" s="6">
        <f>(H71^(1/3))/10</f>
        <v>2.8242792950981288</v>
      </c>
    </row>
    <row r="74" spans="5:8" x14ac:dyDescent="0.25">
      <c r="E74" s="27" t="s">
        <v>43</v>
      </c>
      <c r="F74" s="27">
        <v>2E-3</v>
      </c>
      <c r="G74" s="27" t="s">
        <v>106</v>
      </c>
      <c r="H74" s="27" t="s">
        <v>105</v>
      </c>
    </row>
    <row r="75" spans="5:8" x14ac:dyDescent="0.25">
      <c r="E75" t="s">
        <v>7</v>
      </c>
      <c r="F75">
        <v>-8244.7379000000001</v>
      </c>
      <c r="G75">
        <v>-17799.900000000001</v>
      </c>
      <c r="H75">
        <v>-8549.5110999999997</v>
      </c>
    </row>
    <row r="76" spans="5:8" x14ac:dyDescent="0.25">
      <c r="E76" t="s">
        <v>40</v>
      </c>
      <c r="F76">
        <f>F75/4000</f>
        <v>-2.0611844750000001</v>
      </c>
      <c r="G76">
        <f>G75/4000</f>
        <v>-4.4499750000000002</v>
      </c>
      <c r="H76">
        <f>H75/2000</f>
        <v>-4.2747555500000001</v>
      </c>
    </row>
    <row r="77" spans="5:8" x14ac:dyDescent="0.25">
      <c r="E77" t="s">
        <v>11</v>
      </c>
      <c r="F77">
        <f>F75-1999*$B$4-$C$4</f>
        <v>0.46091699957083598</v>
      </c>
      <c r="G77">
        <f>G75-3999*$C$4-$B$4</f>
        <v>-0.22790058957310944</v>
      </c>
      <c r="H77">
        <f>H75-1000*$B$4-1000*$C$4</f>
        <v>22.924442280000221</v>
      </c>
    </row>
    <row r="78" spans="5:8" x14ac:dyDescent="0.25">
      <c r="H78">
        <f>H77/2000</f>
        <v>1.146222114000011E-2</v>
      </c>
    </row>
    <row r="79" spans="5:8" x14ac:dyDescent="0.25">
      <c r="E79" t="s">
        <v>9</v>
      </c>
      <c r="H79">
        <v>22644.582999999999</v>
      </c>
    </row>
    <row r="80" spans="5:8" x14ac:dyDescent="0.25">
      <c r="E80" t="s">
        <v>10</v>
      </c>
      <c r="F80" s="6">
        <f>(F79^(1/3))/10</f>
        <v>0</v>
      </c>
      <c r="G80" s="6">
        <f>(G79^(1/3))/10</f>
        <v>0</v>
      </c>
      <c r="H80" s="6">
        <f>(H79^(1/3))/10</f>
        <v>2.8291421940351933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F26" sqref="F26"/>
    </sheetView>
  </sheetViews>
  <sheetFormatPr defaultColWidth="11" defaultRowHeight="15.75" x14ac:dyDescent="0.25"/>
  <sheetData>
    <row r="1" spans="1:16" x14ac:dyDescent="0.25">
      <c r="D1" s="38" t="s">
        <v>144</v>
      </c>
      <c r="E1" s="38" t="s">
        <v>149</v>
      </c>
      <c r="F1" s="38" t="s">
        <v>148</v>
      </c>
      <c r="G1" s="38" t="s">
        <v>152</v>
      </c>
      <c r="H1" s="38" t="s">
        <v>154</v>
      </c>
      <c r="I1" s="38" t="s">
        <v>155</v>
      </c>
      <c r="J1" s="38" t="s">
        <v>156</v>
      </c>
      <c r="K1" s="38" t="s">
        <v>150</v>
      </c>
      <c r="L1" s="38" t="s">
        <v>151</v>
      </c>
      <c r="M1" s="38" t="s">
        <v>153</v>
      </c>
      <c r="N1" s="38" t="s">
        <v>157</v>
      </c>
      <c r="O1" s="38" t="s">
        <v>142</v>
      </c>
      <c r="P1" s="38" t="s">
        <v>143</v>
      </c>
    </row>
    <row r="2" spans="1:16" x14ac:dyDescent="0.25">
      <c r="A2" t="s">
        <v>4</v>
      </c>
      <c r="B2">
        <v>-4.1224860490899999</v>
      </c>
      <c r="D2" s="38">
        <v>-9021.7420000000002</v>
      </c>
      <c r="E2" s="38">
        <v>-9016.1875</v>
      </c>
      <c r="F2" s="38">
        <v>-9015.3858999999993</v>
      </c>
      <c r="G2" s="38">
        <v>-9009.8919999999998</v>
      </c>
      <c r="H2" s="38">
        <v>-9009.8315000000002</v>
      </c>
      <c r="I2" s="38">
        <v>-9021.2723000000005</v>
      </c>
      <c r="J2" s="38">
        <v>-9020.2240999999995</v>
      </c>
      <c r="K2" s="38">
        <v>-9022.2170000000006</v>
      </c>
      <c r="L2" s="38">
        <v>-9018.6301999999996</v>
      </c>
      <c r="M2" s="38">
        <v>-9019.5527000000002</v>
      </c>
      <c r="N2" s="38">
        <v>-9019.1043000000009</v>
      </c>
      <c r="O2" s="38">
        <v>-18525.91</v>
      </c>
      <c r="P2" s="38">
        <v>-15572.439</v>
      </c>
    </row>
    <row r="3" spans="1:16" x14ac:dyDescent="0.25">
      <c r="A3" t="s">
        <v>146</v>
      </c>
      <c r="B3">
        <v>-4.45</v>
      </c>
      <c r="D3" s="38">
        <f>D2-1000*B3-1000*B4</f>
        <v>-1211.7420000000002</v>
      </c>
      <c r="E3" s="38">
        <f>E2-1000*B3-999*B4</f>
        <v>-1209.5475000000001</v>
      </c>
      <c r="F3" s="38">
        <f>F2-999*B3-1000*B4</f>
        <v>-1209.8358999999991</v>
      </c>
      <c r="G3" s="38">
        <f>G2-999*B3-999*B4</f>
        <v>-1207.7019999999998</v>
      </c>
      <c r="H3" s="38">
        <f>H2-999*B3-999*B4</f>
        <v>-1207.6415000000002</v>
      </c>
      <c r="I3" s="38">
        <f>I2-B2-999*B3-1000*B4</f>
        <v>-1211.5998139509111</v>
      </c>
      <c r="J3" s="38">
        <f>J2-B2-1000*B3-999*B4</f>
        <v>-1209.4616139509103</v>
      </c>
      <c r="K3" s="38">
        <f>K2-1001*B3-999*B4</f>
        <v>-1211.1270000000009</v>
      </c>
      <c r="L3" s="38">
        <f>L2-999*B3-1001*B4</f>
        <v>-1209.7201999999997</v>
      </c>
      <c r="M3" s="38">
        <f>M2-1000*B3-1000*B4</f>
        <v>-1209.5527000000002</v>
      </c>
      <c r="N3" s="38">
        <f>N2-1000*B3-1000*B4</f>
        <v>-1209.1043000000009</v>
      </c>
      <c r="O3" s="38">
        <f>O2-3000*B3-1000*B4</f>
        <v>-1815.9099999999999</v>
      </c>
      <c r="P3" s="38">
        <f>P2-1000*B3-3000*B4</f>
        <v>-1042.4390000000003</v>
      </c>
    </row>
    <row r="4" spans="1:16" x14ac:dyDescent="0.25">
      <c r="A4" t="s">
        <v>5</v>
      </c>
      <c r="B4">
        <v>-3.36</v>
      </c>
      <c r="D4" s="38">
        <f>D3/2000</f>
        <v>-0.60587100000000005</v>
      </c>
      <c r="E4" s="38">
        <f>E3/1999</f>
        <v>-0.60507628814407211</v>
      </c>
      <c r="F4" s="38">
        <f>F3/1999</f>
        <v>-0.6052205602801396</v>
      </c>
      <c r="G4" s="38">
        <f>G3/1998</f>
        <v>-0.60445545545545531</v>
      </c>
      <c r="H4" s="38">
        <f>H3/1998</f>
        <v>-0.60442517517517524</v>
      </c>
      <c r="I4" s="38">
        <f t="shared" ref="I4:N4" si="0">I3/2000</f>
        <v>-0.60579990697545549</v>
      </c>
      <c r="J4" s="38">
        <f t="shared" si="0"/>
        <v>-0.60473080697545512</v>
      </c>
      <c r="K4" s="38">
        <f t="shared" si="0"/>
        <v>-0.60556350000000048</v>
      </c>
      <c r="L4" s="38">
        <f t="shared" si="0"/>
        <v>-0.6048600999999999</v>
      </c>
      <c r="M4" s="38">
        <f t="shared" si="0"/>
        <v>-0.60477635000000007</v>
      </c>
      <c r="N4" s="38">
        <f t="shared" si="0"/>
        <v>-0.6045521500000004</v>
      </c>
      <c r="O4" s="38">
        <f>O3/4000</f>
        <v>-0.45397749999999998</v>
      </c>
      <c r="P4" s="38">
        <f>P3/4000</f>
        <v>-0.26060975000000008</v>
      </c>
    </row>
    <row r="5" spans="1:16" x14ac:dyDescent="0.25">
      <c r="D5" s="38">
        <f>22712.997</f>
        <v>22712.996999999999</v>
      </c>
      <c r="E5" s="38">
        <f>(E4-D4)*1999</f>
        <v>1.5886289999999583</v>
      </c>
      <c r="F5" s="38">
        <f>(F4-D4)*1999</f>
        <v>1.300229000001043</v>
      </c>
      <c r="G5" s="38">
        <f>(G4-D4)*1998</f>
        <v>2.8282580000003774</v>
      </c>
      <c r="H5" s="38">
        <f>(H4-D4)*1998</f>
        <v>2.8887579999999584</v>
      </c>
      <c r="I5" s="38">
        <f>(I4-D4)*2000</f>
        <v>0.14218604908911026</v>
      </c>
      <c r="J5" s="38">
        <f>(J4-D4)*2000</f>
        <v>2.2803860490898664</v>
      </c>
      <c r="K5" s="38">
        <f>(K4-D4)*2000</f>
        <v>0.61499999999914401</v>
      </c>
      <c r="L5" s="38">
        <f>(L4-D4)*2000</f>
        <v>2.0218000000002956</v>
      </c>
      <c r="M5" s="38">
        <f>(M4-D4)*2000</f>
        <v>2.1892999999999496</v>
      </c>
      <c r="N5" s="38">
        <f>(N4-D4)*2000</f>
        <v>2.6376999999992989</v>
      </c>
      <c r="O5" s="38">
        <v>44117.946000000004</v>
      </c>
      <c r="P5" s="38">
        <v>54937.006000000001</v>
      </c>
    </row>
    <row r="6" spans="1:16" x14ac:dyDescent="0.25">
      <c r="A6" t="s">
        <v>144</v>
      </c>
      <c r="D6" s="38">
        <f>(D5^(1/3))/10</f>
        <v>2.8319884720954969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>
        <f>(O5^(1/3))/10</f>
        <v>3.5334999941165663</v>
      </c>
      <c r="P6" s="38">
        <f>(P5^(1/3))/10</f>
        <v>3.8015000079951866</v>
      </c>
    </row>
    <row r="7" spans="1:16" x14ac:dyDescent="0.25">
      <c r="A7" t="s">
        <v>11</v>
      </c>
      <c r="B7">
        <v>-0.66916415740740776</v>
      </c>
      <c r="C7" t="s">
        <v>131</v>
      </c>
      <c r="D7" s="38">
        <f>ABS(D4-B7)</f>
        <v>6.3293157407407707E-2</v>
      </c>
      <c r="E7" s="38">
        <f>ABS(E5-B13)</f>
        <v>0.1802915925926345</v>
      </c>
      <c r="F7" s="38">
        <f>ABS(F5-B12)</f>
        <v>0.94114440740848926</v>
      </c>
      <c r="G7" s="38">
        <f>ABS(G5-B17)</f>
        <v>0.65544281481519118</v>
      </c>
      <c r="H7" s="38">
        <f>ABS(H5-B17)</f>
        <v>0.71594281481477218</v>
      </c>
      <c r="I7" s="38">
        <f>ABS(I5-B11)</f>
        <v>0.56723520091085655</v>
      </c>
      <c r="J7" s="38">
        <f>ABS(J5-B10)</f>
        <v>0.14432407686760396</v>
      </c>
      <c r="K7" s="38">
        <f>ABS(K5-B14)</f>
        <v>0.36113600000087676</v>
      </c>
      <c r="L7" s="38">
        <f>ABS(L5-B15)</f>
        <v>0.40286600000029993</v>
      </c>
      <c r="M7" s="38"/>
      <c r="N7" s="38"/>
      <c r="O7" s="38">
        <f>ABS(O4-B18)</f>
        <v>1.7982749999999215E-2</v>
      </c>
      <c r="P7" s="38">
        <f>ABS(P4-B20)</f>
        <v>3.3721499999999849E-2</v>
      </c>
    </row>
    <row r="8" spans="1:16" x14ac:dyDescent="0.25">
      <c r="A8" t="s">
        <v>10</v>
      </c>
      <c r="B8">
        <v>2.8950399999999998</v>
      </c>
      <c r="D8" s="38">
        <f>ABS(D6-B8)</f>
        <v>6.3051527904502969E-2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>
        <f>ABS(O6-B19)</f>
        <v>3.6360005883433466E-2</v>
      </c>
      <c r="P8" s="38">
        <f>ABS(P6-B21)</f>
        <v>4.2609992004813524E-2</v>
      </c>
    </row>
    <row r="9" spans="1:16" x14ac:dyDescent="0.25"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16" x14ac:dyDescent="0.25">
      <c r="A10" t="s">
        <v>145</v>
      </c>
      <c r="B10">
        <v>2.1360619722222625</v>
      </c>
      <c r="D10" s="38" t="s">
        <v>160</v>
      </c>
      <c r="E10" s="38" t="s">
        <v>161</v>
      </c>
      <c r="F10" s="38" t="s">
        <v>162</v>
      </c>
      <c r="G10" s="38" t="s">
        <v>163</v>
      </c>
      <c r="H10" s="38" t="s">
        <v>164</v>
      </c>
      <c r="I10" s="38" t="s">
        <v>165</v>
      </c>
      <c r="J10" s="38" t="s">
        <v>166</v>
      </c>
      <c r="K10" s="38" t="s">
        <v>167</v>
      </c>
      <c r="L10" s="38" t="s">
        <v>168</v>
      </c>
      <c r="M10" s="38"/>
      <c r="N10" s="38"/>
      <c r="O10" s="38"/>
      <c r="P10" s="38"/>
    </row>
    <row r="11" spans="1:16" x14ac:dyDescent="0.25">
      <c r="A11" t="s">
        <v>147</v>
      </c>
      <c r="B11">
        <v>0.70942124999996681</v>
      </c>
      <c r="D11" s="38">
        <v>-9015.9799000000003</v>
      </c>
      <c r="E11" s="38">
        <v>-9013.8721999999998</v>
      </c>
      <c r="F11" s="38">
        <v>-9017.9331999999995</v>
      </c>
      <c r="G11" s="38">
        <v>-9014.3070000000007</v>
      </c>
      <c r="H11" s="38">
        <v>-9013.8053999999993</v>
      </c>
      <c r="I11" s="38">
        <v>-9016.7073</v>
      </c>
      <c r="J11" s="38">
        <v>-9016.3651000000009</v>
      </c>
      <c r="K11" s="38">
        <v>-9016.8557999999994</v>
      </c>
      <c r="L11" s="38">
        <v>-9016.5378000000001</v>
      </c>
      <c r="M11" s="38"/>
      <c r="N11" s="38"/>
      <c r="O11" s="38"/>
      <c r="P11" s="38"/>
    </row>
    <row r="12" spans="1:16" x14ac:dyDescent="0.25">
      <c r="A12" t="s">
        <v>148</v>
      </c>
      <c r="B12">
        <v>0.35908459259255376</v>
      </c>
      <c r="D12" s="38">
        <f t="shared" ref="D12:L12" si="1">D11-$B$2-1000*$B$3-1000*$B$4</f>
        <v>-1201.857413950911</v>
      </c>
      <c r="E12" s="38">
        <f t="shared" si="1"/>
        <v>-1199.7497139509105</v>
      </c>
      <c r="F12" s="38">
        <f t="shared" si="1"/>
        <v>-1203.8107139509102</v>
      </c>
      <c r="G12" s="38">
        <f t="shared" si="1"/>
        <v>-1200.1845139509114</v>
      </c>
      <c r="H12" s="38">
        <f t="shared" si="1"/>
        <v>-1199.68291395091</v>
      </c>
      <c r="I12" s="38">
        <f t="shared" si="1"/>
        <v>-1202.5848139509108</v>
      </c>
      <c r="J12" s="38">
        <f t="shared" si="1"/>
        <v>-1202.2426139509116</v>
      </c>
      <c r="K12" s="38">
        <f t="shared" si="1"/>
        <v>-1202.7333139509101</v>
      </c>
      <c r="L12" s="38">
        <f t="shared" si="1"/>
        <v>-1202.4153139509108</v>
      </c>
      <c r="M12" s="38"/>
      <c r="N12" s="38"/>
      <c r="O12" s="38"/>
      <c r="P12" s="38"/>
    </row>
    <row r="13" spans="1:16" x14ac:dyDescent="0.25">
      <c r="A13" t="s">
        <v>149</v>
      </c>
      <c r="B13">
        <v>1.7689205925925928</v>
      </c>
      <c r="D13" s="38">
        <f t="shared" ref="D13:L13" si="2">D12/2001</f>
        <v>-0.60062839277906599</v>
      </c>
      <c r="E13" s="38">
        <f t="shared" si="2"/>
        <v>-0.59957506944073491</v>
      </c>
      <c r="F13" s="38">
        <f t="shared" si="2"/>
        <v>-0.60160455469810603</v>
      </c>
      <c r="G13" s="38">
        <f t="shared" si="2"/>
        <v>-0.59979236079505815</v>
      </c>
      <c r="H13" s="38">
        <f t="shared" si="2"/>
        <v>-0.59954168613238878</v>
      </c>
      <c r="I13" s="38">
        <f t="shared" si="2"/>
        <v>-0.60099191101994542</v>
      </c>
      <c r="J13" s="38">
        <f t="shared" si="2"/>
        <v>-0.60082089652719217</v>
      </c>
      <c r="K13" s="38">
        <f t="shared" si="2"/>
        <v>-0.60106612391349834</v>
      </c>
      <c r="L13" s="38">
        <f t="shared" si="2"/>
        <v>-0.60090720337376846</v>
      </c>
      <c r="M13" s="38"/>
      <c r="N13" s="38"/>
      <c r="O13" s="38"/>
      <c r="P13" s="38"/>
    </row>
    <row r="14" spans="1:16" x14ac:dyDescent="0.25">
      <c r="A14" t="s">
        <v>150</v>
      </c>
      <c r="B14">
        <v>0.97613600000002076</v>
      </c>
      <c r="D14" s="38">
        <f t="shared" ref="D14:L14" si="3">(D13-$D$4)*2001</f>
        <v>10.490457049089052</v>
      </c>
      <c r="E14" s="38">
        <f t="shared" si="3"/>
        <v>12.598157049089544</v>
      </c>
      <c r="F14" s="38">
        <f t="shared" si="3"/>
        <v>8.5371570490899291</v>
      </c>
      <c r="G14" s="38">
        <f t="shared" si="3"/>
        <v>12.163357049088729</v>
      </c>
      <c r="H14" s="38">
        <f t="shared" si="3"/>
        <v>12.664957049090139</v>
      </c>
      <c r="I14" s="38">
        <f t="shared" si="3"/>
        <v>9.7630570490893032</v>
      </c>
      <c r="J14" s="38">
        <f t="shared" si="3"/>
        <v>10.105257049088561</v>
      </c>
      <c r="K14" s="38">
        <f t="shared" si="3"/>
        <v>9.6145570490899175</v>
      </c>
      <c r="L14" s="38">
        <f t="shared" si="3"/>
        <v>9.9325570490894055</v>
      </c>
      <c r="M14" s="38"/>
      <c r="N14" s="38"/>
      <c r="O14" s="38"/>
      <c r="P14" s="38"/>
    </row>
    <row r="15" spans="1:16" x14ac:dyDescent="0.25">
      <c r="A15" t="s">
        <v>151</v>
      </c>
      <c r="B15">
        <v>1.6189339999999957</v>
      </c>
      <c r="C15" t="s">
        <v>131</v>
      </c>
      <c r="D15" s="38">
        <f>ABS(D14-B22)</f>
        <v>4.1371103916816248</v>
      </c>
      <c r="E15" s="38">
        <f t="shared" ref="E15:L15" si="4">ABS(E14-$B22)</f>
        <v>6.2448103916821163</v>
      </c>
      <c r="F15" s="38">
        <f t="shared" si="4"/>
        <v>2.1838103916825018</v>
      </c>
      <c r="G15" s="38">
        <f t="shared" si="4"/>
        <v>5.8100103916813017</v>
      </c>
      <c r="H15" s="38">
        <f t="shared" si="4"/>
        <v>6.311610391682712</v>
      </c>
      <c r="I15" s="38">
        <f t="shared" si="4"/>
        <v>3.4097103916818758</v>
      </c>
      <c r="J15" s="38">
        <f t="shared" si="4"/>
        <v>3.7519103916811334</v>
      </c>
      <c r="K15" s="38">
        <f t="shared" si="4"/>
        <v>3.2612103916824902</v>
      </c>
      <c r="L15" s="38">
        <f t="shared" si="4"/>
        <v>3.5792103916819782</v>
      </c>
      <c r="M15" s="38"/>
      <c r="N15" s="38"/>
      <c r="O15" s="38"/>
      <c r="P15" s="38"/>
    </row>
    <row r="16" spans="1:16" x14ac:dyDescent="0.25">
      <c r="A16" t="s">
        <v>153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</row>
    <row r="17" spans="1:16" x14ac:dyDescent="0.25">
      <c r="A17" t="s">
        <v>152</v>
      </c>
      <c r="B17">
        <v>2.1728151851851862</v>
      </c>
      <c r="D17" s="49" t="s">
        <v>144</v>
      </c>
      <c r="E17" s="49" t="s">
        <v>149</v>
      </c>
      <c r="F17" s="49" t="s">
        <v>148</v>
      </c>
      <c r="G17" s="49" t="s">
        <v>153</v>
      </c>
      <c r="H17" s="49" t="s">
        <v>150</v>
      </c>
      <c r="I17" s="49" t="s">
        <v>151</v>
      </c>
      <c r="J17" s="49" t="s">
        <v>230</v>
      </c>
      <c r="K17" s="49" t="s">
        <v>155</v>
      </c>
      <c r="L17" s="49" t="s">
        <v>156</v>
      </c>
      <c r="M17" s="49" t="s">
        <v>232</v>
      </c>
      <c r="N17" s="49"/>
      <c r="O17" s="49"/>
      <c r="P17" s="49"/>
    </row>
    <row r="18" spans="1:16" x14ac:dyDescent="0.25">
      <c r="A18" t="s">
        <v>158</v>
      </c>
      <c r="B18">
        <v>-0.43599475000000076</v>
      </c>
      <c r="C18" s="58" t="s">
        <v>7</v>
      </c>
      <c r="D18" s="49">
        <v>-9021.7420329699999</v>
      </c>
      <c r="E18" s="49">
        <v>-9016.1875</v>
      </c>
      <c r="F18" s="49">
        <v>-9015.3859052900007</v>
      </c>
      <c r="G18" s="49">
        <v>-9019.1041892699996</v>
      </c>
      <c r="H18" s="49">
        <v>-9022.2167956100002</v>
      </c>
      <c r="I18" s="49">
        <v>-9018.62956562</v>
      </c>
      <c r="J18" s="49">
        <v>-9009.8314582399998</v>
      </c>
      <c r="K18" s="49">
        <v>-9021.6202016299994</v>
      </c>
      <c r="L18" s="49">
        <v>-9021.4046718699992</v>
      </c>
      <c r="M18" s="49">
        <v>-9019.5526075399994</v>
      </c>
      <c r="N18" s="49"/>
      <c r="O18" s="49"/>
      <c r="P18" s="49"/>
    </row>
    <row r="19" spans="1:16" x14ac:dyDescent="0.25">
      <c r="B19">
        <v>3.5698599999999998</v>
      </c>
      <c r="C19" s="58" t="s">
        <v>192</v>
      </c>
      <c r="D19" s="49">
        <f>D18-1000*$B$3-1000*$B$4</f>
        <v>-1211.7420329699999</v>
      </c>
      <c r="E19" s="49">
        <f>E18-1000*$B$3-999*$B$4</f>
        <v>-1209.5475000000001</v>
      </c>
      <c r="F19" s="49">
        <f>F18-999*$B$3-1000*$B$4</f>
        <v>-1209.8359052900005</v>
      </c>
      <c r="G19" s="49">
        <f>G18-1000*$B$3-1000*$B$4</f>
        <v>-1209.1041892699996</v>
      </c>
      <c r="H19" s="49">
        <f>H18-1001*$B$3-999*$B$4</f>
        <v>-1211.1267956100005</v>
      </c>
      <c r="I19" s="49">
        <f>I18-999*$B$3-1001*$B$4</f>
        <v>-1209.7195656200001</v>
      </c>
      <c r="J19" s="49">
        <f>J18-999*$B$3-999*$B$4</f>
        <v>-1207.6414582399998</v>
      </c>
      <c r="K19" s="49">
        <f>K18-999*$B$3-1000*$B$4-$B$2</f>
        <v>-1211.9477155809093</v>
      </c>
      <c r="L19" s="49">
        <f>L18-1000*$B$3-999*$B$4-$B$2</f>
        <v>-1210.6421858209094</v>
      </c>
      <c r="M19" s="49">
        <f>M18-1000*$B$3-1000*$B$4</f>
        <v>-1209.5526075399994</v>
      </c>
      <c r="N19" s="49"/>
      <c r="O19" s="49"/>
      <c r="P19" s="49"/>
    </row>
    <row r="20" spans="1:16" x14ac:dyDescent="0.25">
      <c r="A20" t="s">
        <v>159</v>
      </c>
      <c r="B20">
        <v>-0.22688825000000024</v>
      </c>
      <c r="C20" s="58" t="s">
        <v>193</v>
      </c>
      <c r="D20" s="49">
        <f>D19/2000</f>
        <v>-0.60587101648499997</v>
      </c>
      <c r="E20" s="49">
        <f>E19/1999</f>
        <v>-0.60507628814407211</v>
      </c>
      <c r="F20" s="49">
        <f>F19/1999</f>
        <v>-0.60522056292646342</v>
      </c>
      <c r="G20" s="49">
        <f>G19/2000</f>
        <v>-0.60455209463499981</v>
      </c>
      <c r="H20" s="49">
        <f>H19/2000</f>
        <v>-0.60556339780500024</v>
      </c>
      <c r="I20" s="49">
        <f>I19/2000</f>
        <v>-0.60485978281000008</v>
      </c>
      <c r="J20" s="49">
        <f>J19/1998</f>
        <v>-0.60442515427427412</v>
      </c>
      <c r="K20" s="49">
        <f>K19/2000</f>
        <v>-0.60597385779045465</v>
      </c>
      <c r="L20" s="49">
        <f>L19/2000</f>
        <v>-0.60532109291045466</v>
      </c>
      <c r="M20" s="49">
        <f>M19/2000</f>
        <v>-0.60477630376999969</v>
      </c>
      <c r="N20" s="49"/>
      <c r="O20" s="49"/>
      <c r="P20" s="49"/>
    </row>
    <row r="21" spans="1:16" x14ac:dyDescent="0.25">
      <c r="B21">
        <v>3.8441100000000001</v>
      </c>
      <c r="C21" s="58" t="s">
        <v>9</v>
      </c>
      <c r="D21" s="49">
        <v>22712.996999999999</v>
      </c>
      <c r="E21" s="49">
        <v>22709.214</v>
      </c>
      <c r="F21" s="49">
        <v>22713.5</v>
      </c>
      <c r="G21" s="49">
        <v>22717.786</v>
      </c>
      <c r="H21" s="49">
        <v>22713.5</v>
      </c>
      <c r="I21" s="49">
        <v>22726.36</v>
      </c>
      <c r="J21" s="49">
        <v>22709.214</v>
      </c>
      <c r="K21" s="49">
        <v>22713.5</v>
      </c>
      <c r="L21" s="49">
        <v>22709.214</v>
      </c>
      <c r="M21" s="49">
        <v>22717.786</v>
      </c>
      <c r="N21" s="49"/>
      <c r="O21" s="49"/>
      <c r="P21" s="49"/>
    </row>
    <row r="22" spans="1:16" x14ac:dyDescent="0.25">
      <c r="A22" t="s">
        <v>160</v>
      </c>
      <c r="B22">
        <v>6.3533466574074273</v>
      </c>
      <c r="C22" s="58" t="s">
        <v>10</v>
      </c>
      <c r="D22" s="49">
        <f t="shared" ref="D22:M22" si="5">(D21^(1/3))/10</f>
        <v>2.8319884720954969</v>
      </c>
      <c r="E22" s="49">
        <f t="shared" si="5"/>
        <v>2.8318312345566921</v>
      </c>
      <c r="F22" s="49">
        <f t="shared" si="5"/>
        <v>2.8320093775956403</v>
      </c>
      <c r="G22" s="49">
        <f t="shared" si="5"/>
        <v>2.8321874982258</v>
      </c>
      <c r="H22" s="49">
        <f t="shared" si="5"/>
        <v>2.8320093775956403</v>
      </c>
      <c r="I22" s="49">
        <f t="shared" si="5"/>
        <v>2.8325437553792199</v>
      </c>
      <c r="J22" s="49">
        <f t="shared" si="5"/>
        <v>2.8318312345566921</v>
      </c>
      <c r="K22" s="49">
        <f t="shared" si="5"/>
        <v>2.8320093775956403</v>
      </c>
      <c r="L22" s="49">
        <f t="shared" si="5"/>
        <v>2.8318312345566921</v>
      </c>
      <c r="M22" s="49">
        <f t="shared" si="5"/>
        <v>2.8321874982258</v>
      </c>
      <c r="N22" s="49"/>
      <c r="O22" s="49"/>
      <c r="P22" s="49"/>
    </row>
    <row r="23" spans="1:16" x14ac:dyDescent="0.25">
      <c r="C23" s="58" t="s">
        <v>228</v>
      </c>
      <c r="D23" s="49"/>
      <c r="E23" s="49">
        <f t="shared" ref="E23:M23" si="6">E21-$D$21</f>
        <v>-3.782999999999447</v>
      </c>
      <c r="F23" s="49">
        <f t="shared" si="6"/>
        <v>0.50300000000061118</v>
      </c>
      <c r="G23" s="49">
        <f t="shared" si="6"/>
        <v>4.7890000000006694</v>
      </c>
      <c r="H23" s="49">
        <f t="shared" si="6"/>
        <v>0.50300000000061118</v>
      </c>
      <c r="I23" s="49">
        <f t="shared" si="6"/>
        <v>13.363000000001193</v>
      </c>
      <c r="J23" s="49">
        <f t="shared" si="6"/>
        <v>-3.782999999999447</v>
      </c>
      <c r="K23" s="49">
        <f t="shared" si="6"/>
        <v>0.50300000000061118</v>
      </c>
      <c r="L23" s="49">
        <f t="shared" si="6"/>
        <v>-3.782999999999447</v>
      </c>
      <c r="M23" s="49">
        <f t="shared" si="6"/>
        <v>4.7890000000006694</v>
      </c>
      <c r="N23" s="49"/>
      <c r="O23" s="49"/>
      <c r="P23" s="49"/>
    </row>
    <row r="24" spans="1:16" x14ac:dyDescent="0.25">
      <c r="C24" s="58" t="s">
        <v>229</v>
      </c>
      <c r="D24" s="49"/>
      <c r="E24" s="49">
        <f>E20-$D$20</f>
        <v>7.9472834092786382E-4</v>
      </c>
      <c r="F24" s="49">
        <f t="shared" ref="F24:G24" si="7">F20-$D$20</f>
        <v>6.5045355853654563E-4</v>
      </c>
      <c r="G24" s="49">
        <f t="shared" si="7"/>
        <v>1.3189218500001543E-3</v>
      </c>
      <c r="H24" s="49">
        <f t="shared" ref="H24:M24" si="8">H20-$D$20</f>
        <v>3.0761867999973269E-4</v>
      </c>
      <c r="I24" s="49">
        <f t="shared" si="8"/>
        <v>1.0112336749998896E-3</v>
      </c>
      <c r="J24" s="49">
        <f t="shared" si="8"/>
        <v>1.4458622107258456E-3</v>
      </c>
      <c r="K24" s="49">
        <f t="shared" si="8"/>
        <v>-1.0284130545468173E-4</v>
      </c>
      <c r="L24" s="49">
        <f t="shared" si="8"/>
        <v>5.4992357454530794E-4</v>
      </c>
      <c r="M24" s="49">
        <f t="shared" si="8"/>
        <v>1.0947127150002789E-3</v>
      </c>
      <c r="N24" s="49"/>
      <c r="O24" s="49"/>
      <c r="P24" s="49"/>
    </row>
    <row r="25" spans="1:16" x14ac:dyDescent="0.25">
      <c r="C25" s="59" t="s">
        <v>231</v>
      </c>
      <c r="D25" s="49"/>
      <c r="E25" s="28">
        <f>E19-$D$20*1999</f>
        <v>1.588661953514702</v>
      </c>
      <c r="F25" s="28">
        <f>F19-$D$20*1999</f>
        <v>1.3002566635143467</v>
      </c>
      <c r="G25" s="28">
        <f>G19-$D$20*2000</f>
        <v>2.6378437000003032</v>
      </c>
      <c r="H25" s="28">
        <f>H19-$D$20*2000</f>
        <v>0.61523735999935525</v>
      </c>
      <c r="I25" s="28">
        <f>I19-$D$20*2000</f>
        <v>2.0224673499997152</v>
      </c>
      <c r="J25" s="28">
        <f>J19-$D$20*1998</f>
        <v>2.8888326970302387</v>
      </c>
      <c r="K25" s="28">
        <f>K19-$D$20*2000</f>
        <v>-0.20568261090943452</v>
      </c>
      <c r="L25" s="28">
        <f>L19-$D$20*2000</f>
        <v>1.0998471490904649</v>
      </c>
      <c r="M25" s="28">
        <f>M19-$D$20*2000</f>
        <v>2.1894254300004832</v>
      </c>
      <c r="N25" s="49"/>
      <c r="O25" s="49"/>
      <c r="P25" s="49"/>
    </row>
    <row r="26" spans="1:16" x14ac:dyDescent="0.25">
      <c r="D26" s="49"/>
      <c r="E26" s="28"/>
      <c r="F26" s="49"/>
      <c r="G26" s="49"/>
      <c r="H26" s="49"/>
      <c r="I26" s="49"/>
      <c r="J26" s="49">
        <f>F25+E25</f>
        <v>2.8889186170290486</v>
      </c>
      <c r="K26" s="49"/>
      <c r="L26" s="49"/>
      <c r="M26" s="49"/>
      <c r="N26" s="49"/>
      <c r="O26" s="49"/>
      <c r="P26" s="49"/>
    </row>
    <row r="27" spans="1:16" x14ac:dyDescent="0.25">
      <c r="D27" s="49">
        <v>-4619.13192084</v>
      </c>
      <c r="E27" s="49">
        <v>-4613.5778481899997</v>
      </c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1:16" x14ac:dyDescent="0.25">
      <c r="D28" s="49">
        <f>D27-512*$B$3-512*$B$4</f>
        <v>-620.41192083999999</v>
      </c>
      <c r="E28" s="49">
        <f>E27-512*$B$3-511*$B$4</f>
        <v>-618.21784818999959</v>
      </c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</row>
    <row r="29" spans="1:16" x14ac:dyDescent="0.25">
      <c r="D29" s="49">
        <f>D28/1024</f>
        <v>-0.60587101644531249</v>
      </c>
      <c r="E29" s="49">
        <f>E28/1023</f>
        <v>-0.6043185221798627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</row>
    <row r="30" spans="1:16" x14ac:dyDescent="0.25">
      <c r="D30" s="49">
        <v>11629.038</v>
      </c>
      <c r="E30" s="49">
        <v>11624.924000000001</v>
      </c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</row>
    <row r="31" spans="1:16" x14ac:dyDescent="0.25">
      <c r="D31" s="49">
        <f>(D30^(1/3))/8</f>
        <v>2.83198713561882</v>
      </c>
      <c r="E31" s="49">
        <f>(E30^(1/3))/8</f>
        <v>2.8316531392542892</v>
      </c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</row>
    <row r="32" spans="1:16" x14ac:dyDescent="0.25">
      <c r="D32" s="49"/>
      <c r="E32" s="49">
        <f>E30-$D$30</f>
        <v>-4.113999999999578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</row>
    <row r="33" spans="4:16" x14ac:dyDescent="0.25">
      <c r="D33" s="49"/>
      <c r="E33" s="49">
        <f>E29-$D$29</f>
        <v>1.5524942654497886E-3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</row>
    <row r="34" spans="4:16" x14ac:dyDescent="0.25">
      <c r="D34" s="49"/>
      <c r="E34" s="28">
        <f>E28-D29*1023</f>
        <v>1.5882016335550588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2"/>
  <sheetViews>
    <sheetView tabSelected="1" zoomScale="70" zoomScaleNormal="70" workbookViewId="0">
      <selection activeCell="B11" sqref="B11"/>
    </sheetView>
  </sheetViews>
  <sheetFormatPr defaultColWidth="8.875" defaultRowHeight="15.75" x14ac:dyDescent="0.25"/>
  <sheetData>
    <row r="2" spans="1:12" x14ac:dyDescent="0.25">
      <c r="A2" t="s">
        <v>4</v>
      </c>
      <c r="B2">
        <v>-4.1224860490899999</v>
      </c>
      <c r="C2">
        <f>B2*2000</f>
        <v>-8244.9720981800001</v>
      </c>
      <c r="F2" t="s">
        <v>189</v>
      </c>
      <c r="H2" t="s">
        <v>190</v>
      </c>
      <c r="I2" t="s">
        <v>183</v>
      </c>
    </row>
    <row r="3" spans="1:12" x14ac:dyDescent="0.25">
      <c r="A3" t="s">
        <v>146</v>
      </c>
      <c r="B3">
        <v>-4.45</v>
      </c>
      <c r="C3">
        <f>B3*4000</f>
        <v>-17800</v>
      </c>
      <c r="F3" t="s">
        <v>191</v>
      </c>
      <c r="G3" t="s">
        <v>185</v>
      </c>
      <c r="H3" t="s">
        <v>186</v>
      </c>
      <c r="I3" t="s">
        <v>187</v>
      </c>
      <c r="J3" t="s">
        <v>188</v>
      </c>
    </row>
    <row r="4" spans="1:12" x14ac:dyDescent="0.25">
      <c r="A4" t="s">
        <v>5</v>
      </c>
      <c r="B4">
        <v>-3.36</v>
      </c>
      <c r="C4">
        <f>B4*4000</f>
        <v>-13440</v>
      </c>
      <c r="E4" t="s">
        <v>7</v>
      </c>
      <c r="F4">
        <v>-8315.4768000000004</v>
      </c>
      <c r="G4">
        <v>-16621.543015300002</v>
      </c>
      <c r="H4">
        <v>-67610.205000000002</v>
      </c>
      <c r="I4">
        <v>-17671.888999999999</v>
      </c>
      <c r="J4">
        <v>-70106.039000000004</v>
      </c>
    </row>
    <row r="5" spans="1:12" x14ac:dyDescent="0.25">
      <c r="E5" t="s">
        <v>40</v>
      </c>
      <c r="F5">
        <f>F4/2000</f>
        <v>-4.1577384000000004</v>
      </c>
      <c r="G5">
        <f>G4/4000</f>
        <v>-4.1553857538250005</v>
      </c>
      <c r="H5">
        <f>H4/16000</f>
        <v>-4.2256378125000005</v>
      </c>
      <c r="I5">
        <f t="shared" ref="I5" si="0">I4/4000</f>
        <v>-4.41797225</v>
      </c>
      <c r="J5">
        <f>J4/16000</f>
        <v>-4.3816274375000006</v>
      </c>
    </row>
    <row r="6" spans="1:12" x14ac:dyDescent="0.25">
      <c r="B6" t="s">
        <v>144</v>
      </c>
      <c r="E6" t="s">
        <v>9</v>
      </c>
      <c r="F6">
        <v>22933.504000000001</v>
      </c>
      <c r="G6">
        <v>50164.307000000001</v>
      </c>
      <c r="H6">
        <v>194822</v>
      </c>
      <c r="I6">
        <v>43445.760999999999</v>
      </c>
      <c r="J6">
        <v>176558.48</v>
      </c>
    </row>
    <row r="7" spans="1:12" x14ac:dyDescent="0.25">
      <c r="A7" t="s">
        <v>11</v>
      </c>
      <c r="B7">
        <v>-0.60587104420625049</v>
      </c>
      <c r="E7" t="s">
        <v>10</v>
      </c>
      <c r="F7">
        <f>(F6^(1/3))/10</f>
        <v>2.8411236709366237</v>
      </c>
      <c r="G7">
        <f t="shared" ref="G7:J7" si="1">(G6^(1/3))/10</f>
        <v>3.6880625008033476</v>
      </c>
      <c r="H7">
        <f t="shared" si="1"/>
        <v>5.7971250119211328</v>
      </c>
      <c r="I7">
        <f t="shared" si="1"/>
        <v>3.5154624998536002</v>
      </c>
      <c r="J7">
        <f t="shared" si="1"/>
        <v>5.6099999894086059</v>
      </c>
    </row>
    <row r="8" spans="1:12" x14ac:dyDescent="0.25">
      <c r="A8" t="s">
        <v>10</v>
      </c>
      <c r="B8" s="18">
        <v>2.8434644630031412</v>
      </c>
      <c r="E8" t="s">
        <v>192</v>
      </c>
      <c r="F8">
        <f>F4-1000*$B$2-1000*$B$3</f>
        <v>257.00924908999968</v>
      </c>
      <c r="G8">
        <f>G4-3000*$B$2-1000*$B$3</f>
        <v>195.91513196999767</v>
      </c>
      <c r="H8">
        <f>H4-12000*$B$2-4000*$B$3</f>
        <v>-340.37241092000477</v>
      </c>
      <c r="I8">
        <f>I4-1000*$B$2-3000*$B$3</f>
        <v>-199.40295091000007</v>
      </c>
      <c r="J8">
        <f>J4-4000*$B$2-12000*$B$3</f>
        <v>-216.09480364000774</v>
      </c>
    </row>
    <row r="9" spans="1:12" x14ac:dyDescent="0.25">
      <c r="A9" t="s">
        <v>40</v>
      </c>
      <c r="B9">
        <v>-4.5108709960937503</v>
      </c>
      <c r="E9" t="s">
        <v>193</v>
      </c>
      <c r="F9">
        <f>F8/2000</f>
        <v>0.12850462454499983</v>
      </c>
      <c r="G9">
        <f>G8/4000</f>
        <v>4.8978782992499421E-2</v>
      </c>
      <c r="H9">
        <f>H8/16000</f>
        <v>-2.1273275682500297E-2</v>
      </c>
      <c r="I9">
        <f>I8/4000</f>
        <v>-4.9850737727500018E-2</v>
      </c>
      <c r="J9">
        <f>J8/16000</f>
        <v>-1.3505925227500484E-2</v>
      </c>
    </row>
    <row r="10" spans="1:12" x14ac:dyDescent="0.25">
      <c r="A10" t="s">
        <v>184</v>
      </c>
      <c r="E10" t="s">
        <v>195</v>
      </c>
      <c r="F10">
        <f>ABS(F9-B11)</f>
        <v>4.450462454499983E-2</v>
      </c>
      <c r="G10">
        <f>ABS(G9-B12)</f>
        <v>9.7878299249942041E-4</v>
      </c>
      <c r="H10">
        <f>ABS(H9-B13)</f>
        <v>5.5273275682500303E-2</v>
      </c>
      <c r="I10">
        <f>ABS(I9-B15)</f>
        <v>3.9149262272499978E-2</v>
      </c>
      <c r="J10">
        <f>ABS(J9-B16)</f>
        <v>3.7505925227500486E-2</v>
      </c>
      <c r="L10">
        <f>0.3*F10+0.3*F11+0.1*G10+0.1*G11+0.1*H10+0.1*H11</f>
        <v>4.1758243222460918E-2</v>
      </c>
    </row>
    <row r="11" spans="1:12" x14ac:dyDescent="0.25">
      <c r="A11" t="s">
        <v>78</v>
      </c>
      <c r="B11">
        <v>8.4000000000000005E-2</v>
      </c>
      <c r="C11">
        <v>2.8540000000000001</v>
      </c>
      <c r="E11" t="s">
        <v>196</v>
      </c>
      <c r="F11">
        <f>ABS(F7-C11)</f>
        <v>1.2876329063376435E-2</v>
      </c>
      <c r="G11">
        <f>ABS(G7-C12)</f>
        <v>0.11006250080334778</v>
      </c>
      <c r="H11">
        <f>ABS(H7-C13)</f>
        <v>7.912501192113286E-2</v>
      </c>
      <c r="I11">
        <f>ABS(I7-C15)</f>
        <v>2.9537500146399776E-2</v>
      </c>
      <c r="J11">
        <f>ABS(J7-C16)</f>
        <v>3.3000010591393902E-2</v>
      </c>
    </row>
    <row r="12" spans="1:12" x14ac:dyDescent="0.25">
      <c r="A12" t="s">
        <v>185</v>
      </c>
      <c r="B12">
        <v>4.8000000000000001E-2</v>
      </c>
      <c r="C12">
        <v>3.5779999999999998</v>
      </c>
    </row>
    <row r="13" spans="1:12" x14ac:dyDescent="0.25">
      <c r="A13" t="s">
        <v>186</v>
      </c>
      <c r="B13">
        <v>3.4000000000000002E-2</v>
      </c>
      <c r="C13">
        <v>5.718</v>
      </c>
      <c r="F13" t="s">
        <v>198</v>
      </c>
      <c r="G13" t="s">
        <v>199</v>
      </c>
      <c r="H13" t="s">
        <v>200</v>
      </c>
      <c r="I13" t="s">
        <v>201</v>
      </c>
      <c r="J13" t="s">
        <v>202</v>
      </c>
      <c r="K13" t="s">
        <v>203</v>
      </c>
      <c r="L13" t="s">
        <v>204</v>
      </c>
    </row>
    <row r="14" spans="1:12" x14ac:dyDescent="0.25">
      <c r="A14" t="s">
        <v>222</v>
      </c>
      <c r="B14">
        <v>0.28650437500000026</v>
      </c>
      <c r="E14" t="s">
        <v>197</v>
      </c>
      <c r="F14">
        <v>4.4506597753860698E-2</v>
      </c>
      <c r="G14">
        <v>1.2878417968751299E-2</v>
      </c>
      <c r="H14">
        <v>9.8175344837955108E-4</v>
      </c>
      <c r="I14">
        <v>0.110124999999981</v>
      </c>
      <c r="J14">
        <v>5.5270301540423797E-2</v>
      </c>
      <c r="K14">
        <v>7.9124999999990606E-2</v>
      </c>
      <c r="L14">
        <v>4.1765710215661098E-2</v>
      </c>
    </row>
    <row r="15" spans="1:12" x14ac:dyDescent="0.25">
      <c r="A15" t="s">
        <v>187</v>
      </c>
      <c r="B15">
        <v>-8.8999999999999996E-2</v>
      </c>
      <c r="C15">
        <v>3.5449999999999999</v>
      </c>
      <c r="E15" t="s">
        <v>205</v>
      </c>
      <c r="F15">
        <v>1.44484261660527E-2</v>
      </c>
      <c r="G15">
        <v>1.32148437499957E-3</v>
      </c>
      <c r="H15">
        <v>0.168720788027374</v>
      </c>
      <c r="I15">
        <v>0.101812499999982</v>
      </c>
      <c r="J15">
        <v>5.90563831570265E-2</v>
      </c>
      <c r="K15">
        <v>3.5531249999990203E-2</v>
      </c>
      <c r="L15">
        <v>4.1243065280753E-2</v>
      </c>
    </row>
    <row r="16" spans="1:12" x14ac:dyDescent="0.25">
      <c r="A16" t="s">
        <v>188</v>
      </c>
      <c r="B16">
        <v>2.4E-2</v>
      </c>
      <c r="C16">
        <v>5.6429999999999998</v>
      </c>
      <c r="E16" t="s">
        <v>206</v>
      </c>
      <c r="F16">
        <v>1.3350879169062E-2</v>
      </c>
      <c r="G16">
        <v>3.19934570312519E-2</v>
      </c>
      <c r="H16">
        <v>0.13286097907281999</v>
      </c>
      <c r="I16">
        <v>9.7437499999982496E-2</v>
      </c>
      <c r="J16">
        <v>1.6373494468778501E-2</v>
      </c>
      <c r="K16">
        <v>2.92499999999896E-2</v>
      </c>
      <c r="L16">
        <v>4.1195498214251197E-2</v>
      </c>
    </row>
    <row r="17" spans="1:21" x14ac:dyDescent="0.25">
      <c r="E17" t="s">
        <v>207</v>
      </c>
      <c r="F17">
        <v>7.0291660146898693E-2</v>
      </c>
      <c r="G17">
        <v>5.7478515625004603E-3</v>
      </c>
      <c r="H17">
        <v>6.5580340364706002E-2</v>
      </c>
      <c r="I17">
        <v>9.8695312499982493E-2</v>
      </c>
      <c r="J17">
        <v>3.3569400464160397E-2</v>
      </c>
      <c r="K17">
        <v>3.5437499999989797E-2</v>
      </c>
      <c r="L17">
        <v>4.6140108845703597E-2</v>
      </c>
    </row>
    <row r="18" spans="1:21" x14ac:dyDescent="0.25">
      <c r="A18" s="28" t="s">
        <v>211</v>
      </c>
      <c r="E18" t="s">
        <v>208</v>
      </c>
      <c r="F18">
        <v>6.7773417539974496E-3</v>
      </c>
      <c r="G18">
        <v>1.50827148437513E-2</v>
      </c>
      <c r="H18">
        <v>7.8815946384858296E-2</v>
      </c>
      <c r="I18">
        <v>0.19669531249997299</v>
      </c>
      <c r="J18">
        <v>5.0915707353861001E-2</v>
      </c>
      <c r="K18">
        <v>5.4937499999990501E-2</v>
      </c>
      <c r="L18">
        <v>4.4694463603192902E-2</v>
      </c>
    </row>
    <row r="19" spans="1:21" x14ac:dyDescent="0.25">
      <c r="A19" s="28" t="s">
        <v>194</v>
      </c>
    </row>
    <row r="20" spans="1:21" x14ac:dyDescent="0.25">
      <c r="A20" s="28"/>
      <c r="E20" t="s">
        <v>209</v>
      </c>
      <c r="L20" t="s">
        <v>219</v>
      </c>
    </row>
    <row r="21" spans="1:21" x14ac:dyDescent="0.25">
      <c r="A21" s="49" t="s">
        <v>218</v>
      </c>
      <c r="B21" s="61">
        <v>-0.33373816203703682</v>
      </c>
      <c r="C21" s="62">
        <v>2.8751845</v>
      </c>
      <c r="F21" t="s">
        <v>191</v>
      </c>
      <c r="G21" t="s">
        <v>185</v>
      </c>
      <c r="H21" t="s">
        <v>186</v>
      </c>
      <c r="I21" t="s">
        <v>187</v>
      </c>
      <c r="J21" t="s">
        <v>188</v>
      </c>
      <c r="M21" t="s">
        <v>213</v>
      </c>
      <c r="N21" t="s">
        <v>214</v>
      </c>
      <c r="O21" t="s">
        <v>215</v>
      </c>
      <c r="P21" t="s">
        <v>216</v>
      </c>
      <c r="Q21" t="s">
        <v>217</v>
      </c>
    </row>
    <row r="22" spans="1:21" x14ac:dyDescent="0.25">
      <c r="B22" t="s">
        <v>72</v>
      </c>
      <c r="E22" t="s">
        <v>7</v>
      </c>
      <c r="F22">
        <v>-8403.5707999999995</v>
      </c>
      <c r="G22">
        <v>-16294.941965100001</v>
      </c>
      <c r="H22">
        <v>-66845.035587699997</v>
      </c>
      <c r="I22">
        <v>-17214.950281400001</v>
      </c>
      <c r="J22">
        <v>-69517.917957700003</v>
      </c>
      <c r="L22" t="s">
        <v>7</v>
      </c>
      <c r="M22">
        <v>-8145.1307397500004</v>
      </c>
      <c r="N22">
        <v>-16378.657557500001</v>
      </c>
      <c r="O22">
        <v>-67559.437367599996</v>
      </c>
      <c r="P22">
        <v>-14981.981238799999</v>
      </c>
      <c r="Q22">
        <v>-60141.2567414</v>
      </c>
    </row>
    <row r="23" spans="1:21" x14ac:dyDescent="0.25">
      <c r="A23" t="s">
        <v>11</v>
      </c>
      <c r="B23" s="63">
        <v>-0.11704643749999954</v>
      </c>
      <c r="E23" t="s">
        <v>40</v>
      </c>
      <c r="F23">
        <f>F22/2000</f>
        <v>-4.2017853999999994</v>
      </c>
      <c r="G23">
        <f>G22/4000</f>
        <v>-4.0737354912750003</v>
      </c>
      <c r="H23">
        <f>H22/16000</f>
        <v>-4.1778147242312498</v>
      </c>
      <c r="I23">
        <f t="shared" ref="I23" si="2">I22/4000</f>
        <v>-4.30373757035</v>
      </c>
      <c r="J23">
        <f>J22/16000</f>
        <v>-4.3448698723562504</v>
      </c>
      <c r="L23" t="s">
        <v>40</v>
      </c>
      <c r="M23">
        <f>M22/2000</f>
        <v>-4.072565369875</v>
      </c>
      <c r="N23">
        <f>N22/4000</f>
        <v>-4.0946643893750005</v>
      </c>
      <c r="O23">
        <f>O22/16000</f>
        <v>-4.2224648354749998</v>
      </c>
      <c r="P23">
        <f t="shared" ref="P23" si="3">P22/4000</f>
        <v>-3.7454953096999999</v>
      </c>
      <c r="Q23">
        <f>Q22/16000</f>
        <v>-3.7588285463375</v>
      </c>
    </row>
    <row r="24" spans="1:21" x14ac:dyDescent="0.25">
      <c r="B24" s="63">
        <v>3.7965200000000001</v>
      </c>
      <c r="E24" t="s">
        <v>9</v>
      </c>
      <c r="F24">
        <v>23217.1</v>
      </c>
      <c r="G24">
        <v>50796.881000000001</v>
      </c>
      <c r="H24">
        <v>191700.21</v>
      </c>
      <c r="I24">
        <v>45527.258000000002</v>
      </c>
      <c r="J24">
        <v>176496.53</v>
      </c>
      <c r="L24" t="s">
        <v>9</v>
      </c>
      <c r="M24">
        <v>24455.052</v>
      </c>
      <c r="N24">
        <v>47674.197999999997</v>
      </c>
      <c r="O24">
        <v>188086.35</v>
      </c>
      <c r="P24">
        <v>60988.51</v>
      </c>
      <c r="Q24">
        <v>235256.48</v>
      </c>
    </row>
    <row r="25" spans="1:21" x14ac:dyDescent="0.25">
      <c r="B25" t="s">
        <v>139</v>
      </c>
      <c r="E25" t="s">
        <v>10</v>
      </c>
      <c r="F25">
        <f>(F24^(1/3))/10</f>
        <v>2.8527868502917997</v>
      </c>
      <c r="G25">
        <f t="shared" ref="G25" si="4">(G24^(1/3))/10</f>
        <v>3.703499999565588</v>
      </c>
      <c r="H25">
        <f t="shared" ref="H25" si="5">(H24^(1/3))/10</f>
        <v>5.7659941337976388</v>
      </c>
      <c r="I25">
        <f t="shared" ref="I25" si="6">(I24^(1/3))/10</f>
        <v>3.5707312538774141</v>
      </c>
      <c r="J25">
        <f t="shared" ref="J25" si="7">(J24^(1/3))/10</f>
        <v>5.6093437759452458</v>
      </c>
      <c r="L25" t="s">
        <v>10</v>
      </c>
      <c r="M25">
        <f>(M24^(1/3))/10</f>
        <v>2.9026156345885683</v>
      </c>
      <c r="N25">
        <f t="shared" ref="N25" si="8">(N24^(1/3))/10</f>
        <v>3.6259999904674074</v>
      </c>
      <c r="O25">
        <f t="shared" ref="O25" si="9">(O24^(1/3))/10</f>
        <v>5.7295312549615689</v>
      </c>
      <c r="P25">
        <f t="shared" ref="P25" si="10">(P24^(1/3))/10</f>
        <v>3.9362500071852105</v>
      </c>
      <c r="Q25">
        <f t="shared" ref="Q25" si="11">(Q24^(1/3))/10</f>
        <v>6.1732499971904859</v>
      </c>
    </row>
    <row r="26" spans="1:21" x14ac:dyDescent="0.25">
      <c r="A26" t="s">
        <v>11</v>
      </c>
      <c r="B26" s="63">
        <v>-0.20129381249999945</v>
      </c>
      <c r="E26" t="s">
        <v>192</v>
      </c>
      <c r="F26">
        <f>F22-1000*$B$2-1000*$B$3</f>
        <v>168.91524909000054</v>
      </c>
      <c r="G26">
        <f>G22-3000*$B$2-1000*$B$3</f>
        <v>522.5161821699985</v>
      </c>
      <c r="H26">
        <f>H22-12000*$B$2-4000*$B$3</f>
        <v>424.79700138000044</v>
      </c>
      <c r="I26">
        <f>I22-1000*$B$2-3000*$B$3</f>
        <v>257.53576768999847</v>
      </c>
      <c r="J26">
        <f>J22-4000*$B$2-12000*$B$3</f>
        <v>372.0262386599934</v>
      </c>
      <c r="L26" t="s">
        <v>192</v>
      </c>
      <c r="M26">
        <f>M22-1000*$B$2-1000*$B$4</f>
        <v>-662.64469066000038</v>
      </c>
      <c r="N26">
        <f>N22-3000*$B$2-1000*$B$4</f>
        <v>-651.19941023000138</v>
      </c>
      <c r="O26">
        <f>O22-12000*$B$2-4000*$B$4</f>
        <v>-4649.6047785199989</v>
      </c>
      <c r="P26">
        <f>P22-1000*$B$2-3000*$B$4</f>
        <v>-779.49518970999998</v>
      </c>
      <c r="Q26">
        <f>Q22-4000*$B$2-12000*$B$4</f>
        <v>-3331.3125450399966</v>
      </c>
    </row>
    <row r="27" spans="1:21" x14ac:dyDescent="0.25">
      <c r="B27" s="63">
        <v>3.6526999999999998</v>
      </c>
      <c r="E27" t="s">
        <v>193</v>
      </c>
      <c r="F27">
        <f>F26/2000</f>
        <v>8.4457624545000276E-2</v>
      </c>
      <c r="G27">
        <f>G26/4000</f>
        <v>0.13062904554249963</v>
      </c>
      <c r="H27">
        <f>H26/16000</f>
        <v>2.6549812586250027E-2</v>
      </c>
      <c r="I27">
        <f>I26/4000</f>
        <v>6.4383941922499618E-2</v>
      </c>
      <c r="J27">
        <f>J26/16000</f>
        <v>2.3251639916249588E-2</v>
      </c>
      <c r="L27" t="s">
        <v>193</v>
      </c>
      <c r="M27">
        <f>M26/2000</f>
        <v>-0.33132234533000021</v>
      </c>
      <c r="N27">
        <f>N26/4000</f>
        <v>-0.16279985255750035</v>
      </c>
      <c r="O27">
        <f>O26/16000</f>
        <v>-0.29060029865749992</v>
      </c>
      <c r="P27">
        <f>P26/4000</f>
        <v>-0.1948737974275</v>
      </c>
      <c r="Q27">
        <f>Q26/16000</f>
        <v>-0.2082070340649998</v>
      </c>
    </row>
    <row r="28" spans="1:21" x14ac:dyDescent="0.25">
      <c r="B28" t="s">
        <v>210</v>
      </c>
      <c r="E28" t="s">
        <v>195</v>
      </c>
      <c r="F28">
        <f>ABS(F27-$B$11)</f>
        <v>4.5762454500027083E-4</v>
      </c>
      <c r="G28">
        <f>ABS(G27-$B$12)</f>
        <v>8.2629045542499627E-2</v>
      </c>
      <c r="H28">
        <f>ABS(H27-$B$13)</f>
        <v>7.4501874137499757E-3</v>
      </c>
      <c r="I28">
        <f>ABS(I27-$B$15)</f>
        <v>0.1533839419224996</v>
      </c>
      <c r="J28">
        <f>ABS(J27-$B$16)</f>
        <v>7.4836008375041285E-4</v>
      </c>
      <c r="K28">
        <f>0.3*F28+0.3*F29+0.1*G28+0.1*G29+0.1*H28+0.1*H29</f>
        <v>2.6858568907907859E-2</v>
      </c>
      <c r="L28" t="s">
        <v>195</v>
      </c>
      <c r="M28">
        <f>ABS(M27-$B$21)</f>
        <v>2.415816707036611E-3</v>
      </c>
      <c r="N28">
        <f>ABS(N27-$B$26)</f>
        <v>3.8493959942499101E-2</v>
      </c>
      <c r="O28">
        <f>ABS(O27-$B$29)</f>
        <v>8.9359736157501035E-2</v>
      </c>
      <c r="P28">
        <f>ABS(P27-$B$23)</f>
        <v>7.782735992750045E-2</v>
      </c>
      <c r="Q28">
        <f>ABS(Q27-$B$32)</f>
        <v>0.18457415906499969</v>
      </c>
      <c r="R28">
        <f>0.3*M28+0.3*M29+0.1*N28+0.1*N29+0.1*O28+0.1*O29</f>
        <v>2.5570167725503707E-2</v>
      </c>
    </row>
    <row r="29" spans="1:21" x14ac:dyDescent="0.25">
      <c r="A29" t="s">
        <v>11</v>
      </c>
      <c r="B29" s="63">
        <v>-0.20124056249999889</v>
      </c>
      <c r="E29" t="s">
        <v>196</v>
      </c>
      <c r="F29">
        <f>ABS(F25-$C$11)</f>
        <v>1.2131497082004117E-3</v>
      </c>
      <c r="G29">
        <f>ABS(G25-$C$12)</f>
        <v>0.12549999956558811</v>
      </c>
      <c r="H29">
        <f>ABS(H25-$C$13)</f>
        <v>4.7994133797638838E-2</v>
      </c>
      <c r="I29">
        <f>ABS(I25-$C$15)</f>
        <v>2.5731253877414151E-2</v>
      </c>
      <c r="J29">
        <f>ABS(J25-$C$16)</f>
        <v>3.3656224054753991E-2</v>
      </c>
      <c r="L29" t="s">
        <v>196</v>
      </c>
      <c r="M29">
        <f>ABS(M25-$C$21)</f>
        <v>2.7431134588568273E-2</v>
      </c>
      <c r="N29">
        <f>ABS(N25-$B$27)</f>
        <v>2.6700009532592439E-2</v>
      </c>
      <c r="O29">
        <f>ABS(O25-$B$30)</f>
        <v>1.1607117735629835E-2</v>
      </c>
      <c r="P29">
        <f>ABS(P25-$B$24)</f>
        <v>0.13973000718521034</v>
      </c>
      <c r="Q29">
        <f>ABS(Q25-$B$33)</f>
        <v>0.18716679105525369</v>
      </c>
    </row>
    <row r="30" spans="1:21" x14ac:dyDescent="0.25">
      <c r="B30" s="63">
        <v>5.7411383726971987</v>
      </c>
    </row>
    <row r="31" spans="1:21" x14ac:dyDescent="0.25">
      <c r="A31" s="38"/>
      <c r="B31" s="49" t="s">
        <v>212</v>
      </c>
      <c r="E31" s="49" t="s">
        <v>220</v>
      </c>
      <c r="F31" s="49"/>
      <c r="G31" s="49"/>
      <c r="H31" s="49"/>
      <c r="I31" s="49"/>
      <c r="J31" s="49"/>
      <c r="K31" s="49"/>
      <c r="L31" s="49"/>
      <c r="M31" s="49" t="s">
        <v>221</v>
      </c>
      <c r="N31" s="49"/>
      <c r="O31" s="49"/>
      <c r="P31" s="49"/>
      <c r="Q31" s="49"/>
      <c r="R31" s="49"/>
      <c r="S31" s="49"/>
      <c r="T31" s="49"/>
    </row>
    <row r="32" spans="1:21" x14ac:dyDescent="0.25">
      <c r="A32" s="49" t="s">
        <v>11</v>
      </c>
      <c r="B32" s="64">
        <v>-2.3632875000000109E-2</v>
      </c>
      <c r="C32" s="49"/>
      <c r="D32" t="s">
        <v>226</v>
      </c>
      <c r="E32" s="49"/>
      <c r="F32" s="49" t="s">
        <v>191</v>
      </c>
      <c r="G32" s="49" t="s">
        <v>185</v>
      </c>
      <c r="H32" s="49" t="s">
        <v>186</v>
      </c>
      <c r="I32" s="49" t="s">
        <v>187</v>
      </c>
      <c r="J32" s="49" t="s">
        <v>188</v>
      </c>
      <c r="K32" s="49" t="s">
        <v>222</v>
      </c>
      <c r="L32" s="49"/>
      <c r="M32" s="49"/>
      <c r="N32" s="49" t="s">
        <v>213</v>
      </c>
      <c r="O32" s="49" t="s">
        <v>214</v>
      </c>
      <c r="P32" s="49" t="s">
        <v>215</v>
      </c>
      <c r="Q32" s="49" t="s">
        <v>216</v>
      </c>
      <c r="R32" s="49" t="s">
        <v>217</v>
      </c>
      <c r="S32" s="49" t="s">
        <v>177</v>
      </c>
      <c r="T32" s="49"/>
      <c r="U32" s="49" t="s">
        <v>233</v>
      </c>
    </row>
    <row r="33" spans="1:22" x14ac:dyDescent="0.25">
      <c r="A33" s="49"/>
      <c r="B33" s="64">
        <v>5.9860832061352323</v>
      </c>
      <c r="C33" s="49"/>
      <c r="D33">
        <v>-17242.473999999998</v>
      </c>
      <c r="E33" s="49" t="s">
        <v>7</v>
      </c>
      <c r="F33" s="49">
        <v>-8409.9778999999999</v>
      </c>
      <c r="G33" s="49">
        <v>-16599.301313799999</v>
      </c>
      <c r="H33" s="49">
        <v>-66913.341735099995</v>
      </c>
      <c r="I33" s="49">
        <v>-17739.3870742</v>
      </c>
      <c r="J33" s="49">
        <v>-69798.101737300007</v>
      </c>
      <c r="K33" s="49">
        <v>-8006.1856332099997</v>
      </c>
      <c r="L33" s="49"/>
      <c r="M33" s="49" t="s">
        <v>7</v>
      </c>
      <c r="N33" s="49">
        <v>-8147.0584144799996</v>
      </c>
      <c r="O33" s="49">
        <v>-16156.238700800001</v>
      </c>
      <c r="P33" s="49">
        <v>-66496.884484499999</v>
      </c>
      <c r="Q33" s="49">
        <v>-14480.687590199999</v>
      </c>
      <c r="R33" s="49">
        <v>-58161.7766452</v>
      </c>
      <c r="S33" s="49">
        <v>-2416.8077914599999</v>
      </c>
      <c r="T33" s="49"/>
      <c r="U33" s="49">
        <v>-6376.4844117700004</v>
      </c>
    </row>
    <row r="34" spans="1:22" x14ac:dyDescent="0.25">
      <c r="A34" t="s">
        <v>177</v>
      </c>
      <c r="B34" s="64">
        <v>2.5576166250000005</v>
      </c>
      <c r="C34" s="49"/>
      <c r="D34">
        <f>D33/4000</f>
        <v>-4.3106184999999995</v>
      </c>
      <c r="E34" s="49" t="s">
        <v>40</v>
      </c>
      <c r="F34" s="49">
        <f>F33/2000</f>
        <v>-4.2049889499999997</v>
      </c>
      <c r="G34" s="49">
        <f>G33/4000</f>
        <v>-4.1498253284499995</v>
      </c>
      <c r="H34" s="49">
        <f>H33/16000</f>
        <v>-4.1820838584437494</v>
      </c>
      <c r="I34" s="49">
        <f t="shared" ref="I34" si="12">I33/4000</f>
        <v>-4.4348467685499999</v>
      </c>
      <c r="J34" s="49">
        <f>J33/16000</f>
        <v>-4.3623813585812501</v>
      </c>
      <c r="K34" s="49">
        <f>K33/2000</f>
        <v>-4.0030928166050002</v>
      </c>
      <c r="L34" s="49"/>
      <c r="M34" s="49" t="s">
        <v>40</v>
      </c>
      <c r="N34" s="49">
        <f>N33/2000</f>
        <v>-4.07352920724</v>
      </c>
      <c r="O34" s="49">
        <f>O33/4000</f>
        <v>-4.0390596751999999</v>
      </c>
      <c r="P34" s="49">
        <f>P33/16000</f>
        <v>-4.15605528028125</v>
      </c>
      <c r="Q34" s="49">
        <f t="shared" ref="Q34" si="13">Q33/4000</f>
        <v>-3.6201718975499997</v>
      </c>
      <c r="R34" s="49">
        <f>R33/16000</f>
        <v>-3.635111040325</v>
      </c>
      <c r="S34" s="49">
        <f>S33/2000</f>
        <v>-1.2084038957299998</v>
      </c>
      <c r="T34" s="49"/>
      <c r="U34" s="49">
        <f>U33/1458</f>
        <v>-4.3734460986076824</v>
      </c>
    </row>
    <row r="35" spans="1:22" x14ac:dyDescent="0.25">
      <c r="D35">
        <v>45374.845000000001</v>
      </c>
      <c r="E35" s="49" t="s">
        <v>9</v>
      </c>
      <c r="F35" s="49">
        <v>22634.346000000001</v>
      </c>
      <c r="G35" s="49">
        <v>48298.137999999999</v>
      </c>
      <c r="H35" s="49">
        <v>190692.7</v>
      </c>
      <c r="I35" s="49">
        <v>43105.847000000002</v>
      </c>
      <c r="J35" s="49">
        <v>173399.81</v>
      </c>
      <c r="K35" s="49"/>
      <c r="L35" s="49"/>
      <c r="M35" s="49" t="s">
        <v>9</v>
      </c>
      <c r="N35" s="49">
        <v>23740.098000000002</v>
      </c>
      <c r="O35" s="49">
        <v>45654.798000000003</v>
      </c>
      <c r="P35" s="49">
        <v>182954.18</v>
      </c>
      <c r="Q35" s="49">
        <v>58966.07</v>
      </c>
      <c r="R35" s="49">
        <v>226864.16</v>
      </c>
      <c r="S35" s="49"/>
      <c r="T35" s="49"/>
      <c r="U35" s="49"/>
    </row>
    <row r="36" spans="1:22" x14ac:dyDescent="0.25">
      <c r="A36" s="49" t="s">
        <v>233</v>
      </c>
      <c r="D36">
        <f t="shared" ref="D36" si="14">(D35^(1/3))/10</f>
        <v>3.5667421835506739</v>
      </c>
      <c r="E36" s="49" t="s">
        <v>10</v>
      </c>
      <c r="F36" s="49">
        <f>(F35^(1/3))/10</f>
        <v>2.8287158036995628</v>
      </c>
      <c r="G36" s="49">
        <f t="shared" ref="G36:J36" si="15">(G35^(1/3))/10</f>
        <v>3.641750003823875</v>
      </c>
      <c r="H36" s="49">
        <f t="shared" si="15"/>
        <v>5.755875028576126</v>
      </c>
      <c r="I36" s="49">
        <f t="shared" si="15"/>
        <v>3.5062703109409208</v>
      </c>
      <c r="J36" s="49">
        <f t="shared" si="15"/>
        <v>5.5763437677228751</v>
      </c>
      <c r="K36" s="49">
        <f>(K35^(1/3))/10</f>
        <v>0</v>
      </c>
      <c r="L36" s="49"/>
      <c r="M36" s="49" t="s">
        <v>10</v>
      </c>
      <c r="N36" s="49">
        <f>(N35^(1/3))/10</f>
        <v>2.8740490061954609</v>
      </c>
      <c r="O36" s="49">
        <f t="shared" ref="O36:R36" si="16">(O35^(1/3))/10</f>
        <v>3.5740624923637903</v>
      </c>
      <c r="P36" s="49">
        <f t="shared" si="16"/>
        <v>5.6769374897826781</v>
      </c>
      <c r="Q36" s="49">
        <f t="shared" si="16"/>
        <v>3.8922500051538043</v>
      </c>
      <c r="R36" s="49">
        <f t="shared" si="16"/>
        <v>6.0989531483132273</v>
      </c>
      <c r="S36" s="49">
        <f>(S35^(1/3))/10</f>
        <v>0</v>
      </c>
      <c r="T36" s="49"/>
      <c r="U36" s="49"/>
    </row>
    <row r="37" spans="1:22" x14ac:dyDescent="0.25">
      <c r="A37" s="49" t="s">
        <v>234</v>
      </c>
      <c r="B37">
        <v>0.1487</v>
      </c>
      <c r="D37">
        <f>D33-2000*$B$2-2000*$B$3</f>
        <v>-97.501901819998238</v>
      </c>
      <c r="E37" s="49" t="s">
        <v>192</v>
      </c>
      <c r="F37" s="49">
        <f>F33-1000*$B$2-1000*$B$3</f>
        <v>162.50814909000019</v>
      </c>
      <c r="G37" s="49">
        <f>G33-3000*$B$2-1000*$B$3</f>
        <v>218.15683347000049</v>
      </c>
      <c r="H37" s="49">
        <f>H33-12000*$B$2-4000*$B$3</f>
        <v>356.4908539800017</v>
      </c>
      <c r="I37" s="49">
        <f>I33-1000*$B$2-3000*$B$3</f>
        <v>-266.90102511000077</v>
      </c>
      <c r="J37" s="49">
        <f>J33-4000*$B$2-12000*$B$3</f>
        <v>91.842459059989778</v>
      </c>
      <c r="K37" s="49">
        <f>K33-1000*$B$2-1000*$B$3</f>
        <v>566.3004158800004</v>
      </c>
      <c r="L37" s="49"/>
      <c r="M37" s="49" t="s">
        <v>192</v>
      </c>
      <c r="N37" s="49">
        <f>N33-1000*$B$2-1000*$B$4</f>
        <v>-664.5723653899995</v>
      </c>
      <c r="O37" s="49">
        <f>O33-3000*$B$2-1000*$B$4</f>
        <v>-428.78055353000127</v>
      </c>
      <c r="P37" s="49">
        <f>P33-12000*$B$2-4000*$B$4</f>
        <v>-3587.0518954200015</v>
      </c>
      <c r="Q37" s="49">
        <f>Q33-1000*$B$2-3000*$B$4</f>
        <v>-278.20154111000011</v>
      </c>
      <c r="R37" s="49">
        <f>R33-4000*$B$2-12000*$B$4</f>
        <v>-1351.8324488399958</v>
      </c>
      <c r="S37" s="49">
        <f>S33-1000*$B$2-1000*$B$4</f>
        <v>5065.6782576300002</v>
      </c>
      <c r="T37" s="49"/>
      <c r="U37" s="49">
        <f>(U33-486*$B$2-972*$B$9)/1458</f>
        <v>7.9632484848182663E-3</v>
      </c>
    </row>
    <row r="38" spans="1:22" x14ac:dyDescent="0.25">
      <c r="D38">
        <f>D37/4000</f>
        <v>-2.4375475454999559E-2</v>
      </c>
      <c r="E38" s="49" t="s">
        <v>193</v>
      </c>
      <c r="F38" s="49">
        <f>F37/2000</f>
        <v>8.1254074545000096E-2</v>
      </c>
      <c r="G38" s="49">
        <f>G37/4000</f>
        <v>5.4539208367500126E-2</v>
      </c>
      <c r="H38" s="49">
        <f>H37/16000</f>
        <v>2.2280678373750105E-2</v>
      </c>
      <c r="I38" s="49">
        <f>I37/4000</f>
        <v>-6.67252562775002E-2</v>
      </c>
      <c r="J38" s="49">
        <f>J37/16000</f>
        <v>5.7401536912493611E-3</v>
      </c>
      <c r="K38" s="49">
        <f>K37/2000</f>
        <v>0.28315020794000018</v>
      </c>
      <c r="L38" s="49"/>
      <c r="M38" s="49" t="s">
        <v>193</v>
      </c>
      <c r="N38" s="49">
        <f>N37/2000</f>
        <v>-0.33228618269499977</v>
      </c>
      <c r="O38" s="49">
        <f>O37/4000</f>
        <v>-0.10719513838250032</v>
      </c>
      <c r="P38" s="49">
        <f>P37/16000</f>
        <v>-0.22419074346375009</v>
      </c>
      <c r="Q38" s="49">
        <f>Q37/4000</f>
        <v>-6.9550385277500029E-2</v>
      </c>
      <c r="R38" s="49">
        <f>R37/16000</f>
        <v>-8.4489528052499735E-2</v>
      </c>
      <c r="S38" s="49">
        <f>S37/2000</f>
        <v>2.5328391288150001</v>
      </c>
      <c r="T38" s="49"/>
      <c r="U38" s="49"/>
    </row>
    <row r="39" spans="1:22" x14ac:dyDescent="0.25">
      <c r="E39" s="49" t="s">
        <v>195</v>
      </c>
      <c r="F39" s="49">
        <f>ABS(F38-$B$11)</f>
        <v>2.745925454999909E-3</v>
      </c>
      <c r="G39" s="49">
        <f>ABS(G38-$B$12)</f>
        <v>6.5392083675001253E-3</v>
      </c>
      <c r="H39" s="49">
        <f>ABS(H38-$B$13)</f>
        <v>1.1719321626249897E-2</v>
      </c>
      <c r="I39" s="49">
        <f>ABS(I38-$B$15)</f>
        <v>2.2274743722499796E-2</v>
      </c>
      <c r="J39" s="49">
        <f>ABS(J38-$B$16)</f>
        <v>1.8259846308750639E-2</v>
      </c>
      <c r="K39" s="49">
        <f>ABS(K38-$B$14)</f>
        <v>3.3541670600000795E-3</v>
      </c>
      <c r="L39" s="49">
        <f>0.3*F39+0.3*F40+0.08*G39+0.08*G40+0.08*H39+0.08*H40+0.08*K39</f>
        <v>1.8268054882931276E-2</v>
      </c>
      <c r="M39" s="49" t="s">
        <v>195</v>
      </c>
      <c r="N39" s="49">
        <f>ABS(N38-$B$21)</f>
        <v>1.4519793420370575E-3</v>
      </c>
      <c r="O39" s="49">
        <f>ABS(O38-$B$26)</f>
        <v>9.4098674117499129E-2</v>
      </c>
      <c r="P39" s="49">
        <f>ABS(P38-$B$29)</f>
        <v>2.2950180963751204E-2</v>
      </c>
      <c r="Q39" s="49">
        <f>ABS(Q38-$B$23)</f>
        <v>4.7496052222499516E-2</v>
      </c>
      <c r="R39" s="49">
        <f>ABS(R38-$B$32)</f>
        <v>6.0856653052499626E-2</v>
      </c>
      <c r="S39" s="49">
        <f>ABS(S38-$B$34)</f>
        <v>2.4777496185000469E-2</v>
      </c>
      <c r="T39" s="49">
        <f>0.3*N39+0.3*N40+0.08*O39+0.08*O40+0.08*P39+0.08*P40+0.08*S39</f>
        <v>2.3549421289331345E-2</v>
      </c>
      <c r="U39" s="49">
        <f>ABS(U37-$B$37)</f>
        <v>0.14073675151518172</v>
      </c>
      <c r="V39" s="49">
        <f>0.27*N39+0.27*N40+0.09*O39+0.09*O40+0.09*P39+0.09*P40+0.09*S39+0.09*U39</f>
        <v>3.8984752149470225E-2</v>
      </c>
    </row>
    <row r="40" spans="1:22" x14ac:dyDescent="0.25">
      <c r="E40" s="49" t="s">
        <v>196</v>
      </c>
      <c r="F40" s="49">
        <f>ABS(F36-$C$11)</f>
        <v>2.5284196300437323E-2</v>
      </c>
      <c r="G40" s="49">
        <f>ABS(G36-$C$12)</f>
        <v>6.375000382387519E-2</v>
      </c>
      <c r="H40" s="49">
        <f>ABS(H36-$C$13)</f>
        <v>3.7875028576126013E-2</v>
      </c>
      <c r="I40" s="49">
        <f>ABS(I36-$C$15)</f>
        <v>3.8729689059079142E-2</v>
      </c>
      <c r="J40" s="49">
        <f>ABS(J36-$C$16)</f>
        <v>6.6656232277124694E-2</v>
      </c>
      <c r="K40" s="49"/>
      <c r="L40" s="49"/>
      <c r="M40" s="49" t="s">
        <v>196</v>
      </c>
      <c r="N40" s="49">
        <f>ABS(N36-$C$21)</f>
        <v>1.1354938045391449E-3</v>
      </c>
      <c r="O40" s="49">
        <f>ABS(O36-$B$27)</f>
        <v>7.863750763620958E-2</v>
      </c>
      <c r="P40" s="49">
        <f>ABS(P36-$B$30)</f>
        <v>6.4200882914520641E-2</v>
      </c>
      <c r="Q40" s="49">
        <f>ABS(Q36-$B$24)</f>
        <v>9.5730005153804143E-2</v>
      </c>
      <c r="R40" s="49">
        <f>ABS(R36-$B$33)</f>
        <v>0.11286994217799506</v>
      </c>
      <c r="S40" s="49"/>
      <c r="T40" s="49"/>
    </row>
    <row r="42" spans="1:22" x14ac:dyDescent="0.25">
      <c r="E42" s="28"/>
      <c r="F42" s="28" t="s">
        <v>237</v>
      </c>
      <c r="G42" s="28" t="s">
        <v>238</v>
      </c>
      <c r="H42" s="28"/>
      <c r="I42" s="28"/>
      <c r="J42" s="28"/>
      <c r="K42" s="28"/>
      <c r="L42" s="28"/>
      <c r="M42" s="28" t="s">
        <v>237</v>
      </c>
      <c r="N42" s="28" t="s">
        <v>238</v>
      </c>
      <c r="O42" s="28"/>
      <c r="P42" s="28"/>
      <c r="Q42" s="28"/>
      <c r="R42" s="28"/>
      <c r="S42" s="28"/>
      <c r="T42" s="28"/>
      <c r="U42" s="28"/>
      <c r="V42" s="28"/>
    </row>
    <row r="43" spans="1:22" x14ac:dyDescent="0.25">
      <c r="E43" s="28"/>
      <c r="F43" s="28" t="s">
        <v>191</v>
      </c>
      <c r="G43" s="28" t="s">
        <v>185</v>
      </c>
      <c r="H43" s="28" t="s">
        <v>186</v>
      </c>
      <c r="I43" s="28" t="s">
        <v>187</v>
      </c>
      <c r="J43" s="28" t="s">
        <v>188</v>
      </c>
      <c r="K43" s="28" t="s">
        <v>222</v>
      </c>
      <c r="L43" s="28"/>
      <c r="M43" s="28"/>
      <c r="N43" s="28" t="s">
        <v>213</v>
      </c>
      <c r="O43" s="28" t="s">
        <v>214</v>
      </c>
      <c r="P43" s="28" t="s">
        <v>215</v>
      </c>
      <c r="Q43" s="28" t="s">
        <v>216</v>
      </c>
      <c r="R43" s="28" t="s">
        <v>217</v>
      </c>
      <c r="S43" s="28" t="s">
        <v>177</v>
      </c>
      <c r="T43" s="28" t="s">
        <v>233</v>
      </c>
      <c r="U43" s="28"/>
      <c r="V43" s="28"/>
    </row>
    <row r="44" spans="1:22" x14ac:dyDescent="0.25">
      <c r="E44" s="28" t="s">
        <v>7</v>
      </c>
      <c r="F44" s="28">
        <v>-8405.0708696099991</v>
      </c>
      <c r="G44" s="28">
        <v>-16262.9767844</v>
      </c>
      <c r="H44" s="28">
        <v>-66764.294260199997</v>
      </c>
      <c r="I44" s="28">
        <v>-17321.6584382</v>
      </c>
      <c r="J44" s="28">
        <v>-69526.511898099998</v>
      </c>
      <c r="K44" s="28">
        <v>-8000.2611336700002</v>
      </c>
      <c r="L44" s="28"/>
      <c r="M44" s="28" t="s">
        <v>7</v>
      </c>
      <c r="N44" s="28">
        <v>-8148.6468496799998</v>
      </c>
      <c r="O44" s="28">
        <v>-16274.544968300001</v>
      </c>
      <c r="P44" s="28">
        <v>-66816.990405599994</v>
      </c>
      <c r="Q44" s="28">
        <v>-14643.9711735</v>
      </c>
      <c r="R44" s="28">
        <v>-58729.059087399997</v>
      </c>
      <c r="S44" s="28">
        <v>-2355.56458823</v>
      </c>
      <c r="T44" s="28">
        <v>-6311.6874490199998</v>
      </c>
      <c r="U44" s="28"/>
      <c r="V44" s="28"/>
    </row>
    <row r="45" spans="1:22" x14ac:dyDescent="0.25">
      <c r="E45" s="28" t="s">
        <v>40</v>
      </c>
      <c r="F45" s="28">
        <f>F44/2000</f>
        <v>-4.2025354348049992</v>
      </c>
      <c r="G45" s="28">
        <f>G44/4000</f>
        <v>-4.0657441960999998</v>
      </c>
      <c r="H45" s="28">
        <f>H44/16000</f>
        <v>-4.1727683912625002</v>
      </c>
      <c r="I45" s="28">
        <f t="shared" ref="I45" si="17">I44/4000</f>
        <v>-4.33041460955</v>
      </c>
      <c r="J45" s="28">
        <f>J44/16000</f>
        <v>-4.3454069936312498</v>
      </c>
      <c r="K45" s="28">
        <f>K44/2000</f>
        <v>-4.0001305668349998</v>
      </c>
      <c r="L45" s="28"/>
      <c r="M45" s="28" t="s">
        <v>40</v>
      </c>
      <c r="N45" s="28">
        <f>N44/2000</f>
        <v>-4.0743234248400002</v>
      </c>
      <c r="O45" s="28">
        <f>O44/4000</f>
        <v>-4.0686362420749997</v>
      </c>
      <c r="P45" s="28">
        <f>P44/16000</f>
        <v>-4.1760619003499997</v>
      </c>
      <c r="Q45" s="28">
        <f t="shared" ref="Q45" si="18">Q44/4000</f>
        <v>-3.6609927933750002</v>
      </c>
      <c r="R45" s="28">
        <f>R44/16000</f>
        <v>-3.6705661929624998</v>
      </c>
      <c r="S45" s="28">
        <f>S44/2000</f>
        <v>-1.177782294115</v>
      </c>
      <c r="T45" s="28">
        <f>T44/1458</f>
        <v>-4.3290037373251025</v>
      </c>
      <c r="U45" s="28"/>
      <c r="V45" s="28"/>
    </row>
    <row r="46" spans="1:22" x14ac:dyDescent="0.25">
      <c r="E46" s="28" t="s">
        <v>9</v>
      </c>
      <c r="F46" s="28">
        <v>22924.506000000001</v>
      </c>
      <c r="G46" s="28">
        <v>49552.182000000001</v>
      </c>
      <c r="H46" s="28">
        <v>191345.69</v>
      </c>
      <c r="I46" s="28">
        <v>43635.73</v>
      </c>
      <c r="J46" s="28">
        <v>174319.72</v>
      </c>
      <c r="K46" s="28"/>
      <c r="L46" s="28"/>
      <c r="M46" s="28" t="s">
        <v>9</v>
      </c>
      <c r="N46" s="28">
        <v>23858.657999999999</v>
      </c>
      <c r="O46" s="28">
        <v>46027.048000000003</v>
      </c>
      <c r="P46" s="28">
        <v>184062.22</v>
      </c>
      <c r="Q46" s="28">
        <v>59276.232000000004</v>
      </c>
      <c r="R46" s="28">
        <v>230402.77</v>
      </c>
      <c r="S46" s="28"/>
      <c r="T46" s="28"/>
      <c r="U46" s="28"/>
      <c r="V46" s="28"/>
    </row>
    <row r="47" spans="1:22" x14ac:dyDescent="0.25">
      <c r="E47" s="28" t="s">
        <v>10</v>
      </c>
      <c r="F47" s="60">
        <f>(F46^(1/3))/10</f>
        <v>2.8407520490664795</v>
      </c>
      <c r="G47" s="60">
        <f t="shared" ref="G47:J47" si="19">(G46^(1/3))/10</f>
        <v>3.6729999946383716</v>
      </c>
      <c r="H47" s="60">
        <f t="shared" si="19"/>
        <v>5.7624375011847109</v>
      </c>
      <c r="I47" s="60">
        <f t="shared" si="19"/>
        <v>3.520578901430846</v>
      </c>
      <c r="J47" s="60">
        <f t="shared" si="19"/>
        <v>5.5861874727034655</v>
      </c>
      <c r="K47" s="60">
        <f>(K46^(1/3))/10</f>
        <v>0</v>
      </c>
      <c r="L47" s="28"/>
      <c r="M47" s="28" t="s">
        <v>10</v>
      </c>
      <c r="N47" s="60">
        <f>(N46^(1/3))/10</f>
        <v>2.8788254759308121</v>
      </c>
      <c r="O47" s="60">
        <f t="shared" ref="O47:R47" si="20">(O46^(1/3))/10</f>
        <v>3.5837500107972433</v>
      </c>
      <c r="P47" s="60">
        <f t="shared" si="20"/>
        <v>5.6883749939872157</v>
      </c>
      <c r="Q47" s="60">
        <f t="shared" si="20"/>
        <v>3.8990624965493126</v>
      </c>
      <c r="R47" s="60">
        <f t="shared" si="20"/>
        <v>6.13050002707228</v>
      </c>
      <c r="S47" s="60">
        <f>(S46^(1/3))/10</f>
        <v>0</v>
      </c>
      <c r="T47" s="28"/>
      <c r="U47" s="28"/>
      <c r="V47" s="28"/>
    </row>
    <row r="48" spans="1:22" x14ac:dyDescent="0.25">
      <c r="E48" s="28" t="s">
        <v>192</v>
      </c>
      <c r="F48" s="28">
        <f>F44-1000*$B$2-1000*$B$3</f>
        <v>167.41517948000092</v>
      </c>
      <c r="G48" s="28">
        <f>G44-3000*$B$2-1000*$B$3</f>
        <v>554.48136286999943</v>
      </c>
      <c r="H48" s="28">
        <f>H44-12000*$B$2-4000*$B$3</f>
        <v>505.53832888000034</v>
      </c>
      <c r="I48" s="28">
        <f>I44-1000*$B$2-3000*$B$3</f>
        <v>150.82761088999905</v>
      </c>
      <c r="J48" s="28">
        <f>J44-4000*$B$2-12000*$B$3</f>
        <v>363.43229825999879</v>
      </c>
      <c r="K48" s="28">
        <f>K44-1000*$B$2-1000*$B$3</f>
        <v>572.22491541999989</v>
      </c>
      <c r="L48" s="28"/>
      <c r="M48" s="28" t="s">
        <v>192</v>
      </c>
      <c r="N48" s="28">
        <f>N44-1000*$B$2-1000*$B$4</f>
        <v>-666.16080058999978</v>
      </c>
      <c r="O48" s="28">
        <f>O44-3000*$B$2-1000*$B$4</f>
        <v>-547.08682103000137</v>
      </c>
      <c r="P48" s="28">
        <f>P44-12000*$B$2-4000*$B$4</f>
        <v>-3907.1578165199971</v>
      </c>
      <c r="Q48" s="28">
        <f>Q44-1000*$B$2-3000*$B$4</f>
        <v>-441.48512440999912</v>
      </c>
      <c r="R48" s="28">
        <f>R44-4000*$B$2-12000*$B$4</f>
        <v>-1919.1148910399934</v>
      </c>
      <c r="S48" s="28">
        <f>S44-1000*$B$2-1000*$B$4</f>
        <v>5126.9214608599996</v>
      </c>
      <c r="T48" s="28">
        <f>(T44-486*$B$2-972*$B$9)/1458</f>
        <v>5.2405609767397554E-2</v>
      </c>
      <c r="U48" s="28"/>
      <c r="V48" s="28"/>
    </row>
    <row r="49" spans="5:22" x14ac:dyDescent="0.25">
      <c r="E49" s="28" t="s">
        <v>193</v>
      </c>
      <c r="F49" s="60">
        <f>F48/2000</f>
        <v>8.3707589740000463E-2</v>
      </c>
      <c r="G49" s="60">
        <f>G48/4000</f>
        <v>0.13862034071749985</v>
      </c>
      <c r="H49" s="60">
        <f>H48/16000</f>
        <v>3.1596145555000024E-2</v>
      </c>
      <c r="I49" s="60">
        <f>I48/4000</f>
        <v>3.7706902722499762E-2</v>
      </c>
      <c r="J49" s="60">
        <f>J48/16000</f>
        <v>2.2714518641249924E-2</v>
      </c>
      <c r="K49" s="60">
        <f>K48/2000</f>
        <v>0.28611245770999993</v>
      </c>
      <c r="L49" s="28"/>
      <c r="M49" s="28" t="s">
        <v>193</v>
      </c>
      <c r="N49" s="60">
        <f>N48/2000</f>
        <v>-0.33308040029499991</v>
      </c>
      <c r="O49" s="60">
        <f>O48/4000</f>
        <v>-0.13677170525750035</v>
      </c>
      <c r="P49" s="60">
        <f>P48/16000</f>
        <v>-0.24419736353249982</v>
      </c>
      <c r="Q49" s="60">
        <f>Q48/4000</f>
        <v>-0.11037128110249977</v>
      </c>
      <c r="R49" s="60">
        <f>R48/16000</f>
        <v>-0.11994468068999958</v>
      </c>
      <c r="S49" s="60">
        <f>S48/2000</f>
        <v>2.5634607304299997</v>
      </c>
      <c r="T49" s="28"/>
      <c r="U49" s="28"/>
      <c r="V49" s="28"/>
    </row>
    <row r="50" spans="5:22" x14ac:dyDescent="0.25">
      <c r="E50" s="28" t="s">
        <v>195</v>
      </c>
      <c r="F50" s="28">
        <f>ABS(F49-$B$11)</f>
        <v>2.9241025999954262E-4</v>
      </c>
      <c r="G50" s="28">
        <f>ABS(G49-$B$12)</f>
        <v>9.0620340717499845E-2</v>
      </c>
      <c r="H50" s="28">
        <f>ABS(H49-$B$13)</f>
        <v>2.4038544449999782E-3</v>
      </c>
      <c r="I50" s="28">
        <f>ABS(I49-$B$15)</f>
        <v>0.12670690272249976</v>
      </c>
      <c r="J50" s="28">
        <f>ABS(J49-$B$16)</f>
        <v>1.2854813587500763E-3</v>
      </c>
      <c r="K50" s="28">
        <f>ABS(K49-$B$14)</f>
        <v>3.9191729000032094E-4</v>
      </c>
      <c r="L50" s="28">
        <f>0.3*F50+0.3*F51+0.08*G50+0.08*G51+0.08*H50+0.08*H51+0.08*K50</f>
        <v>2.2690397020102667E-2</v>
      </c>
      <c r="M50" s="28" t="s">
        <v>195</v>
      </c>
      <c r="N50" s="28">
        <f>ABS(N49-$B$21)</f>
        <v>6.5776174203691085E-4</v>
      </c>
      <c r="O50" s="28">
        <f>ABS(O49-$B$26)</f>
        <v>6.4522107242499099E-2</v>
      </c>
      <c r="P50" s="28">
        <f>ABS(P49-$B$29)</f>
        <v>4.2956801032500935E-2</v>
      </c>
      <c r="Q50" s="28">
        <f>ABS(Q49-$B$23)</f>
        <v>6.6751563974997707E-3</v>
      </c>
      <c r="R50" s="28">
        <f>ABS(R49-$B$32)</f>
        <v>9.6311805689999475E-2</v>
      </c>
      <c r="S50" s="28">
        <f>ABS(S49-$B$34)</f>
        <v>5.8441054299991357E-3</v>
      </c>
      <c r="T50" s="28">
        <f>ABS(T48-$B$37)</f>
        <v>9.6294390232602445E-2</v>
      </c>
      <c r="U50" s="28">
        <f>0.3*N50+0.3*N51+0.08*O50+0.08*O51+0.08*P50+0.08*P51+0.08*S50</f>
        <v>2.0092531831273779E-2</v>
      </c>
      <c r="V50" s="28">
        <f>0.27*N50+0.27*N51+0.09*O50+0.09*O51+0.09*P50+0.09*P51+0.09*S50+0.09*T50</f>
        <v>3.0980428638199921E-2</v>
      </c>
    </row>
    <row r="51" spans="5:22" x14ac:dyDescent="0.25">
      <c r="E51" s="28" t="s">
        <v>196</v>
      </c>
      <c r="F51" s="28">
        <f>ABS(F47-$C$11)</f>
        <v>1.3247950933520602E-2</v>
      </c>
      <c r="G51" s="28">
        <f>ABS(G47-$C$12)</f>
        <v>9.4999994638371721E-2</v>
      </c>
      <c r="H51" s="28">
        <f>ABS(H47-$C$13)</f>
        <v>4.4437501184710904E-2</v>
      </c>
      <c r="I51" s="28">
        <f>ABS(I47-$C$15)</f>
        <v>2.4421098569153976E-2</v>
      </c>
      <c r="J51" s="28">
        <f>ABS(J47-$C$16)</f>
        <v>5.6812527296534299E-2</v>
      </c>
      <c r="K51" s="28"/>
      <c r="L51" s="28"/>
      <c r="M51" s="28" t="s">
        <v>196</v>
      </c>
      <c r="N51" s="28">
        <f>ABS(N47-$C$21)</f>
        <v>3.6409759308120293E-3</v>
      </c>
      <c r="O51" s="28">
        <f>ABS(O47-$B$27)</f>
        <v>6.8949989202756523E-2</v>
      </c>
      <c r="P51" s="28">
        <f>ABS(P47-$B$30)</f>
        <v>5.2763378709983044E-2</v>
      </c>
      <c r="Q51" s="28">
        <f>ABS(Q47-$B$24)</f>
        <v>0.10254249654931247</v>
      </c>
      <c r="R51" s="28">
        <f>ABS(R47-$B$33)</f>
        <v>0.14441682093704777</v>
      </c>
      <c r="S51" s="28"/>
      <c r="T51" s="28"/>
      <c r="U51" s="28"/>
      <c r="V51" s="28">
        <f>V50+L50</f>
        <v>5.3670825658302584E-2</v>
      </c>
    </row>
    <row r="53" spans="5:22" x14ac:dyDescent="0.25">
      <c r="F53" s="49" t="s">
        <v>235</v>
      </c>
      <c r="G53" s="49" t="s">
        <v>236</v>
      </c>
      <c r="M53" s="49" t="s">
        <v>235</v>
      </c>
      <c r="N53" s="49" t="s">
        <v>236</v>
      </c>
      <c r="O53" s="49"/>
      <c r="P53" s="49"/>
      <c r="Q53" s="49"/>
      <c r="R53" s="49"/>
      <c r="S53" s="49"/>
      <c r="T53" s="49"/>
    </row>
    <row r="54" spans="5:22" x14ac:dyDescent="0.25">
      <c r="E54" s="49"/>
      <c r="F54" s="49" t="s">
        <v>191</v>
      </c>
      <c r="G54" s="49" t="s">
        <v>185</v>
      </c>
      <c r="H54" s="49" t="s">
        <v>186</v>
      </c>
      <c r="I54" s="49" t="s">
        <v>187</v>
      </c>
      <c r="J54" s="49" t="s">
        <v>188</v>
      </c>
      <c r="K54" s="49" t="s">
        <v>222</v>
      </c>
      <c r="L54" s="49"/>
      <c r="M54" s="49"/>
      <c r="N54" s="49" t="s">
        <v>213</v>
      </c>
      <c r="O54" s="49" t="s">
        <v>214</v>
      </c>
      <c r="P54" s="49" t="s">
        <v>215</v>
      </c>
      <c r="Q54" s="49" t="s">
        <v>216</v>
      </c>
      <c r="R54" s="49" t="s">
        <v>217</v>
      </c>
      <c r="S54" s="49" t="s">
        <v>177</v>
      </c>
      <c r="T54" s="49" t="s">
        <v>233</v>
      </c>
    </row>
    <row r="55" spans="5:22" x14ac:dyDescent="0.25">
      <c r="E55" s="49" t="s">
        <v>7</v>
      </c>
      <c r="F55" s="49">
        <v>-8403.19221612</v>
      </c>
      <c r="G55" s="49">
        <v>-16509.869455</v>
      </c>
      <c r="H55" s="49">
        <v>-66760.105818900003</v>
      </c>
      <c r="I55" s="49">
        <v>-17653.935940700001</v>
      </c>
      <c r="J55" s="49">
        <v>-69635.258897099993</v>
      </c>
      <c r="K55" s="49">
        <v>-7992.3562121300001</v>
      </c>
      <c r="L55" s="49"/>
      <c r="M55" s="49" t="s">
        <v>7</v>
      </c>
      <c r="N55" s="49">
        <v>-8148.6468496799998</v>
      </c>
      <c r="O55" s="49">
        <v>-16274.544968300001</v>
      </c>
      <c r="P55" s="49">
        <v>-66816.990405599994</v>
      </c>
      <c r="Q55" s="49">
        <v>-14643.9711735</v>
      </c>
      <c r="R55" s="49">
        <v>-58729.059087399997</v>
      </c>
      <c r="S55" s="49">
        <v>-2355.56458823</v>
      </c>
      <c r="T55" s="49">
        <v>-6383.37310591</v>
      </c>
    </row>
    <row r="56" spans="5:22" x14ac:dyDescent="0.25">
      <c r="E56" s="49" t="s">
        <v>40</v>
      </c>
      <c r="F56" s="49">
        <f>F55/2000</f>
        <v>-4.2015961080600004</v>
      </c>
      <c r="G56" s="49">
        <f>G55/4000</f>
        <v>-4.1274673637500001</v>
      </c>
      <c r="H56" s="49">
        <f>H55/16000</f>
        <v>-4.1725066136812501</v>
      </c>
      <c r="I56" s="49">
        <f t="shared" ref="I56" si="21">I55/4000</f>
        <v>-4.4134839851750005</v>
      </c>
      <c r="J56" s="49">
        <f>J55/16000</f>
        <v>-4.3522036810687492</v>
      </c>
      <c r="K56" s="49">
        <f>K55/2000</f>
        <v>-3.9961781060649999</v>
      </c>
      <c r="L56" s="49"/>
      <c r="M56" s="49" t="s">
        <v>40</v>
      </c>
      <c r="N56" s="49">
        <f>N55/2000</f>
        <v>-4.0743234248400002</v>
      </c>
      <c r="O56" s="49">
        <f>O55/4000</f>
        <v>-4.0686362420749997</v>
      </c>
      <c r="P56" s="49">
        <f>P55/16000</f>
        <v>-4.1760619003499997</v>
      </c>
      <c r="Q56" s="49">
        <f t="shared" ref="Q56" si="22">Q55/4000</f>
        <v>-3.6609927933750002</v>
      </c>
      <c r="R56" s="49">
        <f>R55/16000</f>
        <v>-3.6705661929624998</v>
      </c>
      <c r="S56" s="49">
        <f>S55/2000</f>
        <v>-1.177782294115</v>
      </c>
      <c r="T56" s="49">
        <f>T55/1458</f>
        <v>-4.3781708545336073</v>
      </c>
    </row>
    <row r="57" spans="5:22" x14ac:dyDescent="0.25">
      <c r="E57" s="49" t="s">
        <v>9</v>
      </c>
      <c r="F57" s="49">
        <v>22636.144</v>
      </c>
      <c r="G57" s="49">
        <v>48310.572</v>
      </c>
      <c r="H57" s="49">
        <v>190729.97</v>
      </c>
      <c r="I57" s="49">
        <v>43023.275999999998</v>
      </c>
      <c r="J57" s="49">
        <v>173408.55</v>
      </c>
      <c r="K57" s="49"/>
      <c r="L57" s="49"/>
      <c r="M57" s="49" t="s">
        <v>9</v>
      </c>
      <c r="N57" s="49">
        <v>23858.657999999999</v>
      </c>
      <c r="O57" s="49">
        <v>46027.048000000003</v>
      </c>
      <c r="P57" s="49">
        <v>184062.22</v>
      </c>
      <c r="Q57" s="49">
        <v>59276.232000000004</v>
      </c>
      <c r="R57" s="49">
        <v>230402.77</v>
      </c>
      <c r="S57" s="49"/>
      <c r="T57" s="49"/>
    </row>
    <row r="58" spans="5:22" x14ac:dyDescent="0.25">
      <c r="E58" s="49" t="s">
        <v>10</v>
      </c>
      <c r="F58" s="49">
        <f>(F57^(1/3))/10</f>
        <v>2.8287907030928445</v>
      </c>
      <c r="G58" s="49">
        <f t="shared" ref="G58:J58" si="23">(G57^(1/3))/10</f>
        <v>3.6420624909174428</v>
      </c>
      <c r="H58" s="49">
        <f t="shared" si="23"/>
        <v>5.7562499904704767</v>
      </c>
      <c r="I58" s="49">
        <f t="shared" si="23"/>
        <v>3.504030078868587</v>
      </c>
      <c r="J58" s="49">
        <f t="shared" si="23"/>
        <v>5.5764374556873282</v>
      </c>
      <c r="K58" s="49">
        <f>(K57^(1/3))/10</f>
        <v>0</v>
      </c>
      <c r="L58" s="49"/>
      <c r="M58" s="49" t="s">
        <v>10</v>
      </c>
      <c r="N58" s="49">
        <f>(N57^(1/3))/10</f>
        <v>2.8788254759308121</v>
      </c>
      <c r="O58" s="49">
        <f t="shared" ref="O58:R58" si="24">(O57^(1/3))/10</f>
        <v>3.5837500107972433</v>
      </c>
      <c r="P58" s="49">
        <f t="shared" si="24"/>
        <v>5.6883749939872157</v>
      </c>
      <c r="Q58" s="49">
        <f t="shared" si="24"/>
        <v>3.8990624965493126</v>
      </c>
      <c r="R58" s="49">
        <f t="shared" si="24"/>
        <v>6.13050002707228</v>
      </c>
      <c r="S58" s="49">
        <f>(S57^(1/3))/10</f>
        <v>0</v>
      </c>
      <c r="T58" s="49"/>
    </row>
    <row r="59" spans="5:22" x14ac:dyDescent="0.25">
      <c r="E59" s="49" t="s">
        <v>192</v>
      </c>
      <c r="F59" s="49">
        <f>F55-1000*$B$2-1000*$B$3</f>
        <v>169.29383297000004</v>
      </c>
      <c r="G59" s="49">
        <f>G55-3000*$B$2-1000*$B$3</f>
        <v>307.58869226999923</v>
      </c>
      <c r="H59" s="49">
        <f>H55-12000*$B$2-4000*$B$3</f>
        <v>509.72677017999376</v>
      </c>
      <c r="I59" s="49">
        <f>I55-1000*$B$2-3000*$B$3</f>
        <v>-181.44989161000194</v>
      </c>
      <c r="J59" s="49">
        <f>J55-4000*$B$2-12000*$B$3</f>
        <v>254.68529926000338</v>
      </c>
      <c r="K59" s="49">
        <f>K55-1000*$B$2-1000*$B$3</f>
        <v>580.12983695999992</v>
      </c>
      <c r="L59" s="49"/>
      <c r="M59" s="49" t="s">
        <v>192</v>
      </c>
      <c r="N59" s="49">
        <f>N55-1000*$B$2-1000*$B$4</f>
        <v>-666.16080058999978</v>
      </c>
      <c r="O59" s="49">
        <f>O55-3000*$B$2-1000*$B$4</f>
        <v>-547.08682103000137</v>
      </c>
      <c r="P59" s="49">
        <f>P55-12000*$B$2-4000*$B$4</f>
        <v>-3907.1578165199971</v>
      </c>
      <c r="Q59" s="49">
        <f>Q55-1000*$B$2-3000*$B$4</f>
        <v>-441.48512440999912</v>
      </c>
      <c r="R59" s="49">
        <f>R55-4000*$B$2-12000*$B$4</f>
        <v>-1919.1148910399934</v>
      </c>
      <c r="S59" s="49">
        <f>S55-1000*$B$2-1000*$B$4</f>
        <v>5126.9214608599996</v>
      </c>
      <c r="T59" s="49">
        <f>(T55-486*$B$2-972*$B$9)/1458</f>
        <v>3.2384925588925854E-3</v>
      </c>
    </row>
    <row r="60" spans="5:22" x14ac:dyDescent="0.25">
      <c r="E60" s="49" t="s">
        <v>193</v>
      </c>
      <c r="F60" s="49">
        <f>F59/2000</f>
        <v>8.4646916485000015E-2</v>
      </c>
      <c r="G60" s="49">
        <f>G59/4000</f>
        <v>7.6897173067499811E-2</v>
      </c>
      <c r="H60" s="49">
        <f>H59/16000</f>
        <v>3.1857923136249612E-2</v>
      </c>
      <c r="I60" s="49">
        <f>I59/4000</f>
        <v>-4.5362472902500485E-2</v>
      </c>
      <c r="J60" s="49">
        <f>J59/16000</f>
        <v>1.5917831203750211E-2</v>
      </c>
      <c r="K60" s="49">
        <f>K59/2000</f>
        <v>0.29006491847999993</v>
      </c>
      <c r="L60" s="49"/>
      <c r="M60" s="49" t="s">
        <v>193</v>
      </c>
      <c r="N60" s="49">
        <f>N59/2000</f>
        <v>-0.33308040029499991</v>
      </c>
      <c r="O60" s="49">
        <f>O59/4000</f>
        <v>-0.13677170525750035</v>
      </c>
      <c r="P60" s="49">
        <f>P59/16000</f>
        <v>-0.24419736353249982</v>
      </c>
      <c r="Q60" s="49">
        <f>Q59/4000</f>
        <v>-0.11037128110249977</v>
      </c>
      <c r="R60" s="49">
        <f>R59/16000</f>
        <v>-0.11994468068999958</v>
      </c>
      <c r="S60" s="49">
        <f>S59/2000</f>
        <v>2.5634607304299997</v>
      </c>
      <c r="T60" s="49"/>
    </row>
    <row r="61" spans="5:22" x14ac:dyDescent="0.25">
      <c r="E61" s="49" t="s">
        <v>195</v>
      </c>
      <c r="F61" s="49">
        <f>ABS(F60-$B$11)</f>
        <v>6.4691648500000976E-4</v>
      </c>
      <c r="G61" s="49">
        <f>ABS(G60-$B$12)</f>
        <v>2.889717306749981E-2</v>
      </c>
      <c r="H61" s="49">
        <f>ABS(H60-$B$13)</f>
        <v>2.1420768637503904E-3</v>
      </c>
      <c r="I61" s="49">
        <f>ABS(I60-$B$15)</f>
        <v>4.3637527097499511E-2</v>
      </c>
      <c r="J61" s="49">
        <f>ABS(J60-$B$16)</f>
        <v>8.082168796249789E-3</v>
      </c>
      <c r="K61" s="49">
        <f>ABS(K60-$B$14)</f>
        <v>3.5605434799996782E-3</v>
      </c>
      <c r="L61" s="49">
        <f>0.3*F61+0.3*F62+0.08*G61+0.08*G62+0.08*H61+0.08*H62+0.08*K61</f>
        <v>1.8709846001580242E-2</v>
      </c>
      <c r="M61" s="49" t="s">
        <v>195</v>
      </c>
      <c r="N61" s="49">
        <f>ABS(N60-$B$21)</f>
        <v>6.5776174203691085E-4</v>
      </c>
      <c r="O61" s="49">
        <f>ABS(O60-$B$26)</f>
        <v>6.4522107242499099E-2</v>
      </c>
      <c r="P61" s="49">
        <f>ABS(P60-$B$29)</f>
        <v>4.2956801032500935E-2</v>
      </c>
      <c r="Q61" s="49">
        <f>ABS(Q60-$B$23)</f>
        <v>6.6751563974997707E-3</v>
      </c>
      <c r="R61" s="49">
        <f>ABS(R60-$B$32)</f>
        <v>9.6311805689999475E-2</v>
      </c>
      <c r="S61" s="49">
        <f>ABS(S60-$B$34)</f>
        <v>5.8441054299991357E-3</v>
      </c>
      <c r="T61" s="49">
        <f>ABS(T59-$B$37)</f>
        <v>0.14546150744110742</v>
      </c>
      <c r="U61" s="49">
        <f>0.3*N61+0.3*N62+0.08*O61+0.08*O62+0.08*P61+0.08*P62+0.08*S61</f>
        <v>2.0092531831273779E-2</v>
      </c>
      <c r="V61" s="49">
        <f>0.27*N61+0.27*N62+0.09*O61+0.09*O62+0.09*P61+0.09*P62+0.09*S61+0.09*T61</f>
        <v>3.5405469186965369E-2</v>
      </c>
    </row>
    <row r="62" spans="5:22" x14ac:dyDescent="0.25">
      <c r="E62" s="49" t="s">
        <v>196</v>
      </c>
      <c r="F62" s="49">
        <f>ABS(F58-$C$11)</f>
        <v>2.5209296907155565E-2</v>
      </c>
      <c r="G62" s="49">
        <f>ABS(G58-$C$12)</f>
        <v>6.4062490917442982E-2</v>
      </c>
      <c r="H62" s="49">
        <f>ABS(H58-$C$13)</f>
        <v>3.8249990470476725E-2</v>
      </c>
      <c r="I62" s="49">
        <f>ABS(I58-$C$15)</f>
        <v>4.0969921131412956E-2</v>
      </c>
      <c r="J62" s="49">
        <f>ABS(J58-$C$16)</f>
        <v>6.6562544312671612E-2</v>
      </c>
      <c r="K62" s="49"/>
      <c r="L62" s="49"/>
      <c r="M62" s="49" t="s">
        <v>196</v>
      </c>
      <c r="N62" s="49">
        <f>ABS(N58-$C$21)</f>
        <v>3.6409759308120293E-3</v>
      </c>
      <c r="O62" s="49">
        <f>ABS(O58-$B$27)</f>
        <v>6.8949989202756523E-2</v>
      </c>
      <c r="P62" s="49">
        <f>ABS(P58-$B$30)</f>
        <v>5.2763378709983044E-2</v>
      </c>
      <c r="Q62" s="49">
        <f>ABS(Q58-$B$24)</f>
        <v>0.10254249654931247</v>
      </c>
      <c r="R62" s="49">
        <f>ABS(R58-$B$33)</f>
        <v>0.14441682093704777</v>
      </c>
      <c r="S62" s="49"/>
      <c r="T62" s="49"/>
      <c r="V62">
        <f>V61+L61</f>
        <v>5.4115315188545607E-2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density scaling</vt:lpstr>
      <vt:lpstr>feal</vt:lpstr>
      <vt:lpstr>feni</vt:lpstr>
      <vt:lpstr>fenial</vt:lpstr>
      <vt:lpstr>intermetallics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</cp:lastModifiedBy>
  <dcterms:created xsi:type="dcterms:W3CDTF">2014-04-15T21:22:55Z</dcterms:created>
  <dcterms:modified xsi:type="dcterms:W3CDTF">2015-08-10T21:29:51Z</dcterms:modified>
</cp:coreProperties>
</file>