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davis_work/"/>
    </mc:Choice>
  </mc:AlternateContent>
  <bookViews>
    <workbookView xWindow="8300" yWindow="2540" windowWidth="35740" windowHeight="24360" tabRatio="641" firstSheet="1" activeTab="1"/>
  </bookViews>
  <sheets>
    <sheet name="original work" sheetId="1" r:id="rId1"/>
    <sheet name="100" sheetId="7" r:id="rId2"/>
    <sheet name="110" sheetId="3" r:id="rId3"/>
    <sheet name="111" sheetId="4" r:id="rId4"/>
    <sheet name="0K vacancy" sheetId="2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2" i="7" l="1"/>
  <c r="K62" i="7"/>
  <c r="L62" i="7"/>
  <c r="U108" i="7"/>
  <c r="U105" i="7"/>
  <c r="G44" i="7"/>
  <c r="G41" i="7"/>
  <c r="K42" i="7"/>
  <c r="K41" i="7"/>
  <c r="N43" i="7"/>
  <c r="N40" i="7"/>
  <c r="K40" i="7"/>
  <c r="W28" i="7"/>
  <c r="H29" i="7"/>
  <c r="T105" i="7"/>
  <c r="S106" i="7"/>
  <c r="D26" i="7"/>
  <c r="D27" i="7"/>
  <c r="D28" i="7"/>
  <c r="D29" i="7"/>
  <c r="S26" i="7"/>
  <c r="S27" i="7"/>
  <c r="S28" i="7"/>
  <c r="S29" i="7"/>
  <c r="I99" i="7"/>
  <c r="F3" i="2"/>
  <c r="O65" i="2"/>
  <c r="O66" i="2"/>
  <c r="O67" i="2"/>
  <c r="O68" i="2"/>
  <c r="O69" i="2"/>
  <c r="O64" i="2"/>
  <c r="O59" i="2"/>
  <c r="O60" i="2"/>
  <c r="O61" i="2"/>
  <c r="O62" i="2"/>
  <c r="O63" i="2"/>
  <c r="O57" i="2"/>
  <c r="O58" i="2"/>
  <c r="O51" i="2"/>
  <c r="O52" i="2"/>
  <c r="O53" i="2"/>
  <c r="O54" i="2"/>
  <c r="O55" i="2"/>
  <c r="O50" i="2"/>
  <c r="O41" i="2"/>
  <c r="O42" i="2"/>
  <c r="O43" i="2"/>
  <c r="O44" i="2"/>
  <c r="O45" i="2"/>
  <c r="O46" i="2"/>
  <c r="O47" i="2"/>
  <c r="O48" i="2"/>
  <c r="O40" i="2"/>
  <c r="D3" i="2"/>
  <c r="D10" i="2"/>
  <c r="K10" i="2"/>
  <c r="E65" i="2"/>
  <c r="N5" i="2"/>
  <c r="G65" i="2"/>
  <c r="E38" i="2"/>
  <c r="H38" i="2"/>
  <c r="N65" i="2"/>
  <c r="D10" i="7"/>
  <c r="D11" i="7"/>
  <c r="D12" i="7"/>
  <c r="D13" i="7"/>
  <c r="H13" i="7"/>
  <c r="L4" i="7"/>
  <c r="L11" i="7"/>
  <c r="E43" i="7"/>
  <c r="V10" i="7"/>
  <c r="V11" i="7"/>
  <c r="V12" i="7"/>
  <c r="V13" i="7"/>
  <c r="W13" i="7"/>
  <c r="G43" i="7"/>
  <c r="I43" i="7"/>
  <c r="K43" i="7"/>
  <c r="D8" i="3"/>
  <c r="D9" i="3"/>
  <c r="D10" i="3"/>
  <c r="D11" i="3"/>
  <c r="H11" i="3"/>
  <c r="D24" i="3"/>
  <c r="D29" i="3"/>
  <c r="E60" i="3"/>
  <c r="P8" i="3"/>
  <c r="P9" i="3"/>
  <c r="P10" i="3"/>
  <c r="P11" i="3"/>
  <c r="Q11" i="3"/>
  <c r="G60" i="3"/>
  <c r="I60" i="3"/>
  <c r="K60" i="3"/>
  <c r="L60" i="3"/>
  <c r="E61" i="3"/>
  <c r="G61" i="3"/>
  <c r="I61" i="3"/>
  <c r="K61" i="3"/>
  <c r="L61" i="3"/>
  <c r="E62" i="3"/>
  <c r="G62" i="3"/>
  <c r="I62" i="3"/>
  <c r="K62" i="3"/>
  <c r="L62" i="3"/>
  <c r="N62" i="3"/>
  <c r="T108" i="7"/>
  <c r="D14" i="7"/>
  <c r="D15" i="7"/>
  <c r="D16" i="7"/>
  <c r="D17" i="7"/>
  <c r="H17" i="7"/>
  <c r="L5" i="7"/>
  <c r="L12" i="7"/>
  <c r="E60" i="7"/>
  <c r="V14" i="7"/>
  <c r="V15" i="7"/>
  <c r="V16" i="7"/>
  <c r="V17" i="7"/>
  <c r="W17" i="7"/>
  <c r="G60" i="7"/>
  <c r="I60" i="7"/>
  <c r="K60" i="7"/>
  <c r="L60" i="7"/>
  <c r="E61" i="7"/>
  <c r="G61" i="7"/>
  <c r="I61" i="7"/>
  <c r="K61" i="7"/>
  <c r="L61" i="7"/>
  <c r="E62" i="7"/>
  <c r="I62" i="7"/>
  <c r="N61" i="7"/>
  <c r="E42" i="7"/>
  <c r="G42" i="7"/>
  <c r="I42" i="7"/>
  <c r="L42" i="7"/>
  <c r="L43" i="7"/>
  <c r="E44" i="7"/>
  <c r="I44" i="7"/>
  <c r="K44" i="7"/>
  <c r="L44" i="7"/>
  <c r="N62" i="7"/>
  <c r="D16" i="3"/>
  <c r="D17" i="3"/>
  <c r="D18" i="3"/>
  <c r="D19" i="3"/>
  <c r="H19" i="3"/>
  <c r="D26" i="3"/>
  <c r="D31" i="3"/>
  <c r="E78" i="3"/>
  <c r="P16" i="3"/>
  <c r="P17" i="3"/>
  <c r="P18" i="3"/>
  <c r="P19" i="3"/>
  <c r="Q19" i="3"/>
  <c r="G78" i="3"/>
  <c r="I78" i="3"/>
  <c r="K78" i="3"/>
  <c r="L78" i="3"/>
  <c r="E79" i="3"/>
  <c r="G79" i="3"/>
  <c r="I79" i="3"/>
  <c r="K79" i="3"/>
  <c r="L79" i="3"/>
  <c r="E80" i="3"/>
  <c r="G80" i="3"/>
  <c r="I80" i="3"/>
  <c r="K80" i="3"/>
  <c r="L80" i="3"/>
  <c r="E81" i="3"/>
  <c r="G81" i="3"/>
  <c r="I81" i="3"/>
  <c r="K81" i="3"/>
  <c r="L81" i="3"/>
  <c r="E82" i="3"/>
  <c r="G82" i="3"/>
  <c r="I82" i="3"/>
  <c r="K82" i="3"/>
  <c r="L82" i="3"/>
  <c r="N83" i="3"/>
  <c r="N82" i="3"/>
  <c r="U106" i="7"/>
  <c r="U109" i="7"/>
  <c r="D16" i="4"/>
  <c r="D17" i="4"/>
  <c r="D18" i="4"/>
  <c r="D19" i="4"/>
  <c r="D20" i="4"/>
  <c r="H20" i="4"/>
  <c r="D25" i="4"/>
  <c r="D30" i="4"/>
  <c r="E100" i="4"/>
  <c r="Q14" i="4"/>
  <c r="Q15" i="4"/>
  <c r="Q16" i="4"/>
  <c r="Q17" i="4"/>
  <c r="Q18" i="4"/>
  <c r="S18" i="4"/>
  <c r="G100" i="4"/>
  <c r="I100" i="4"/>
  <c r="K100" i="4"/>
  <c r="L100" i="4"/>
  <c r="E101" i="4"/>
  <c r="G101" i="4"/>
  <c r="I101" i="4"/>
  <c r="K101" i="4"/>
  <c r="L101" i="4"/>
  <c r="E102" i="4"/>
  <c r="G102" i="4"/>
  <c r="I102" i="4"/>
  <c r="K102" i="4"/>
  <c r="L102" i="4"/>
  <c r="E103" i="4"/>
  <c r="G103" i="4"/>
  <c r="I103" i="4"/>
  <c r="K103" i="4"/>
  <c r="L103" i="4"/>
  <c r="E104" i="4"/>
  <c r="G104" i="4"/>
  <c r="I104" i="4"/>
  <c r="K104" i="4"/>
  <c r="L104" i="4"/>
  <c r="N105" i="4"/>
  <c r="N104" i="4"/>
  <c r="E79" i="4"/>
  <c r="G79" i="4"/>
  <c r="I79" i="4"/>
  <c r="K79" i="4"/>
  <c r="L79" i="4"/>
  <c r="E80" i="4"/>
  <c r="G80" i="4"/>
  <c r="I80" i="4"/>
  <c r="K80" i="4"/>
  <c r="L80" i="4"/>
  <c r="E81" i="4"/>
  <c r="G81" i="4"/>
  <c r="I81" i="4"/>
  <c r="K81" i="4"/>
  <c r="L81" i="4"/>
  <c r="E82" i="4"/>
  <c r="G82" i="4"/>
  <c r="I82" i="4"/>
  <c r="K82" i="4"/>
  <c r="L82" i="4"/>
  <c r="E83" i="4"/>
  <c r="G83" i="4"/>
  <c r="I83" i="4"/>
  <c r="K83" i="4"/>
  <c r="L83" i="4"/>
  <c r="E84" i="4"/>
  <c r="G84" i="4"/>
  <c r="I84" i="4"/>
  <c r="K84" i="4"/>
  <c r="L84" i="4"/>
  <c r="E85" i="4"/>
  <c r="G85" i="4"/>
  <c r="I85" i="4"/>
  <c r="K85" i="4"/>
  <c r="L85" i="4"/>
  <c r="E86" i="4"/>
  <c r="G86" i="4"/>
  <c r="I86" i="4"/>
  <c r="K86" i="4"/>
  <c r="L86" i="4"/>
  <c r="E87" i="4"/>
  <c r="G87" i="4"/>
  <c r="I87" i="4"/>
  <c r="K87" i="4"/>
  <c r="L87" i="4"/>
  <c r="E88" i="4"/>
  <c r="G88" i="4"/>
  <c r="I88" i="4"/>
  <c r="K88" i="4"/>
  <c r="L88" i="4"/>
  <c r="E89" i="4"/>
  <c r="G89" i="4"/>
  <c r="I89" i="4"/>
  <c r="K89" i="4"/>
  <c r="L89" i="4"/>
  <c r="E90" i="4"/>
  <c r="G90" i="4"/>
  <c r="I90" i="4"/>
  <c r="K90" i="4"/>
  <c r="L90" i="4"/>
  <c r="E91" i="4"/>
  <c r="G91" i="4"/>
  <c r="I91" i="4"/>
  <c r="K91" i="4"/>
  <c r="L91" i="4"/>
  <c r="E92" i="4"/>
  <c r="G92" i="4"/>
  <c r="I92" i="4"/>
  <c r="K92" i="4"/>
  <c r="L92" i="4"/>
  <c r="E93" i="4"/>
  <c r="G93" i="4"/>
  <c r="I93" i="4"/>
  <c r="K93" i="4"/>
  <c r="L93" i="4"/>
  <c r="E94" i="4"/>
  <c r="G94" i="4"/>
  <c r="I94" i="4"/>
  <c r="K94" i="4"/>
  <c r="L94" i="4"/>
  <c r="E95" i="4"/>
  <c r="G95" i="4"/>
  <c r="I95" i="4"/>
  <c r="K95" i="4"/>
  <c r="L95" i="4"/>
  <c r="E96" i="4"/>
  <c r="G96" i="4"/>
  <c r="I96" i="4"/>
  <c r="K96" i="4"/>
  <c r="L96" i="4"/>
  <c r="E97" i="4"/>
  <c r="G97" i="4"/>
  <c r="I97" i="4"/>
  <c r="K97" i="4"/>
  <c r="L97" i="4"/>
  <c r="E98" i="4"/>
  <c r="G98" i="4"/>
  <c r="I98" i="4"/>
  <c r="K98" i="4"/>
  <c r="L98" i="4"/>
  <c r="L99" i="4"/>
  <c r="O95" i="4"/>
  <c r="O79" i="4"/>
  <c r="O83" i="4"/>
  <c r="O87" i="4"/>
  <c r="O91" i="4"/>
  <c r="O99" i="4"/>
  <c r="E71" i="3"/>
  <c r="G71" i="3"/>
  <c r="I71" i="3"/>
  <c r="K71" i="3"/>
  <c r="L71" i="3"/>
  <c r="E72" i="3"/>
  <c r="G72" i="3"/>
  <c r="I72" i="3"/>
  <c r="K72" i="3"/>
  <c r="L72" i="3"/>
  <c r="E73" i="3"/>
  <c r="G73" i="3"/>
  <c r="I73" i="3"/>
  <c r="K73" i="3"/>
  <c r="L73" i="3"/>
  <c r="E74" i="3"/>
  <c r="G74" i="3"/>
  <c r="I74" i="3"/>
  <c r="K74" i="3"/>
  <c r="L74" i="3"/>
  <c r="E75" i="3"/>
  <c r="G75" i="3"/>
  <c r="I75" i="3"/>
  <c r="K75" i="3"/>
  <c r="L75" i="3"/>
  <c r="E76" i="3"/>
  <c r="G76" i="3"/>
  <c r="I76" i="3"/>
  <c r="K76" i="3"/>
  <c r="L76" i="3"/>
  <c r="N77" i="3"/>
  <c r="H82" i="3"/>
  <c r="J82" i="3"/>
  <c r="F82" i="3"/>
  <c r="D82" i="3"/>
  <c r="H81" i="3"/>
  <c r="J81" i="3"/>
  <c r="F81" i="3"/>
  <c r="D81" i="3"/>
  <c r="H80" i="3"/>
  <c r="J80" i="3"/>
  <c r="F80" i="3"/>
  <c r="D80" i="3"/>
  <c r="H79" i="3"/>
  <c r="J79" i="3"/>
  <c r="F79" i="3"/>
  <c r="D79" i="3"/>
  <c r="H104" i="4"/>
  <c r="J104" i="4"/>
  <c r="F104" i="4"/>
  <c r="D104" i="4"/>
  <c r="H103" i="4"/>
  <c r="J103" i="4"/>
  <c r="F103" i="4"/>
  <c r="D103" i="4"/>
  <c r="H102" i="4"/>
  <c r="J102" i="4"/>
  <c r="F102" i="4"/>
  <c r="D102" i="4"/>
  <c r="H101" i="4"/>
  <c r="J101" i="4"/>
  <c r="F101" i="4"/>
  <c r="D101" i="4"/>
  <c r="H78" i="3"/>
  <c r="J78" i="3"/>
  <c r="F78" i="3"/>
  <c r="D78" i="3"/>
  <c r="H100" i="4"/>
  <c r="J100" i="4"/>
  <c r="F100" i="4"/>
  <c r="D100" i="4"/>
  <c r="S10" i="7"/>
  <c r="S11" i="7"/>
  <c r="S12" i="7"/>
  <c r="S13" i="7"/>
  <c r="W12" i="7"/>
  <c r="H39" i="7"/>
  <c r="I39" i="7"/>
  <c r="J39" i="7"/>
  <c r="L8" i="7"/>
  <c r="L15" i="7"/>
  <c r="E99" i="7"/>
  <c r="V26" i="7"/>
  <c r="V27" i="7"/>
  <c r="V28" i="7"/>
  <c r="V29" i="7"/>
  <c r="W29" i="7"/>
  <c r="G99" i="7"/>
  <c r="D12" i="4"/>
  <c r="D23" i="4"/>
  <c r="D28" i="4"/>
  <c r="E51" i="4"/>
  <c r="Q10" i="4"/>
  <c r="G51" i="4"/>
  <c r="I51" i="4"/>
  <c r="K51" i="4"/>
  <c r="L51" i="4"/>
  <c r="D10" i="4"/>
  <c r="E49" i="4"/>
  <c r="Q8" i="4"/>
  <c r="G49" i="4"/>
  <c r="I49" i="4"/>
  <c r="K49" i="4"/>
  <c r="L49" i="4"/>
  <c r="D11" i="4"/>
  <c r="E50" i="4"/>
  <c r="Q9" i="4"/>
  <c r="G50" i="4"/>
  <c r="I50" i="4"/>
  <c r="K50" i="4"/>
  <c r="L50" i="4"/>
  <c r="N51" i="4"/>
  <c r="E45" i="4"/>
  <c r="G45" i="4"/>
  <c r="I45" i="4"/>
  <c r="K45" i="4"/>
  <c r="L45" i="4"/>
  <c r="E46" i="4"/>
  <c r="G46" i="4"/>
  <c r="I46" i="4"/>
  <c r="K46" i="4"/>
  <c r="L46" i="4"/>
  <c r="E47" i="4"/>
  <c r="G47" i="4"/>
  <c r="I47" i="4"/>
  <c r="K47" i="4"/>
  <c r="L47" i="4"/>
  <c r="L48" i="4"/>
  <c r="D13" i="4"/>
  <c r="D14" i="4"/>
  <c r="D15" i="4"/>
  <c r="H15" i="4"/>
  <c r="D24" i="4"/>
  <c r="D29" i="4"/>
  <c r="E59" i="4"/>
  <c r="Q11" i="4"/>
  <c r="Q12" i="4"/>
  <c r="Q13" i="4"/>
  <c r="S13" i="4"/>
  <c r="G59" i="4"/>
  <c r="I59" i="4"/>
  <c r="K59" i="4"/>
  <c r="L59" i="4"/>
  <c r="E60" i="4"/>
  <c r="G60" i="4"/>
  <c r="I60" i="4"/>
  <c r="K60" i="4"/>
  <c r="L60" i="4"/>
  <c r="E61" i="4"/>
  <c r="G61" i="4"/>
  <c r="I61" i="4"/>
  <c r="K61" i="4"/>
  <c r="L61" i="4"/>
  <c r="E62" i="4"/>
  <c r="G62" i="4"/>
  <c r="I62" i="4"/>
  <c r="K62" i="4"/>
  <c r="L62" i="4"/>
  <c r="O59" i="4"/>
  <c r="E63" i="4"/>
  <c r="G63" i="4"/>
  <c r="I63" i="4"/>
  <c r="K63" i="4"/>
  <c r="L63" i="4"/>
  <c r="E64" i="4"/>
  <c r="G64" i="4"/>
  <c r="I64" i="4"/>
  <c r="K64" i="4"/>
  <c r="L64" i="4"/>
  <c r="E65" i="4"/>
  <c r="G65" i="4"/>
  <c r="I65" i="4"/>
  <c r="K65" i="4"/>
  <c r="L65" i="4"/>
  <c r="E66" i="4"/>
  <c r="G66" i="4"/>
  <c r="I66" i="4"/>
  <c r="K66" i="4"/>
  <c r="L66" i="4"/>
  <c r="O63" i="4"/>
  <c r="E67" i="4"/>
  <c r="G67" i="4"/>
  <c r="I67" i="4"/>
  <c r="K67" i="4"/>
  <c r="L67" i="4"/>
  <c r="E68" i="4"/>
  <c r="G68" i="4"/>
  <c r="I68" i="4"/>
  <c r="K68" i="4"/>
  <c r="L68" i="4"/>
  <c r="E69" i="4"/>
  <c r="G69" i="4"/>
  <c r="I69" i="4"/>
  <c r="K69" i="4"/>
  <c r="L69" i="4"/>
  <c r="E70" i="4"/>
  <c r="G70" i="4"/>
  <c r="I70" i="4"/>
  <c r="K70" i="4"/>
  <c r="L70" i="4"/>
  <c r="O67" i="4"/>
  <c r="O71" i="4"/>
  <c r="H51" i="4"/>
  <c r="J51" i="4"/>
  <c r="F51" i="4"/>
  <c r="D51" i="4"/>
  <c r="H50" i="4"/>
  <c r="J50" i="4"/>
  <c r="F50" i="4"/>
  <c r="D50" i="4"/>
  <c r="H49" i="4"/>
  <c r="J49" i="4"/>
  <c r="F49" i="4"/>
  <c r="D49" i="4"/>
  <c r="H62" i="3"/>
  <c r="J62" i="3"/>
  <c r="F62" i="3"/>
  <c r="D62" i="3"/>
  <c r="H61" i="3"/>
  <c r="J61" i="3"/>
  <c r="F61" i="3"/>
  <c r="D61" i="3"/>
  <c r="H60" i="3"/>
  <c r="J60" i="3"/>
  <c r="F60" i="3"/>
  <c r="D60" i="3"/>
  <c r="H62" i="7"/>
  <c r="J62" i="7"/>
  <c r="F62" i="7"/>
  <c r="D62" i="7"/>
  <c r="H61" i="7"/>
  <c r="J61" i="7"/>
  <c r="F61" i="7"/>
  <c r="D61" i="7"/>
  <c r="H60" i="7"/>
  <c r="J60" i="7"/>
  <c r="F60" i="7"/>
  <c r="D60" i="7"/>
  <c r="N44" i="7"/>
  <c r="H44" i="7"/>
  <c r="J44" i="7"/>
  <c r="F44" i="7"/>
  <c r="D44" i="7"/>
  <c r="H43" i="7"/>
  <c r="J43" i="7"/>
  <c r="F43" i="7"/>
  <c r="D43" i="7"/>
  <c r="H42" i="7"/>
  <c r="F42" i="7"/>
  <c r="D42" i="7"/>
  <c r="J42" i="7"/>
  <c r="S5" i="7"/>
  <c r="D5" i="7"/>
  <c r="S33" i="7"/>
  <c r="S32" i="7"/>
  <c r="D3" i="7"/>
  <c r="S3" i="7"/>
  <c r="S36" i="7"/>
  <c r="U36" i="7"/>
  <c r="E41" i="2"/>
  <c r="E37" i="2"/>
  <c r="F37" i="2"/>
  <c r="M41" i="2"/>
  <c r="D37" i="2"/>
  <c r="L41" i="2"/>
  <c r="N3" i="2"/>
  <c r="G41" i="2"/>
  <c r="H37" i="2"/>
  <c r="N41" i="2"/>
  <c r="E14" i="2"/>
  <c r="L116" i="7"/>
  <c r="L117" i="7"/>
  <c r="F115" i="7"/>
  <c r="F116" i="7"/>
  <c r="D115" i="7"/>
  <c r="D99" i="7"/>
  <c r="D100" i="7"/>
  <c r="D101" i="7"/>
  <c r="D102" i="7"/>
  <c r="D103" i="7"/>
  <c r="E115" i="7"/>
  <c r="D116" i="7"/>
  <c r="E116" i="7"/>
  <c r="Q34" i="7"/>
  <c r="E39" i="7"/>
  <c r="G39" i="7"/>
  <c r="K39" i="7"/>
  <c r="L39" i="7"/>
  <c r="R32" i="7"/>
  <c r="R33" i="7"/>
  <c r="L115" i="7"/>
  <c r="L110" i="7"/>
  <c r="J110" i="7"/>
  <c r="K110" i="7"/>
  <c r="F114" i="7"/>
  <c r="F117" i="7"/>
  <c r="F110" i="7"/>
  <c r="F111" i="7"/>
  <c r="F112" i="7"/>
  <c r="F113" i="7"/>
  <c r="F119" i="7"/>
  <c r="F118" i="7"/>
  <c r="D117" i="7"/>
  <c r="E117" i="7"/>
  <c r="L111" i="7"/>
  <c r="L112" i="7"/>
  <c r="L113" i="7"/>
  <c r="L114" i="7"/>
  <c r="L119" i="7"/>
  <c r="I118" i="7"/>
  <c r="C118" i="7"/>
  <c r="S105" i="7"/>
  <c r="R105" i="7"/>
  <c r="Q105" i="7"/>
  <c r="P105" i="7"/>
  <c r="T106" i="7"/>
  <c r="O106" i="7"/>
  <c r="R106" i="7"/>
  <c r="Q106" i="7"/>
  <c r="P106" i="7"/>
  <c r="O105" i="7"/>
  <c r="K99" i="7"/>
  <c r="L99" i="7"/>
  <c r="E100" i="7"/>
  <c r="G100" i="7"/>
  <c r="I100" i="7"/>
  <c r="K100" i="7"/>
  <c r="L100" i="7"/>
  <c r="E101" i="7"/>
  <c r="G101" i="7"/>
  <c r="I101" i="7"/>
  <c r="K101" i="7"/>
  <c r="L101" i="7"/>
  <c r="E102" i="7"/>
  <c r="G102" i="7"/>
  <c r="I102" i="7"/>
  <c r="K102" i="7"/>
  <c r="L102" i="7"/>
  <c r="E103" i="7"/>
  <c r="G103" i="7"/>
  <c r="I103" i="7"/>
  <c r="K103" i="7"/>
  <c r="L103" i="7"/>
  <c r="E104" i="7"/>
  <c r="G104" i="7"/>
  <c r="I104" i="7"/>
  <c r="K104" i="7"/>
  <c r="L104" i="7"/>
  <c r="E105" i="7"/>
  <c r="G105" i="7"/>
  <c r="I105" i="7"/>
  <c r="K105" i="7"/>
  <c r="L105" i="7"/>
  <c r="E106" i="7"/>
  <c r="G106" i="7"/>
  <c r="I106" i="7"/>
  <c r="K106" i="7"/>
  <c r="L106" i="7"/>
  <c r="E107" i="7"/>
  <c r="G107" i="7"/>
  <c r="I107" i="7"/>
  <c r="K107" i="7"/>
  <c r="L107" i="7"/>
  <c r="E108" i="7"/>
  <c r="G108" i="7"/>
  <c r="I108" i="7"/>
  <c r="K108" i="7"/>
  <c r="L108" i="7"/>
  <c r="E109" i="7"/>
  <c r="G109" i="7"/>
  <c r="I109" i="7"/>
  <c r="K109" i="7"/>
  <c r="L109" i="7"/>
  <c r="N109" i="7"/>
  <c r="N110" i="7"/>
  <c r="D22" i="7"/>
  <c r="D23" i="7"/>
  <c r="D24" i="7"/>
  <c r="D25" i="7"/>
  <c r="H25" i="7"/>
  <c r="L7" i="7"/>
  <c r="L14" i="7"/>
  <c r="E82" i="7"/>
  <c r="V22" i="7"/>
  <c r="V23" i="7"/>
  <c r="V24" i="7"/>
  <c r="V25" i="7"/>
  <c r="W25" i="7"/>
  <c r="G82" i="7"/>
  <c r="I82" i="7"/>
  <c r="K82" i="7"/>
  <c r="L82" i="7"/>
  <c r="E83" i="7"/>
  <c r="G83" i="7"/>
  <c r="I83" i="7"/>
  <c r="K83" i="7"/>
  <c r="L83" i="7"/>
  <c r="E84" i="7"/>
  <c r="G84" i="7"/>
  <c r="I84" i="7"/>
  <c r="K84" i="7"/>
  <c r="L84" i="7"/>
  <c r="E85" i="7"/>
  <c r="G85" i="7"/>
  <c r="I85" i="7"/>
  <c r="K85" i="7"/>
  <c r="L85" i="7"/>
  <c r="E86" i="7"/>
  <c r="G86" i="7"/>
  <c r="I86" i="7"/>
  <c r="K86" i="7"/>
  <c r="L86" i="7"/>
  <c r="E87" i="7"/>
  <c r="G87" i="7"/>
  <c r="I87" i="7"/>
  <c r="K87" i="7"/>
  <c r="L87" i="7"/>
  <c r="N88" i="7"/>
  <c r="D18" i="7"/>
  <c r="D19" i="7"/>
  <c r="D20" i="7"/>
  <c r="D21" i="7"/>
  <c r="H21" i="7"/>
  <c r="L6" i="7"/>
  <c r="L13" i="7"/>
  <c r="E66" i="7"/>
  <c r="V18" i="7"/>
  <c r="V19" i="7"/>
  <c r="V20" i="7"/>
  <c r="V21" i="7"/>
  <c r="W21" i="7"/>
  <c r="G66" i="7"/>
  <c r="I66" i="7"/>
  <c r="K66" i="7"/>
  <c r="L66" i="7"/>
  <c r="E67" i="7"/>
  <c r="G67" i="7"/>
  <c r="I67" i="7"/>
  <c r="K67" i="7"/>
  <c r="L67" i="7"/>
  <c r="E68" i="7"/>
  <c r="G68" i="7"/>
  <c r="I68" i="7"/>
  <c r="K68" i="7"/>
  <c r="L68" i="7"/>
  <c r="E69" i="7"/>
  <c r="G69" i="7"/>
  <c r="I69" i="7"/>
  <c r="K69" i="7"/>
  <c r="L69" i="7"/>
  <c r="E70" i="7"/>
  <c r="G70" i="7"/>
  <c r="I70" i="7"/>
  <c r="K70" i="7"/>
  <c r="L70" i="7"/>
  <c r="E71" i="7"/>
  <c r="G71" i="7"/>
  <c r="I71" i="7"/>
  <c r="K71" i="7"/>
  <c r="L71" i="7"/>
  <c r="N72" i="7"/>
  <c r="E47" i="7"/>
  <c r="G47" i="7"/>
  <c r="I47" i="7"/>
  <c r="K47" i="7"/>
  <c r="L47" i="7"/>
  <c r="E48" i="7"/>
  <c r="G48" i="7"/>
  <c r="I48" i="7"/>
  <c r="K48" i="7"/>
  <c r="L48" i="7"/>
  <c r="E49" i="7"/>
  <c r="G49" i="7"/>
  <c r="I49" i="7"/>
  <c r="K49" i="7"/>
  <c r="L49" i="7"/>
  <c r="E50" i="7"/>
  <c r="G50" i="7"/>
  <c r="I50" i="7"/>
  <c r="K50" i="7"/>
  <c r="L50" i="7"/>
  <c r="E51" i="7"/>
  <c r="G51" i="7"/>
  <c r="I51" i="7"/>
  <c r="K51" i="7"/>
  <c r="L51" i="7"/>
  <c r="E52" i="7"/>
  <c r="G52" i="7"/>
  <c r="I52" i="7"/>
  <c r="K52" i="7"/>
  <c r="L52" i="7"/>
  <c r="N53" i="7"/>
  <c r="J117" i="7"/>
  <c r="K117" i="7"/>
  <c r="J116" i="7"/>
  <c r="K116" i="7"/>
  <c r="J115" i="7"/>
  <c r="K115" i="7"/>
  <c r="J114" i="7"/>
  <c r="K114" i="7"/>
  <c r="J113" i="7"/>
  <c r="K113" i="7"/>
  <c r="J112" i="7"/>
  <c r="K112" i="7"/>
  <c r="J111" i="7"/>
  <c r="K111" i="7"/>
  <c r="D111" i="7"/>
  <c r="E111" i="7"/>
  <c r="D112" i="7"/>
  <c r="E112" i="7"/>
  <c r="D113" i="7"/>
  <c r="E113" i="7"/>
  <c r="D114" i="7"/>
  <c r="E114" i="7"/>
  <c r="D110" i="7"/>
  <c r="E110" i="7"/>
  <c r="F103" i="7"/>
  <c r="H103" i="7"/>
  <c r="J103" i="7"/>
  <c r="F102" i="7"/>
  <c r="H102" i="7"/>
  <c r="J102" i="7"/>
  <c r="L118" i="7"/>
  <c r="L55" i="7"/>
  <c r="L56" i="7"/>
  <c r="L57" i="7"/>
  <c r="L53" i="7"/>
  <c r="L54" i="7"/>
  <c r="L59" i="7"/>
  <c r="L58" i="7"/>
  <c r="F56" i="7"/>
  <c r="F57" i="7"/>
  <c r="F53" i="7"/>
  <c r="F54" i="7"/>
  <c r="F55" i="7"/>
  <c r="F59" i="7"/>
  <c r="F58" i="7"/>
  <c r="D53" i="7"/>
  <c r="D47" i="7"/>
  <c r="D48" i="7"/>
  <c r="E53" i="7"/>
  <c r="J53" i="7"/>
  <c r="K53" i="7"/>
  <c r="J57" i="7"/>
  <c r="K57" i="7"/>
  <c r="J56" i="7"/>
  <c r="K56" i="7"/>
  <c r="J55" i="7"/>
  <c r="K55" i="7"/>
  <c r="J54" i="7"/>
  <c r="K54" i="7"/>
  <c r="D54" i="7"/>
  <c r="E54" i="7"/>
  <c r="D55" i="7"/>
  <c r="E55" i="7"/>
  <c r="D56" i="7"/>
  <c r="E56" i="7"/>
  <c r="D57" i="7"/>
  <c r="E57" i="7"/>
  <c r="L90" i="7"/>
  <c r="F92" i="7"/>
  <c r="L89" i="7"/>
  <c r="F90" i="7"/>
  <c r="J76" i="7"/>
  <c r="D66" i="7"/>
  <c r="D67" i="7"/>
  <c r="K76" i="7"/>
  <c r="L76" i="7"/>
  <c r="J77" i="7"/>
  <c r="K77" i="7"/>
  <c r="L77" i="7"/>
  <c r="J78" i="7"/>
  <c r="K78" i="7"/>
  <c r="L78" i="7"/>
  <c r="J79" i="7"/>
  <c r="K79" i="7"/>
  <c r="L79" i="7"/>
  <c r="D76" i="7"/>
  <c r="E76" i="7"/>
  <c r="F76" i="7"/>
  <c r="D77" i="7"/>
  <c r="E77" i="7"/>
  <c r="F77" i="7"/>
  <c r="D78" i="7"/>
  <c r="E78" i="7"/>
  <c r="F78" i="7"/>
  <c r="D79" i="7"/>
  <c r="E79" i="7"/>
  <c r="F79" i="7"/>
  <c r="L88" i="7"/>
  <c r="L91" i="7"/>
  <c r="L92" i="7"/>
  <c r="L93" i="7"/>
  <c r="L94" i="7"/>
  <c r="L95" i="7"/>
  <c r="L97" i="7"/>
  <c r="L96" i="7"/>
  <c r="F88" i="7"/>
  <c r="F89" i="7"/>
  <c r="F91" i="7"/>
  <c r="F93" i="7"/>
  <c r="F94" i="7"/>
  <c r="F95" i="7"/>
  <c r="F97" i="7"/>
  <c r="F96" i="7"/>
  <c r="J92" i="7"/>
  <c r="D82" i="7"/>
  <c r="D83" i="7"/>
  <c r="K92" i="7"/>
  <c r="J93" i="7"/>
  <c r="K93" i="7"/>
  <c r="J94" i="7"/>
  <c r="K94" i="7"/>
  <c r="J95" i="7"/>
  <c r="K95" i="7"/>
  <c r="D92" i="7"/>
  <c r="E92" i="7"/>
  <c r="D93" i="7"/>
  <c r="E93" i="7"/>
  <c r="D94" i="7"/>
  <c r="E94" i="7"/>
  <c r="D95" i="7"/>
  <c r="E95" i="7"/>
  <c r="L72" i="7"/>
  <c r="L73" i="7"/>
  <c r="L74" i="7"/>
  <c r="L75" i="7"/>
  <c r="L81" i="7"/>
  <c r="F72" i="7"/>
  <c r="F73" i="7"/>
  <c r="F74" i="7"/>
  <c r="F75" i="7"/>
  <c r="F81" i="7"/>
  <c r="J88" i="7"/>
  <c r="K88" i="7"/>
  <c r="J89" i="7"/>
  <c r="K89" i="7"/>
  <c r="J91" i="7"/>
  <c r="K91" i="7"/>
  <c r="J90" i="7"/>
  <c r="K90" i="7"/>
  <c r="J72" i="7"/>
  <c r="K72" i="7"/>
  <c r="J73" i="7"/>
  <c r="K73" i="7"/>
  <c r="D89" i="7"/>
  <c r="E89" i="7"/>
  <c r="D90" i="7"/>
  <c r="E90" i="7"/>
  <c r="D91" i="7"/>
  <c r="E91" i="7"/>
  <c r="D88" i="7"/>
  <c r="E88" i="7"/>
  <c r="L80" i="7"/>
  <c r="F80" i="7"/>
  <c r="J75" i="7"/>
  <c r="K75" i="7"/>
  <c r="J74" i="7"/>
  <c r="K74" i="7"/>
  <c r="D74" i="7"/>
  <c r="D75" i="7"/>
  <c r="D73" i="7"/>
  <c r="E73" i="7"/>
  <c r="E74" i="7"/>
  <c r="E75" i="7"/>
  <c r="D72" i="7"/>
  <c r="E72" i="7"/>
  <c r="E40" i="7"/>
  <c r="G40" i="7"/>
  <c r="I40" i="7"/>
  <c r="L40" i="7"/>
  <c r="E41" i="7"/>
  <c r="I41" i="7"/>
  <c r="L41" i="7"/>
  <c r="N41" i="7"/>
  <c r="G38" i="7"/>
  <c r="H109" i="7"/>
  <c r="J109" i="7"/>
  <c r="F109" i="7"/>
  <c r="D109" i="7"/>
  <c r="H106" i="7"/>
  <c r="J106" i="7"/>
  <c r="F106" i="7"/>
  <c r="D106" i="7"/>
  <c r="H101" i="7"/>
  <c r="J101" i="7"/>
  <c r="F101" i="7"/>
  <c r="D108" i="7"/>
  <c r="F108" i="7"/>
  <c r="H108" i="7"/>
  <c r="H107" i="7"/>
  <c r="F100" i="7"/>
  <c r="H100" i="7"/>
  <c r="D105" i="7"/>
  <c r="F105" i="7"/>
  <c r="H105" i="7"/>
  <c r="H104" i="7"/>
  <c r="H99" i="7"/>
  <c r="D87" i="7"/>
  <c r="F87" i="7"/>
  <c r="H87" i="7"/>
  <c r="H86" i="7"/>
  <c r="D85" i="7"/>
  <c r="F85" i="7"/>
  <c r="H85" i="7"/>
  <c r="H84" i="7"/>
  <c r="F83" i="7"/>
  <c r="H83" i="7"/>
  <c r="J83" i="7"/>
  <c r="H82" i="7"/>
  <c r="J108" i="7"/>
  <c r="J107" i="7"/>
  <c r="F107" i="7"/>
  <c r="D107" i="7"/>
  <c r="J105" i="7"/>
  <c r="J104" i="7"/>
  <c r="F104" i="7"/>
  <c r="D104" i="7"/>
  <c r="J100" i="7"/>
  <c r="J99" i="7"/>
  <c r="F99" i="7"/>
  <c r="N87" i="7"/>
  <c r="J87" i="7"/>
  <c r="J86" i="7"/>
  <c r="F86" i="7"/>
  <c r="D86" i="7"/>
  <c r="J85" i="7"/>
  <c r="J84" i="7"/>
  <c r="F84" i="7"/>
  <c r="D84" i="7"/>
  <c r="J82" i="7"/>
  <c r="F82" i="7"/>
  <c r="S22" i="7"/>
  <c r="S23" i="7"/>
  <c r="S24" i="7"/>
  <c r="S25" i="7"/>
  <c r="U7" i="7"/>
  <c r="F7" i="7"/>
  <c r="X7" i="7"/>
  <c r="F6" i="7"/>
  <c r="D7" i="7"/>
  <c r="N14" i="7"/>
  <c r="N7" i="7"/>
  <c r="V7" i="7"/>
  <c r="S7" i="7"/>
  <c r="N15" i="7"/>
  <c r="N8" i="7"/>
  <c r="L3" i="7"/>
  <c r="L10" i="7"/>
  <c r="V3" i="7"/>
  <c r="V5" i="7"/>
  <c r="V6" i="7"/>
  <c r="V8" i="7"/>
  <c r="V4" i="7"/>
  <c r="U8" i="7"/>
  <c r="S8" i="7"/>
  <c r="F8" i="7"/>
  <c r="X8" i="7"/>
  <c r="D8" i="7"/>
  <c r="D69" i="7"/>
  <c r="F69" i="7"/>
  <c r="H69" i="7"/>
  <c r="J69" i="7"/>
  <c r="H71" i="7"/>
  <c r="J71" i="7"/>
  <c r="F71" i="7"/>
  <c r="D71" i="7"/>
  <c r="H70" i="7"/>
  <c r="H68" i="7"/>
  <c r="H67" i="7"/>
  <c r="J67" i="7"/>
  <c r="F67" i="7"/>
  <c r="H66" i="7"/>
  <c r="H52" i="7"/>
  <c r="J52" i="7"/>
  <c r="F52" i="7"/>
  <c r="D52" i="7"/>
  <c r="H48" i="7"/>
  <c r="J48" i="7"/>
  <c r="F48" i="7"/>
  <c r="H50" i="7"/>
  <c r="J50" i="7"/>
  <c r="F50" i="7"/>
  <c r="D50" i="7"/>
  <c r="H51" i="7"/>
  <c r="H49" i="7"/>
  <c r="H47" i="7"/>
  <c r="J70" i="7"/>
  <c r="F70" i="7"/>
  <c r="D70" i="7"/>
  <c r="J51" i="7"/>
  <c r="F51" i="7"/>
  <c r="D51" i="7"/>
  <c r="J68" i="7"/>
  <c r="F68" i="7"/>
  <c r="D68" i="7"/>
  <c r="J49" i="7"/>
  <c r="F49" i="7"/>
  <c r="D49" i="7"/>
  <c r="J66" i="7"/>
  <c r="F66" i="7"/>
  <c r="J47" i="7"/>
  <c r="F47" i="7"/>
  <c r="H41" i="7"/>
  <c r="F41" i="7"/>
  <c r="D41" i="7"/>
  <c r="H40" i="7"/>
  <c r="F40" i="7"/>
  <c r="D40" i="7"/>
  <c r="F39" i="7"/>
  <c r="D39" i="7"/>
  <c r="N71" i="7"/>
  <c r="N52" i="7"/>
  <c r="J41" i="7"/>
  <c r="J40" i="7"/>
  <c r="S14" i="7"/>
  <c r="S15" i="7"/>
  <c r="S16" i="7"/>
  <c r="S17" i="7"/>
  <c r="S18" i="7"/>
  <c r="S19" i="7"/>
  <c r="S20" i="7"/>
  <c r="S21" i="7"/>
  <c r="U3" i="7"/>
  <c r="U4" i="7"/>
  <c r="X4" i="7"/>
  <c r="U5" i="7"/>
  <c r="F5" i="7"/>
  <c r="X5" i="7"/>
  <c r="U6" i="7"/>
  <c r="X6" i="7"/>
  <c r="F3" i="7"/>
  <c r="X3" i="7"/>
  <c r="S6" i="7"/>
  <c r="S4" i="7"/>
  <c r="N13" i="7"/>
  <c r="N12" i="7"/>
  <c r="N11" i="7"/>
  <c r="N10" i="7"/>
  <c r="N6" i="7"/>
  <c r="N5" i="7"/>
  <c r="N4" i="7"/>
  <c r="N3" i="7"/>
  <c r="D6" i="7"/>
  <c r="D76" i="3"/>
  <c r="F76" i="3"/>
  <c r="H76" i="3"/>
  <c r="J76" i="3"/>
  <c r="D74" i="3"/>
  <c r="F74" i="3"/>
  <c r="H74" i="3"/>
  <c r="J74" i="3"/>
  <c r="D72" i="3"/>
  <c r="F72" i="3"/>
  <c r="H72" i="3"/>
  <c r="J72" i="3"/>
  <c r="D69" i="3"/>
  <c r="D12" i="3"/>
  <c r="D13" i="3"/>
  <c r="D14" i="3"/>
  <c r="D15" i="3"/>
  <c r="H15" i="3"/>
  <c r="D25" i="3"/>
  <c r="D30" i="3"/>
  <c r="E69" i="3"/>
  <c r="F69" i="3"/>
  <c r="P12" i="3"/>
  <c r="P13" i="3"/>
  <c r="P14" i="3"/>
  <c r="P15" i="3"/>
  <c r="Q15" i="3"/>
  <c r="G69" i="3"/>
  <c r="H69" i="3"/>
  <c r="I69" i="3"/>
  <c r="J69" i="3"/>
  <c r="K69" i="3"/>
  <c r="L69" i="3"/>
  <c r="D67" i="3"/>
  <c r="E67" i="3"/>
  <c r="F67" i="3"/>
  <c r="G67" i="3"/>
  <c r="H67" i="3"/>
  <c r="I67" i="3"/>
  <c r="J67" i="3"/>
  <c r="K67" i="3"/>
  <c r="L67" i="3"/>
  <c r="D65" i="3"/>
  <c r="E65" i="3"/>
  <c r="F65" i="3"/>
  <c r="G65" i="3"/>
  <c r="H65" i="3"/>
  <c r="I65" i="3"/>
  <c r="J65" i="3"/>
  <c r="K65" i="3"/>
  <c r="L65" i="3"/>
  <c r="E57" i="3"/>
  <c r="G57" i="3"/>
  <c r="I57" i="3"/>
  <c r="K57" i="3"/>
  <c r="L57" i="3"/>
  <c r="E58" i="3"/>
  <c r="G58" i="3"/>
  <c r="I58" i="3"/>
  <c r="K58" i="3"/>
  <c r="L58" i="3"/>
  <c r="E59" i="3"/>
  <c r="G59" i="3"/>
  <c r="I59" i="3"/>
  <c r="K59" i="3"/>
  <c r="L59" i="3"/>
  <c r="N59" i="3"/>
  <c r="N76" i="3"/>
  <c r="E64" i="3"/>
  <c r="G64" i="3"/>
  <c r="I64" i="3"/>
  <c r="K64" i="3"/>
  <c r="L64" i="3"/>
  <c r="E66" i="3"/>
  <c r="G66" i="3"/>
  <c r="I66" i="3"/>
  <c r="K66" i="3"/>
  <c r="L66" i="3"/>
  <c r="E68" i="3"/>
  <c r="G68" i="3"/>
  <c r="I68" i="3"/>
  <c r="K68" i="3"/>
  <c r="L68" i="3"/>
  <c r="N69" i="3"/>
  <c r="H75" i="3"/>
  <c r="H68" i="3"/>
  <c r="J75" i="3"/>
  <c r="F75" i="3"/>
  <c r="D75" i="3"/>
  <c r="J68" i="3"/>
  <c r="F68" i="3"/>
  <c r="D68" i="3"/>
  <c r="H59" i="3"/>
  <c r="F59" i="3"/>
  <c r="D59" i="3"/>
  <c r="H73" i="3"/>
  <c r="H71" i="3"/>
  <c r="J73" i="3"/>
  <c r="F73" i="3"/>
  <c r="D73" i="3"/>
  <c r="J71" i="3"/>
  <c r="F71" i="3"/>
  <c r="D71" i="3"/>
  <c r="H66" i="3"/>
  <c r="H64" i="3"/>
  <c r="J66" i="3"/>
  <c r="F66" i="3"/>
  <c r="D66" i="3"/>
  <c r="J64" i="3"/>
  <c r="F64" i="3"/>
  <c r="D64" i="3"/>
  <c r="J59" i="3"/>
  <c r="D57" i="3"/>
  <c r="H58" i="3"/>
  <c r="F58" i="3"/>
  <c r="D58" i="3"/>
  <c r="J58" i="3"/>
  <c r="H57" i="3"/>
  <c r="J57" i="3"/>
  <c r="F57" i="3"/>
  <c r="P5" i="3"/>
  <c r="P6" i="3"/>
  <c r="P7" i="3"/>
  <c r="M9" i="3"/>
  <c r="M10" i="3"/>
  <c r="M11" i="3"/>
  <c r="M12" i="3"/>
  <c r="M13" i="3"/>
  <c r="M14" i="3"/>
  <c r="M15" i="3"/>
  <c r="M16" i="3"/>
  <c r="M17" i="3"/>
  <c r="M18" i="3"/>
  <c r="M19" i="3"/>
  <c r="F31" i="3"/>
  <c r="F30" i="3"/>
  <c r="F29" i="3"/>
  <c r="F28" i="3"/>
  <c r="D28" i="3"/>
  <c r="F26" i="3"/>
  <c r="F25" i="3"/>
  <c r="F24" i="3"/>
  <c r="F23" i="3"/>
  <c r="D23" i="3"/>
  <c r="E41" i="3"/>
  <c r="G41" i="3"/>
  <c r="M27" i="3"/>
  <c r="Q27" i="3"/>
  <c r="M8" i="3"/>
  <c r="S8" i="3"/>
  <c r="O6" i="3"/>
  <c r="F6" i="3"/>
  <c r="S6" i="3"/>
  <c r="O7" i="3"/>
  <c r="F7" i="3"/>
  <c r="S7" i="3"/>
  <c r="O5" i="3"/>
  <c r="S5" i="3"/>
  <c r="D34" i="3"/>
  <c r="D39" i="3"/>
  <c r="M7" i="3"/>
  <c r="D38" i="3"/>
  <c r="M6" i="3"/>
  <c r="M5" i="3"/>
  <c r="D7" i="3"/>
  <c r="D6" i="3"/>
  <c r="H12" i="4"/>
  <c r="H98" i="4"/>
  <c r="J98" i="4"/>
  <c r="F98" i="4"/>
  <c r="D98" i="4"/>
  <c r="H97" i="4"/>
  <c r="J97" i="4"/>
  <c r="F97" i="4"/>
  <c r="D97" i="4"/>
  <c r="H96" i="4"/>
  <c r="J96" i="4"/>
  <c r="F96" i="4"/>
  <c r="D96" i="4"/>
  <c r="H94" i="4"/>
  <c r="J94" i="4"/>
  <c r="F94" i="4"/>
  <c r="D94" i="4"/>
  <c r="H93" i="4"/>
  <c r="J93" i="4"/>
  <c r="F93" i="4"/>
  <c r="D93" i="4"/>
  <c r="H92" i="4"/>
  <c r="J92" i="4"/>
  <c r="F92" i="4"/>
  <c r="D92" i="4"/>
  <c r="H90" i="4"/>
  <c r="J90" i="4"/>
  <c r="F90" i="4"/>
  <c r="D90" i="4"/>
  <c r="H89" i="4"/>
  <c r="J89" i="4"/>
  <c r="F89" i="4"/>
  <c r="D89" i="4"/>
  <c r="H88" i="4"/>
  <c r="J88" i="4"/>
  <c r="F88" i="4"/>
  <c r="D88" i="4"/>
  <c r="H86" i="4"/>
  <c r="J86" i="4"/>
  <c r="F86" i="4"/>
  <c r="D86" i="4"/>
  <c r="H85" i="4"/>
  <c r="J85" i="4"/>
  <c r="F85" i="4"/>
  <c r="D85" i="4"/>
  <c r="H84" i="4"/>
  <c r="J84" i="4"/>
  <c r="F84" i="4"/>
  <c r="D84" i="4"/>
  <c r="H82" i="4"/>
  <c r="J82" i="4"/>
  <c r="F82" i="4"/>
  <c r="D82" i="4"/>
  <c r="H81" i="4"/>
  <c r="J81" i="4"/>
  <c r="F81" i="4"/>
  <c r="D81" i="4"/>
  <c r="H80" i="4"/>
  <c r="J80" i="4"/>
  <c r="F80" i="4"/>
  <c r="D80" i="4"/>
  <c r="L71" i="4"/>
  <c r="H70" i="4"/>
  <c r="J70" i="4"/>
  <c r="F70" i="4"/>
  <c r="D70" i="4"/>
  <c r="H69" i="4"/>
  <c r="J69" i="4"/>
  <c r="F69" i="4"/>
  <c r="D69" i="4"/>
  <c r="H68" i="4"/>
  <c r="J68" i="4"/>
  <c r="F68" i="4"/>
  <c r="D68" i="4"/>
  <c r="H66" i="4"/>
  <c r="J66" i="4"/>
  <c r="F66" i="4"/>
  <c r="D66" i="4"/>
  <c r="H65" i="4"/>
  <c r="J65" i="4"/>
  <c r="F65" i="4"/>
  <c r="D65" i="4"/>
  <c r="H64" i="4"/>
  <c r="J64" i="4"/>
  <c r="F64" i="4"/>
  <c r="D64" i="4"/>
  <c r="H62" i="4"/>
  <c r="J62" i="4"/>
  <c r="F62" i="4"/>
  <c r="D62" i="4"/>
  <c r="H61" i="4"/>
  <c r="J61" i="4"/>
  <c r="F61" i="4"/>
  <c r="D61" i="4"/>
  <c r="H60" i="4"/>
  <c r="J60" i="4"/>
  <c r="F60" i="4"/>
  <c r="D60" i="4"/>
  <c r="S10" i="4"/>
  <c r="H87" i="4"/>
  <c r="J87" i="4"/>
  <c r="F87" i="4"/>
  <c r="D87" i="4"/>
  <c r="H95" i="4"/>
  <c r="F95" i="4"/>
  <c r="D95" i="4"/>
  <c r="M18" i="4"/>
  <c r="M17" i="4"/>
  <c r="J95" i="4"/>
  <c r="H91" i="4"/>
  <c r="J91" i="4"/>
  <c r="F91" i="4"/>
  <c r="D91" i="4"/>
  <c r="H83" i="4"/>
  <c r="H79" i="4"/>
  <c r="H67" i="4"/>
  <c r="H63" i="4"/>
  <c r="H59" i="4"/>
  <c r="J83" i="4"/>
  <c r="F83" i="4"/>
  <c r="D83" i="4"/>
  <c r="J79" i="4"/>
  <c r="F79" i="4"/>
  <c r="D79" i="4"/>
  <c r="J67" i="4"/>
  <c r="F67" i="4"/>
  <c r="D67" i="4"/>
  <c r="J63" i="4"/>
  <c r="F63" i="4"/>
  <c r="D63" i="4"/>
  <c r="F59" i="4"/>
  <c r="D59" i="4"/>
  <c r="J59" i="4"/>
  <c r="M16" i="4"/>
  <c r="M15" i="4"/>
  <c r="M14" i="4"/>
  <c r="M13" i="4"/>
  <c r="M12" i="4"/>
  <c r="M11" i="4"/>
  <c r="H47" i="4"/>
  <c r="M10" i="4"/>
  <c r="J47" i="4"/>
  <c r="F47" i="4"/>
  <c r="D47" i="4"/>
  <c r="H46" i="4"/>
  <c r="H45" i="4"/>
  <c r="M9" i="4"/>
  <c r="J46" i="4"/>
  <c r="F46" i="4"/>
  <c r="D46" i="4"/>
  <c r="J45" i="4"/>
  <c r="F45" i="4"/>
  <c r="D45" i="4"/>
  <c r="M8" i="4"/>
  <c r="E38" i="4"/>
  <c r="D38" i="4"/>
  <c r="O5" i="4"/>
  <c r="F6" i="4"/>
  <c r="S5" i="4"/>
  <c r="O6" i="4"/>
  <c r="F7" i="4"/>
  <c r="S6" i="4"/>
  <c r="O4" i="4"/>
  <c r="S4" i="4"/>
  <c r="P4" i="4"/>
  <c r="G38" i="4"/>
  <c r="I38" i="4"/>
  <c r="K38" i="4"/>
  <c r="L38" i="4"/>
  <c r="E39" i="4"/>
  <c r="G39" i="4"/>
  <c r="I39" i="4"/>
  <c r="K39" i="4"/>
  <c r="L39" i="4"/>
  <c r="E40" i="4"/>
  <c r="G40" i="4"/>
  <c r="I40" i="4"/>
  <c r="K40" i="4"/>
  <c r="L40" i="4"/>
  <c r="E41" i="4"/>
  <c r="G41" i="4"/>
  <c r="I41" i="4"/>
  <c r="K41" i="4"/>
  <c r="L41" i="4"/>
  <c r="E42" i="4"/>
  <c r="G42" i="4"/>
  <c r="I42" i="4"/>
  <c r="K42" i="4"/>
  <c r="L42" i="4"/>
  <c r="E43" i="4"/>
  <c r="G43" i="4"/>
  <c r="I43" i="4"/>
  <c r="K43" i="4"/>
  <c r="L43" i="4"/>
  <c r="E44" i="4"/>
  <c r="G44" i="4"/>
  <c r="I44" i="4"/>
  <c r="K44" i="4"/>
  <c r="L44" i="4"/>
  <c r="H44" i="4"/>
  <c r="F44" i="4"/>
  <c r="D44" i="4"/>
  <c r="H43" i="4"/>
  <c r="J44" i="4"/>
  <c r="F43" i="4"/>
  <c r="D43" i="4"/>
  <c r="J43" i="4"/>
  <c r="I78" i="4"/>
  <c r="I77" i="4"/>
  <c r="I58" i="4"/>
  <c r="I57" i="4"/>
  <c r="D6" i="4"/>
  <c r="E58" i="4"/>
  <c r="P5" i="4"/>
  <c r="H58" i="4"/>
  <c r="G58" i="4"/>
  <c r="E57" i="4"/>
  <c r="H57" i="4"/>
  <c r="G57" i="4"/>
  <c r="D7" i="4"/>
  <c r="E77" i="4"/>
  <c r="P6" i="4"/>
  <c r="H77" i="4"/>
  <c r="G77" i="4"/>
  <c r="E78" i="4"/>
  <c r="H78" i="4"/>
  <c r="G78" i="4"/>
  <c r="K78" i="4"/>
  <c r="L78" i="4"/>
  <c r="J78" i="4"/>
  <c r="F78" i="4"/>
  <c r="D78" i="4"/>
  <c r="K77" i="4"/>
  <c r="L77" i="4"/>
  <c r="J77" i="4"/>
  <c r="F77" i="4"/>
  <c r="D77" i="4"/>
  <c r="K58" i="4"/>
  <c r="L58" i="4"/>
  <c r="J58" i="4"/>
  <c r="F58" i="4"/>
  <c r="D58" i="4"/>
  <c r="K57" i="4"/>
  <c r="L57" i="4"/>
  <c r="J57" i="4"/>
  <c r="F57" i="4"/>
  <c r="D57" i="4"/>
  <c r="H42" i="4"/>
  <c r="F42" i="4"/>
  <c r="D42" i="4"/>
  <c r="J42" i="4"/>
  <c r="H41" i="4"/>
  <c r="F41" i="4"/>
  <c r="D41" i="4"/>
  <c r="J41" i="4"/>
  <c r="I76" i="4"/>
  <c r="I75" i="4"/>
  <c r="I74" i="4"/>
  <c r="E74" i="4"/>
  <c r="G74" i="4"/>
  <c r="I56" i="4"/>
  <c r="I55" i="4"/>
  <c r="I54" i="4"/>
  <c r="E76" i="4"/>
  <c r="H76" i="4"/>
  <c r="E75" i="4"/>
  <c r="H75" i="4"/>
  <c r="H74" i="4"/>
  <c r="G76" i="4"/>
  <c r="G75" i="4"/>
  <c r="K74" i="4"/>
  <c r="L74" i="4"/>
  <c r="K75" i="4"/>
  <c r="L75" i="4"/>
  <c r="K76" i="4"/>
  <c r="L76" i="4"/>
  <c r="J76" i="4"/>
  <c r="F76" i="4"/>
  <c r="D76" i="4"/>
  <c r="J75" i="4"/>
  <c r="F75" i="4"/>
  <c r="D75" i="4"/>
  <c r="J74" i="4"/>
  <c r="F74" i="4"/>
  <c r="D74" i="4"/>
  <c r="E55" i="4"/>
  <c r="H55" i="4"/>
  <c r="G55" i="4"/>
  <c r="F55" i="4"/>
  <c r="E56" i="4"/>
  <c r="H56" i="4"/>
  <c r="G56" i="4"/>
  <c r="E54" i="4"/>
  <c r="H54" i="4"/>
  <c r="G54" i="4"/>
  <c r="K54" i="4"/>
  <c r="L54" i="4"/>
  <c r="K55" i="4"/>
  <c r="L55" i="4"/>
  <c r="K56" i="4"/>
  <c r="L56" i="4"/>
  <c r="J56" i="4"/>
  <c r="F56" i="4"/>
  <c r="D56" i="4"/>
  <c r="J55" i="4"/>
  <c r="D55" i="4"/>
  <c r="J54" i="4"/>
  <c r="F54" i="4"/>
  <c r="D54" i="4"/>
  <c r="F29" i="4"/>
  <c r="F30" i="4"/>
  <c r="F24" i="4"/>
  <c r="F25" i="4"/>
  <c r="M5" i="4"/>
  <c r="M6" i="4"/>
  <c r="H40" i="4"/>
  <c r="H39" i="4"/>
  <c r="H38" i="4"/>
  <c r="E50" i="3"/>
  <c r="G50" i="3"/>
  <c r="I50" i="3"/>
  <c r="K50" i="3"/>
  <c r="L50" i="3"/>
  <c r="E51" i="3"/>
  <c r="G51" i="3"/>
  <c r="I51" i="3"/>
  <c r="K51" i="3"/>
  <c r="L51" i="3"/>
  <c r="E52" i="3"/>
  <c r="G52" i="3"/>
  <c r="I52" i="3"/>
  <c r="K52" i="3"/>
  <c r="L52" i="3"/>
  <c r="E53" i="3"/>
  <c r="G53" i="3"/>
  <c r="I53" i="3"/>
  <c r="K53" i="3"/>
  <c r="L53" i="3"/>
  <c r="E54" i="3"/>
  <c r="G54" i="3"/>
  <c r="I54" i="3"/>
  <c r="K54" i="3"/>
  <c r="L54" i="3"/>
  <c r="L55" i="3"/>
  <c r="F40" i="4"/>
  <c r="D40" i="4"/>
  <c r="J40" i="4"/>
  <c r="F39" i="4"/>
  <c r="D39" i="4"/>
  <c r="J39" i="4"/>
  <c r="D5" i="1"/>
  <c r="D12" i="1"/>
  <c r="D20" i="1"/>
  <c r="E103" i="1"/>
  <c r="N8" i="1"/>
  <c r="G103" i="1"/>
  <c r="I103" i="1"/>
  <c r="K103" i="1"/>
  <c r="L103" i="1"/>
  <c r="E105" i="1"/>
  <c r="G105" i="1"/>
  <c r="I105" i="1"/>
  <c r="K105" i="1"/>
  <c r="L105" i="1"/>
  <c r="E106" i="1"/>
  <c r="G106" i="1"/>
  <c r="I106" i="1"/>
  <c r="K106" i="1"/>
  <c r="L106" i="1"/>
  <c r="E107" i="1"/>
  <c r="G107" i="1"/>
  <c r="I107" i="1"/>
  <c r="K107" i="1"/>
  <c r="L107" i="1"/>
  <c r="E108" i="1"/>
  <c r="G108" i="1"/>
  <c r="I108" i="1"/>
  <c r="K108" i="1"/>
  <c r="L108" i="1"/>
  <c r="E109" i="1"/>
  <c r="G109" i="1"/>
  <c r="I109" i="1"/>
  <c r="K109" i="1"/>
  <c r="L109" i="1"/>
  <c r="E110" i="1"/>
  <c r="G110" i="1"/>
  <c r="I110" i="1"/>
  <c r="K110" i="1"/>
  <c r="L110" i="1"/>
  <c r="L111" i="1"/>
  <c r="F38" i="4"/>
  <c r="J38" i="4"/>
  <c r="D9" i="4"/>
  <c r="Q28" i="4"/>
  <c r="M28" i="4"/>
  <c r="E36" i="4"/>
  <c r="Q27" i="4"/>
  <c r="G36" i="4"/>
  <c r="I36" i="4"/>
  <c r="K36" i="4"/>
  <c r="L36" i="4"/>
  <c r="H36" i="4"/>
  <c r="D36" i="4"/>
  <c r="F36" i="4"/>
  <c r="J36" i="4"/>
  <c r="M27" i="4"/>
  <c r="I35" i="4"/>
  <c r="E35" i="4"/>
  <c r="Q24" i="4"/>
  <c r="H35" i="4"/>
  <c r="G35" i="4"/>
  <c r="F35" i="4"/>
  <c r="D35" i="4"/>
  <c r="J35" i="4"/>
  <c r="K35" i="4"/>
  <c r="L35" i="4"/>
  <c r="M24" i="4"/>
  <c r="I33" i="4"/>
  <c r="E33" i="4"/>
  <c r="Q25" i="4"/>
  <c r="H33" i="4"/>
  <c r="G33" i="4"/>
  <c r="F33" i="4"/>
  <c r="D33" i="4"/>
  <c r="E34" i="4"/>
  <c r="Q26" i="4"/>
  <c r="G34" i="4"/>
  <c r="H34" i="4"/>
  <c r="F34" i="4"/>
  <c r="D34" i="4"/>
  <c r="I34" i="4"/>
  <c r="J34" i="4"/>
  <c r="K34" i="4"/>
  <c r="L34" i="4"/>
  <c r="K33" i="4"/>
  <c r="M25" i="4"/>
  <c r="M26" i="4"/>
  <c r="M4" i="4"/>
  <c r="Q23" i="4"/>
  <c r="M23" i="4"/>
  <c r="D22" i="4"/>
  <c r="D27" i="4"/>
  <c r="Q22" i="4"/>
  <c r="M22" i="4"/>
  <c r="F28" i="4"/>
  <c r="F27" i="4"/>
  <c r="Q21" i="4"/>
  <c r="M21" i="4"/>
  <c r="F23" i="4"/>
  <c r="F22" i="4"/>
  <c r="F4" i="4"/>
  <c r="E4" i="4"/>
  <c r="D3" i="4"/>
  <c r="P2" i="4"/>
  <c r="M2" i="4"/>
  <c r="G2" i="4"/>
  <c r="E2" i="4"/>
  <c r="L33" i="4"/>
  <c r="J33" i="4"/>
  <c r="H54" i="3"/>
  <c r="F54" i="3"/>
  <c r="D54" i="3"/>
  <c r="J54" i="3"/>
  <c r="H51" i="3"/>
  <c r="D51" i="3"/>
  <c r="F51" i="3"/>
  <c r="J51" i="3"/>
  <c r="H53" i="3"/>
  <c r="F53" i="3"/>
  <c r="D53" i="3"/>
  <c r="J53" i="3"/>
  <c r="D52" i="3"/>
  <c r="F52" i="3"/>
  <c r="H52" i="3"/>
  <c r="J52" i="3"/>
  <c r="H50" i="3"/>
  <c r="F50" i="3"/>
  <c r="D50" i="3"/>
  <c r="J50" i="3"/>
  <c r="I45" i="3"/>
  <c r="E45" i="3"/>
  <c r="H45" i="3"/>
  <c r="F45" i="3"/>
  <c r="D45" i="3"/>
  <c r="I48" i="3"/>
  <c r="E48" i="3"/>
  <c r="H48" i="3"/>
  <c r="G48" i="3"/>
  <c r="F48" i="3"/>
  <c r="D48" i="3"/>
  <c r="J48" i="3"/>
  <c r="K48" i="3"/>
  <c r="L48" i="3"/>
  <c r="I43" i="3"/>
  <c r="E47" i="3"/>
  <c r="H47" i="3"/>
  <c r="G47" i="3"/>
  <c r="F47" i="3"/>
  <c r="D47" i="3"/>
  <c r="I47" i="3"/>
  <c r="K47" i="3"/>
  <c r="L47" i="3"/>
  <c r="J47" i="3"/>
  <c r="E43" i="3"/>
  <c r="H43" i="3"/>
  <c r="F43" i="3"/>
  <c r="G43" i="3"/>
  <c r="D43" i="3"/>
  <c r="J43" i="3"/>
  <c r="K43" i="3"/>
  <c r="L43" i="3"/>
  <c r="G45" i="3"/>
  <c r="I44" i="3"/>
  <c r="K45" i="3"/>
  <c r="L45" i="3"/>
  <c r="J45" i="3"/>
  <c r="E44" i="3"/>
  <c r="H44" i="3"/>
  <c r="G44" i="3"/>
  <c r="D44" i="3"/>
  <c r="F44" i="3"/>
  <c r="J44" i="3"/>
  <c r="K44" i="3"/>
  <c r="L44" i="3"/>
  <c r="I42" i="3"/>
  <c r="E42" i="3"/>
  <c r="H42" i="3"/>
  <c r="F42" i="3"/>
  <c r="D42" i="3"/>
  <c r="G42" i="3"/>
  <c r="J42" i="3"/>
  <c r="K42" i="3"/>
  <c r="L42" i="3"/>
  <c r="I41" i="3"/>
  <c r="Q4" i="3"/>
  <c r="P2" i="3"/>
  <c r="M2" i="3"/>
  <c r="M4" i="3"/>
  <c r="H41" i="3"/>
  <c r="F41" i="3"/>
  <c r="D41" i="3"/>
  <c r="K41" i="3"/>
  <c r="L41" i="3"/>
  <c r="J41" i="3"/>
  <c r="I39" i="3"/>
  <c r="E39" i="3"/>
  <c r="H39" i="3"/>
  <c r="F39" i="3"/>
  <c r="G39" i="3"/>
  <c r="J39" i="3"/>
  <c r="K39" i="3"/>
  <c r="L39" i="3"/>
  <c r="I38" i="3"/>
  <c r="I36" i="3"/>
  <c r="I35" i="3"/>
  <c r="E38" i="3"/>
  <c r="H38" i="3"/>
  <c r="G38" i="3"/>
  <c r="F38" i="3"/>
  <c r="K38" i="3"/>
  <c r="L38" i="3"/>
  <c r="J38" i="3"/>
  <c r="E35" i="3"/>
  <c r="G35" i="3"/>
  <c r="K35" i="3"/>
  <c r="L35" i="3"/>
  <c r="E36" i="3"/>
  <c r="G36" i="3"/>
  <c r="K36" i="3"/>
  <c r="L36" i="3"/>
  <c r="L37" i="3"/>
  <c r="I34" i="3"/>
  <c r="H35" i="3"/>
  <c r="H36" i="3"/>
  <c r="D35" i="3"/>
  <c r="F35" i="3"/>
  <c r="J35" i="3"/>
  <c r="D36" i="3"/>
  <c r="F36" i="3"/>
  <c r="J36" i="3"/>
  <c r="E34" i="3"/>
  <c r="H34" i="3"/>
  <c r="G34" i="3"/>
  <c r="F34" i="3"/>
  <c r="K34" i="3"/>
  <c r="L34" i="3"/>
  <c r="J34" i="3"/>
  <c r="E112" i="1"/>
  <c r="G112" i="1"/>
  <c r="I112" i="1"/>
  <c r="K112" i="1"/>
  <c r="L112" i="1"/>
  <c r="E113" i="1"/>
  <c r="G113" i="1"/>
  <c r="I113" i="1"/>
  <c r="K113" i="1"/>
  <c r="L113" i="1"/>
  <c r="L114" i="1"/>
  <c r="H112" i="1"/>
  <c r="H113" i="1"/>
  <c r="J113" i="1"/>
  <c r="F113" i="1"/>
  <c r="D113" i="1"/>
  <c r="J112" i="1"/>
  <c r="F112" i="1"/>
  <c r="D112" i="1"/>
  <c r="H110" i="1"/>
  <c r="F110" i="1"/>
  <c r="D110" i="1"/>
  <c r="J110" i="1"/>
  <c r="H109" i="1"/>
  <c r="H108" i="1"/>
  <c r="J109" i="1"/>
  <c r="F109" i="1"/>
  <c r="D109" i="1"/>
  <c r="J108" i="1"/>
  <c r="F108" i="1"/>
  <c r="D108" i="1"/>
  <c r="I104" i="1"/>
  <c r="H107" i="1"/>
  <c r="J107" i="1"/>
  <c r="F107" i="1"/>
  <c r="D107" i="1"/>
  <c r="H106" i="1"/>
  <c r="J106" i="1"/>
  <c r="F106" i="1"/>
  <c r="D106" i="1"/>
  <c r="H105" i="1"/>
  <c r="J105" i="1"/>
  <c r="F105" i="1"/>
  <c r="D105" i="1"/>
  <c r="E104" i="1"/>
  <c r="G104" i="1"/>
  <c r="K104" i="1"/>
  <c r="H104" i="1"/>
  <c r="J104" i="1"/>
  <c r="F104" i="1"/>
  <c r="D104" i="1"/>
  <c r="L104" i="1"/>
  <c r="H103" i="1"/>
  <c r="J103" i="1"/>
  <c r="F103" i="1"/>
  <c r="D103" i="1"/>
  <c r="M8" i="1"/>
  <c r="F5" i="1"/>
  <c r="P8" i="1"/>
  <c r="D4" i="1"/>
  <c r="D11" i="1"/>
  <c r="D19" i="1"/>
  <c r="F78" i="1"/>
  <c r="N7" i="1"/>
  <c r="H78" i="1"/>
  <c r="J78" i="1"/>
  <c r="L78" i="1"/>
  <c r="R78" i="1"/>
  <c r="F79" i="1"/>
  <c r="H79" i="1"/>
  <c r="J79" i="1"/>
  <c r="L79" i="1"/>
  <c r="R79" i="1"/>
  <c r="F80" i="1"/>
  <c r="H80" i="1"/>
  <c r="J80" i="1"/>
  <c r="L80" i="1"/>
  <c r="R80" i="1"/>
  <c r="F81" i="1"/>
  <c r="H81" i="1"/>
  <c r="J81" i="1"/>
  <c r="L81" i="1"/>
  <c r="R81" i="1"/>
  <c r="F82" i="1"/>
  <c r="H82" i="1"/>
  <c r="J82" i="1"/>
  <c r="L82" i="1"/>
  <c r="R82" i="1"/>
  <c r="D3" i="1"/>
  <c r="F77" i="1"/>
  <c r="N6" i="1"/>
  <c r="H77" i="1"/>
  <c r="J77" i="1"/>
  <c r="L77" i="1"/>
  <c r="R77" i="1"/>
  <c r="I82" i="1"/>
  <c r="I77" i="1"/>
  <c r="K82" i="1"/>
  <c r="G82" i="1"/>
  <c r="E82" i="1"/>
  <c r="K77" i="1"/>
  <c r="G77" i="1"/>
  <c r="E77" i="1"/>
  <c r="E39" i="1"/>
  <c r="H39" i="1"/>
  <c r="I81" i="1"/>
  <c r="I80" i="1"/>
  <c r="I79" i="1"/>
  <c r="K81" i="1"/>
  <c r="G81" i="1"/>
  <c r="E81" i="1"/>
  <c r="K80" i="1"/>
  <c r="G80" i="1"/>
  <c r="E80" i="1"/>
  <c r="K79" i="1"/>
  <c r="G79" i="1"/>
  <c r="E79" i="1"/>
  <c r="I78" i="1"/>
  <c r="K78" i="1"/>
  <c r="G78" i="1"/>
  <c r="E78" i="1"/>
  <c r="K7" i="1"/>
  <c r="M3" i="1"/>
  <c r="P3" i="1"/>
  <c r="F74" i="1"/>
  <c r="H74" i="1"/>
  <c r="J74" i="1"/>
  <c r="L74" i="1"/>
  <c r="R74" i="1"/>
  <c r="F75" i="1"/>
  <c r="H75" i="1"/>
  <c r="J75" i="1"/>
  <c r="L75" i="1"/>
  <c r="R75" i="1"/>
  <c r="F76" i="1"/>
  <c r="H76" i="1"/>
  <c r="J76" i="1"/>
  <c r="L76" i="1"/>
  <c r="R76" i="1"/>
  <c r="F73" i="1"/>
  <c r="H73" i="1"/>
  <c r="J73" i="1"/>
  <c r="L73" i="1"/>
  <c r="R73" i="1"/>
  <c r="I76" i="1"/>
  <c r="K76" i="1"/>
  <c r="G76" i="1"/>
  <c r="E76" i="1"/>
  <c r="I75" i="1"/>
  <c r="I74" i="1"/>
  <c r="I73" i="1"/>
  <c r="K75" i="1"/>
  <c r="G75" i="1"/>
  <c r="E75" i="1"/>
  <c r="K74" i="1"/>
  <c r="G74" i="1"/>
  <c r="E74" i="1"/>
  <c r="K73" i="1"/>
  <c r="G73" i="1"/>
  <c r="E73" i="1"/>
  <c r="K6" i="1"/>
  <c r="M13" i="1"/>
  <c r="K4" i="1"/>
  <c r="M14" i="1"/>
  <c r="K3" i="1"/>
  <c r="M12" i="1"/>
  <c r="N4" i="1"/>
  <c r="F72" i="1"/>
  <c r="I72" i="1"/>
  <c r="H72" i="1"/>
  <c r="G72" i="1"/>
  <c r="E72" i="1"/>
  <c r="J72" i="1"/>
  <c r="L72" i="1"/>
  <c r="K72" i="1"/>
  <c r="J58" i="1"/>
  <c r="J65" i="1"/>
  <c r="F65" i="1"/>
  <c r="H65" i="1"/>
  <c r="F58" i="1"/>
  <c r="I58" i="1"/>
  <c r="H58" i="1"/>
  <c r="F70" i="1"/>
  <c r="I70" i="1"/>
  <c r="H70" i="1"/>
  <c r="L65" i="1"/>
  <c r="N3" i="1"/>
  <c r="I65" i="1"/>
  <c r="K65" i="1"/>
  <c r="G65" i="1"/>
  <c r="E65" i="1"/>
  <c r="J70" i="1"/>
  <c r="L70" i="1"/>
  <c r="K70" i="1"/>
  <c r="G70" i="1"/>
  <c r="E70" i="1"/>
  <c r="L58" i="1"/>
  <c r="K58" i="1"/>
  <c r="G58" i="1"/>
  <c r="E58" i="1"/>
  <c r="K5" i="1"/>
  <c r="F54" i="1"/>
  <c r="H54" i="1"/>
  <c r="J54" i="1"/>
  <c r="L54" i="1"/>
  <c r="G39" i="1"/>
  <c r="E40" i="1"/>
  <c r="G40" i="1"/>
  <c r="F71" i="1"/>
  <c r="H71" i="1"/>
  <c r="J71" i="1"/>
  <c r="L71" i="1"/>
  <c r="R71" i="1"/>
  <c r="V63" i="1"/>
  <c r="W63" i="1"/>
  <c r="X63" i="1"/>
  <c r="S63" i="1"/>
  <c r="I71" i="1"/>
  <c r="G71" i="1"/>
  <c r="E71" i="1"/>
  <c r="K71" i="1"/>
  <c r="F55" i="1"/>
  <c r="H55" i="1"/>
  <c r="J55" i="1"/>
  <c r="L55" i="1"/>
  <c r="R55" i="1"/>
  <c r="F56" i="1"/>
  <c r="H56" i="1"/>
  <c r="J56" i="1"/>
  <c r="L56" i="1"/>
  <c r="R56" i="1"/>
  <c r="Q56" i="1"/>
  <c r="I54" i="1"/>
  <c r="N5" i="1"/>
  <c r="U66" i="1"/>
  <c r="S66" i="1"/>
  <c r="T66" i="1"/>
  <c r="F57" i="1"/>
  <c r="H57" i="1"/>
  <c r="J57" i="1"/>
  <c r="L57" i="1"/>
  <c r="R57" i="1"/>
  <c r="F59" i="1"/>
  <c r="H59" i="1"/>
  <c r="J59" i="1"/>
  <c r="L59" i="1"/>
  <c r="R59" i="1"/>
  <c r="F60" i="1"/>
  <c r="H60" i="1"/>
  <c r="J60" i="1"/>
  <c r="L60" i="1"/>
  <c r="R60" i="1"/>
  <c r="F61" i="1"/>
  <c r="H61" i="1"/>
  <c r="J61" i="1"/>
  <c r="L61" i="1"/>
  <c r="R61" i="1"/>
  <c r="F62" i="1"/>
  <c r="H62" i="1"/>
  <c r="J62" i="1"/>
  <c r="L62" i="1"/>
  <c r="R62" i="1"/>
  <c r="F63" i="1"/>
  <c r="H63" i="1"/>
  <c r="J63" i="1"/>
  <c r="L63" i="1"/>
  <c r="R63" i="1"/>
  <c r="F64" i="1"/>
  <c r="H64" i="1"/>
  <c r="J64" i="1"/>
  <c r="L64" i="1"/>
  <c r="R64" i="1"/>
  <c r="F66" i="1"/>
  <c r="H66" i="1"/>
  <c r="J66" i="1"/>
  <c r="L66" i="1"/>
  <c r="R66" i="1"/>
  <c r="F67" i="1"/>
  <c r="H67" i="1"/>
  <c r="J67" i="1"/>
  <c r="L67" i="1"/>
  <c r="R67" i="1"/>
  <c r="F68" i="1"/>
  <c r="H68" i="1"/>
  <c r="J68" i="1"/>
  <c r="L68" i="1"/>
  <c r="R68" i="1"/>
  <c r="F69" i="1"/>
  <c r="H69" i="1"/>
  <c r="J69" i="1"/>
  <c r="L69" i="1"/>
  <c r="R69" i="1"/>
  <c r="R54" i="1"/>
  <c r="I69" i="1"/>
  <c r="K69" i="1"/>
  <c r="G69" i="1"/>
  <c r="E69" i="1"/>
  <c r="I61" i="1"/>
  <c r="K61" i="1"/>
  <c r="I68" i="1"/>
  <c r="G68" i="1"/>
  <c r="E68" i="1"/>
  <c r="K68" i="1"/>
  <c r="I67" i="1"/>
  <c r="K67" i="1"/>
  <c r="G67" i="1"/>
  <c r="E67" i="1"/>
  <c r="I66" i="1"/>
  <c r="G66" i="1"/>
  <c r="E66" i="1"/>
  <c r="K66" i="1"/>
  <c r="I60" i="1"/>
  <c r="I57" i="1"/>
  <c r="I64" i="1"/>
  <c r="I62" i="1"/>
  <c r="K64" i="1"/>
  <c r="G64" i="1"/>
  <c r="E64" i="1"/>
  <c r="K62" i="1"/>
  <c r="G62" i="1"/>
  <c r="E62" i="1"/>
  <c r="K60" i="1"/>
  <c r="G60" i="1"/>
  <c r="E60" i="1"/>
  <c r="K57" i="1"/>
  <c r="G57" i="1"/>
  <c r="E57" i="1"/>
  <c r="U63" i="1"/>
  <c r="T63" i="1"/>
  <c r="U61" i="1"/>
  <c r="S61" i="1"/>
  <c r="T61" i="1"/>
  <c r="I63" i="1"/>
  <c r="G63" i="1"/>
  <c r="E63" i="1"/>
  <c r="K63" i="1"/>
  <c r="G61" i="1"/>
  <c r="E61" i="1"/>
  <c r="O4" i="1"/>
  <c r="U54" i="1"/>
  <c r="S54" i="1"/>
  <c r="U59" i="1"/>
  <c r="S59" i="1"/>
  <c r="T59" i="1"/>
  <c r="T54" i="1"/>
  <c r="Q55" i="1"/>
  <c r="I56" i="1"/>
  <c r="I55" i="1"/>
  <c r="I59" i="1"/>
  <c r="K59" i="1"/>
  <c r="G59" i="1"/>
  <c r="E59" i="1"/>
  <c r="E56" i="1"/>
  <c r="E55" i="1"/>
  <c r="K56" i="1"/>
  <c r="G56" i="1"/>
  <c r="K55" i="1"/>
  <c r="G55" i="1"/>
  <c r="K54" i="1"/>
  <c r="G54" i="1"/>
  <c r="E54" i="1"/>
  <c r="D39" i="1"/>
  <c r="Q3" i="3"/>
  <c r="M3" i="3"/>
  <c r="G2" i="3"/>
  <c r="E2" i="3"/>
  <c r="F4" i="3"/>
  <c r="E4" i="3"/>
  <c r="D3" i="3"/>
  <c r="E85" i="1"/>
  <c r="G85" i="1"/>
  <c r="I85" i="1"/>
  <c r="K85" i="1"/>
  <c r="E86" i="1"/>
  <c r="G86" i="1"/>
  <c r="I86" i="1"/>
  <c r="K86" i="1"/>
  <c r="E88" i="1"/>
  <c r="G88" i="1"/>
  <c r="I88" i="1"/>
  <c r="K88" i="1"/>
  <c r="E89" i="1"/>
  <c r="G89" i="1"/>
  <c r="I89" i="1"/>
  <c r="K89" i="1"/>
  <c r="R85" i="1"/>
  <c r="I39" i="1"/>
  <c r="K39" i="1"/>
  <c r="O39" i="1"/>
  <c r="I40" i="1"/>
  <c r="K40" i="1"/>
  <c r="O40" i="1"/>
  <c r="E41" i="1"/>
  <c r="G41" i="1"/>
  <c r="I41" i="1"/>
  <c r="K41" i="1"/>
  <c r="O41" i="1"/>
  <c r="E42" i="1"/>
  <c r="G42" i="1"/>
  <c r="I42" i="1"/>
  <c r="K42" i="1"/>
  <c r="O42" i="1"/>
  <c r="E45" i="1"/>
  <c r="G45" i="1"/>
  <c r="I45" i="1"/>
  <c r="K45" i="1"/>
  <c r="O45" i="1"/>
  <c r="E46" i="1"/>
  <c r="G46" i="1"/>
  <c r="I46" i="1"/>
  <c r="K46" i="1"/>
  <c r="O46" i="1"/>
  <c r="P39" i="1"/>
  <c r="E47" i="1"/>
  <c r="G47" i="1"/>
  <c r="I47" i="1"/>
  <c r="K47" i="1"/>
  <c r="O47" i="1"/>
  <c r="E48" i="1"/>
  <c r="G48" i="1"/>
  <c r="I48" i="1"/>
  <c r="K48" i="1"/>
  <c r="O48" i="1"/>
  <c r="E49" i="1"/>
  <c r="G49" i="1"/>
  <c r="I49" i="1"/>
  <c r="K49" i="1"/>
  <c r="O49" i="1"/>
  <c r="P48" i="1"/>
  <c r="Q36" i="1"/>
  <c r="E52" i="1"/>
  <c r="G52" i="1"/>
  <c r="E51" i="1"/>
  <c r="G51" i="1"/>
  <c r="E50" i="1"/>
  <c r="G50" i="1"/>
  <c r="E44" i="1"/>
  <c r="G44" i="1"/>
  <c r="E43" i="1"/>
  <c r="G43" i="1"/>
  <c r="I43" i="1"/>
  <c r="K43" i="1"/>
  <c r="O43" i="1"/>
  <c r="I44" i="1"/>
  <c r="K44" i="1"/>
  <c r="O44" i="1"/>
  <c r="V39" i="1"/>
  <c r="W39" i="1"/>
  <c r="V48" i="1"/>
  <c r="W48" i="1"/>
  <c r="X40" i="1"/>
  <c r="V47" i="1"/>
  <c r="W47" i="1"/>
  <c r="X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9" i="1"/>
  <c r="W49" i="1"/>
  <c r="I50" i="1"/>
  <c r="V50" i="1"/>
  <c r="W50" i="1"/>
  <c r="I51" i="1"/>
  <c r="V51" i="1"/>
  <c r="W51" i="1"/>
  <c r="I52" i="1"/>
  <c r="V52" i="1"/>
  <c r="W52" i="1"/>
  <c r="T49" i="1"/>
  <c r="T50" i="1"/>
  <c r="T51" i="1"/>
  <c r="T48" i="1"/>
  <c r="T47" i="1"/>
  <c r="T46" i="1"/>
  <c r="T45" i="1"/>
  <c r="T40" i="1"/>
  <c r="U40" i="1"/>
  <c r="T41" i="1"/>
  <c r="U41" i="1"/>
  <c r="T42" i="1"/>
  <c r="U42" i="1"/>
  <c r="T43" i="1"/>
  <c r="U43" i="1"/>
  <c r="T44" i="1"/>
  <c r="U44" i="1"/>
  <c r="U45" i="1"/>
  <c r="U46" i="1"/>
  <c r="U47" i="1"/>
  <c r="U48" i="1"/>
  <c r="U49" i="1"/>
  <c r="U50" i="1"/>
  <c r="U51" i="1"/>
  <c r="T52" i="1"/>
  <c r="U52" i="1"/>
  <c r="T39" i="1"/>
  <c r="U39" i="1"/>
  <c r="S39" i="1"/>
  <c r="S48" i="1"/>
  <c r="S47" i="1"/>
  <c r="R44" i="1"/>
  <c r="D44" i="1"/>
  <c r="F44" i="1"/>
  <c r="H44" i="1"/>
  <c r="J44" i="1"/>
  <c r="H43" i="1"/>
  <c r="D43" i="1"/>
  <c r="F43" i="1"/>
  <c r="J43" i="1"/>
  <c r="K50" i="1"/>
  <c r="O50" i="1"/>
  <c r="K51" i="1"/>
  <c r="O51" i="1"/>
  <c r="R51" i="1"/>
  <c r="D51" i="1"/>
  <c r="F51" i="1"/>
  <c r="H51" i="1"/>
  <c r="J51" i="1"/>
  <c r="H50" i="1"/>
  <c r="D50" i="1"/>
  <c r="F50" i="1"/>
  <c r="J50" i="1"/>
  <c r="D49" i="1"/>
  <c r="F49" i="1"/>
  <c r="H49" i="1"/>
  <c r="J49" i="1"/>
  <c r="H47" i="1"/>
  <c r="K52" i="1"/>
  <c r="O52" i="1"/>
  <c r="D42" i="1"/>
  <c r="F42" i="1"/>
  <c r="H42" i="1"/>
  <c r="J42" i="1"/>
  <c r="H45" i="1"/>
  <c r="H40" i="1"/>
  <c r="H48" i="1"/>
  <c r="H41" i="1"/>
  <c r="H46" i="1"/>
  <c r="H52" i="1"/>
  <c r="J39" i="1"/>
  <c r="F39" i="1"/>
  <c r="Q3" i="1"/>
  <c r="N4" i="2"/>
  <c r="H14" i="2"/>
  <c r="I14" i="2"/>
  <c r="J14" i="2"/>
  <c r="I100" i="1"/>
  <c r="E100" i="1"/>
  <c r="F100" i="1"/>
  <c r="G100" i="1"/>
  <c r="D100" i="1"/>
  <c r="H100" i="1"/>
  <c r="J100" i="1"/>
  <c r="K100" i="1"/>
  <c r="L100" i="1"/>
  <c r="E99" i="1"/>
  <c r="F99" i="1"/>
  <c r="G99" i="1"/>
  <c r="I99" i="1"/>
  <c r="K99" i="1"/>
  <c r="L99" i="1"/>
  <c r="H99" i="1"/>
  <c r="J99" i="1"/>
  <c r="E98" i="1"/>
  <c r="F98" i="1"/>
  <c r="G98" i="1"/>
  <c r="D99" i="1"/>
  <c r="I98" i="1"/>
  <c r="K98" i="1"/>
  <c r="L98" i="1"/>
  <c r="H98" i="1"/>
  <c r="J98" i="1"/>
  <c r="D98" i="1"/>
  <c r="E95" i="1"/>
  <c r="G95" i="1"/>
  <c r="I95" i="1"/>
  <c r="K95" i="1"/>
  <c r="L95" i="1"/>
  <c r="H95" i="1"/>
  <c r="J95" i="1"/>
  <c r="E87" i="1"/>
  <c r="G87" i="1"/>
  <c r="F95" i="1"/>
  <c r="D95" i="1"/>
  <c r="E93" i="1"/>
  <c r="I93" i="1"/>
  <c r="K93" i="1"/>
  <c r="L93" i="1"/>
  <c r="F93" i="1"/>
  <c r="J93" i="1"/>
  <c r="D93" i="1"/>
  <c r="H89" i="1"/>
  <c r="J89" i="1"/>
  <c r="F89" i="1"/>
  <c r="D89" i="1"/>
  <c r="H88" i="1"/>
  <c r="J88" i="1"/>
  <c r="F88" i="1"/>
  <c r="D88" i="1"/>
  <c r="I87" i="1"/>
  <c r="K87" i="1"/>
  <c r="H87" i="1"/>
  <c r="J87" i="1"/>
  <c r="F87" i="1"/>
  <c r="D87" i="1"/>
  <c r="H86" i="1"/>
  <c r="J86" i="1"/>
  <c r="F86" i="1"/>
  <c r="D86" i="1"/>
  <c r="H85" i="1"/>
  <c r="J85" i="1"/>
  <c r="F85" i="1"/>
  <c r="D85" i="1"/>
  <c r="Q8" i="1"/>
  <c r="F48" i="1"/>
  <c r="D48" i="1"/>
  <c r="D47" i="1"/>
  <c r="J48" i="1"/>
  <c r="F47" i="1"/>
  <c r="J47" i="1"/>
  <c r="J52" i="1"/>
  <c r="F52" i="1"/>
  <c r="D52" i="1"/>
  <c r="F46" i="1"/>
  <c r="D46" i="1"/>
  <c r="J46" i="1"/>
  <c r="J45" i="1"/>
  <c r="F45" i="1"/>
  <c r="D45" i="1"/>
  <c r="J41" i="1"/>
  <c r="F41" i="1"/>
  <c r="D41" i="1"/>
  <c r="J40" i="1"/>
  <c r="F40" i="1"/>
  <c r="D40" i="1"/>
  <c r="E35" i="1"/>
  <c r="G35" i="1"/>
  <c r="I35" i="1"/>
  <c r="K35" i="1"/>
  <c r="D50" i="2"/>
  <c r="E50" i="2"/>
  <c r="F50" i="2"/>
  <c r="G50" i="2"/>
  <c r="H50" i="2"/>
  <c r="I50" i="2"/>
  <c r="J50" i="2"/>
  <c r="K50" i="2"/>
  <c r="D38" i="2"/>
  <c r="L50" i="2"/>
  <c r="F38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D55" i="2"/>
  <c r="E55" i="2"/>
  <c r="F55" i="2"/>
  <c r="G55" i="2"/>
  <c r="H55" i="2"/>
  <c r="I55" i="2"/>
  <c r="J55" i="2"/>
  <c r="K55" i="2"/>
  <c r="L55" i="2"/>
  <c r="M55" i="2"/>
  <c r="N55" i="2"/>
  <c r="E72" i="2"/>
  <c r="M72" i="2"/>
  <c r="E62" i="2"/>
  <c r="M62" i="2"/>
  <c r="E63" i="2"/>
  <c r="M63" i="2"/>
  <c r="O72" i="2"/>
  <c r="E71" i="2"/>
  <c r="M71" i="2"/>
  <c r="O71" i="2"/>
  <c r="D72" i="2"/>
  <c r="F72" i="2"/>
  <c r="G72" i="2"/>
  <c r="H72" i="2"/>
  <c r="I72" i="2"/>
  <c r="J72" i="2"/>
  <c r="K72" i="2"/>
  <c r="L72" i="2"/>
  <c r="N72" i="2"/>
  <c r="L71" i="2"/>
  <c r="H71" i="2"/>
  <c r="F71" i="2"/>
  <c r="G71" i="2"/>
  <c r="N71" i="2"/>
  <c r="I71" i="2"/>
  <c r="K71" i="2"/>
  <c r="J71" i="2"/>
  <c r="D71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G62" i="2"/>
  <c r="E64" i="2"/>
  <c r="D65" i="2"/>
  <c r="F65" i="2"/>
  <c r="H65" i="2"/>
  <c r="I65" i="2"/>
  <c r="J65" i="2"/>
  <c r="K65" i="2"/>
  <c r="L65" i="2"/>
  <c r="M65" i="2"/>
  <c r="D64" i="2"/>
  <c r="F64" i="2"/>
  <c r="G64" i="2"/>
  <c r="H64" i="2"/>
  <c r="I64" i="2"/>
  <c r="J64" i="2"/>
  <c r="K64" i="2"/>
  <c r="L64" i="2"/>
  <c r="M64" i="2"/>
  <c r="N64" i="2"/>
  <c r="D62" i="2"/>
  <c r="F62" i="2"/>
  <c r="H62" i="2"/>
  <c r="I62" i="2"/>
  <c r="J62" i="2"/>
  <c r="K62" i="2"/>
  <c r="L62" i="2"/>
  <c r="N62" i="2"/>
  <c r="E58" i="2"/>
  <c r="G58" i="2"/>
  <c r="N58" i="2"/>
  <c r="E57" i="2"/>
  <c r="G57" i="2"/>
  <c r="N57" i="2"/>
  <c r="E47" i="2"/>
  <c r="G47" i="2"/>
  <c r="N47" i="2"/>
  <c r="E49" i="2"/>
  <c r="G49" i="2"/>
  <c r="N49" i="2"/>
  <c r="E48" i="2"/>
  <c r="G48" i="2"/>
  <c r="N48" i="2"/>
  <c r="D5" i="2"/>
  <c r="D6" i="2"/>
  <c r="D7" i="2"/>
  <c r="M48" i="2"/>
  <c r="M57" i="2"/>
  <c r="D58" i="2"/>
  <c r="F58" i="2"/>
  <c r="H58" i="2"/>
  <c r="I58" i="2"/>
  <c r="J58" i="2"/>
  <c r="K58" i="2"/>
  <c r="L58" i="2"/>
  <c r="M58" i="2"/>
  <c r="D60" i="2"/>
  <c r="E60" i="2"/>
  <c r="F60" i="2"/>
  <c r="G60" i="2"/>
  <c r="H60" i="2"/>
  <c r="I60" i="2"/>
  <c r="J60" i="2"/>
  <c r="K60" i="2"/>
  <c r="L60" i="2"/>
  <c r="M60" i="2"/>
  <c r="N60" i="2"/>
  <c r="D59" i="2"/>
  <c r="E59" i="2"/>
  <c r="F59" i="2"/>
  <c r="G59" i="2"/>
  <c r="H59" i="2"/>
  <c r="I59" i="2"/>
  <c r="J59" i="2"/>
  <c r="K59" i="2"/>
  <c r="L59" i="2"/>
  <c r="M59" i="2"/>
  <c r="D61" i="2"/>
  <c r="E61" i="2"/>
  <c r="F61" i="2"/>
  <c r="G61" i="2"/>
  <c r="H61" i="2"/>
  <c r="I61" i="2"/>
  <c r="J61" i="2"/>
  <c r="K61" i="2"/>
  <c r="L61" i="2"/>
  <c r="M61" i="2"/>
  <c r="G63" i="2"/>
  <c r="N63" i="2"/>
  <c r="N59" i="2"/>
  <c r="N61" i="2"/>
  <c r="D63" i="2"/>
  <c r="F63" i="2"/>
  <c r="H63" i="2"/>
  <c r="I63" i="2"/>
  <c r="J63" i="2"/>
  <c r="K63" i="2"/>
  <c r="L63" i="2"/>
  <c r="M47" i="2"/>
  <c r="L47" i="2"/>
  <c r="L57" i="2"/>
  <c r="I57" i="2"/>
  <c r="K57" i="2"/>
  <c r="H57" i="2"/>
  <c r="J57" i="2"/>
  <c r="F57" i="2"/>
  <c r="D57" i="2"/>
  <c r="E46" i="2"/>
  <c r="G46" i="2"/>
  <c r="N46" i="2"/>
  <c r="E43" i="2"/>
  <c r="G43" i="2"/>
  <c r="N43" i="2"/>
  <c r="E45" i="2"/>
  <c r="G45" i="2"/>
  <c r="N45" i="2"/>
  <c r="E44" i="2"/>
  <c r="D44" i="2"/>
  <c r="F44" i="2"/>
  <c r="G44" i="2"/>
  <c r="H44" i="2"/>
  <c r="I44" i="2"/>
  <c r="J44" i="2"/>
  <c r="K44" i="2"/>
  <c r="L44" i="2"/>
  <c r="M44" i="2"/>
  <c r="N44" i="2"/>
  <c r="D43" i="2"/>
  <c r="F43" i="2"/>
  <c r="H43" i="2"/>
  <c r="I43" i="2"/>
  <c r="J43" i="2"/>
  <c r="K43" i="2"/>
  <c r="L43" i="2"/>
  <c r="M43" i="2"/>
  <c r="D45" i="2"/>
  <c r="F45" i="2"/>
  <c r="H45" i="2"/>
  <c r="I45" i="2"/>
  <c r="J45" i="2"/>
  <c r="K45" i="2"/>
  <c r="L45" i="2"/>
  <c r="M45" i="2"/>
  <c r="D46" i="2"/>
  <c r="F46" i="2"/>
  <c r="H46" i="2"/>
  <c r="I46" i="2"/>
  <c r="J46" i="2"/>
  <c r="K46" i="2"/>
  <c r="L46" i="2"/>
  <c r="M46" i="2"/>
  <c r="D47" i="2"/>
  <c r="F47" i="2"/>
  <c r="H47" i="2"/>
  <c r="I47" i="2"/>
  <c r="J47" i="2"/>
  <c r="K47" i="2"/>
  <c r="E40" i="2"/>
  <c r="G40" i="2"/>
  <c r="N40" i="2"/>
  <c r="M40" i="2"/>
  <c r="L40" i="2"/>
  <c r="I40" i="2"/>
  <c r="K40" i="2"/>
  <c r="H40" i="2"/>
  <c r="J40" i="2"/>
  <c r="F40" i="2"/>
  <c r="D40" i="2"/>
  <c r="L49" i="2"/>
  <c r="L48" i="2"/>
  <c r="H48" i="2"/>
  <c r="H49" i="2"/>
  <c r="F48" i="2"/>
  <c r="M49" i="2"/>
  <c r="I49" i="2"/>
  <c r="K49" i="2"/>
  <c r="J49" i="2"/>
  <c r="F49" i="2"/>
  <c r="D49" i="2"/>
  <c r="I48" i="2"/>
  <c r="K48" i="2"/>
  <c r="J48" i="2"/>
  <c r="D48" i="2"/>
  <c r="E42" i="2"/>
  <c r="M42" i="2"/>
  <c r="L42" i="2"/>
  <c r="G42" i="2"/>
  <c r="N42" i="2"/>
  <c r="E22" i="2"/>
  <c r="G22" i="2"/>
  <c r="N22" i="2"/>
  <c r="E16" i="2"/>
  <c r="G16" i="2"/>
  <c r="N16" i="2"/>
  <c r="E17" i="2"/>
  <c r="G17" i="2"/>
  <c r="N17" i="2"/>
  <c r="E18" i="2"/>
  <c r="G18" i="2"/>
  <c r="N18" i="2"/>
  <c r="E19" i="2"/>
  <c r="G19" i="2"/>
  <c r="N19" i="2"/>
  <c r="E20" i="2"/>
  <c r="G20" i="2"/>
  <c r="N20" i="2"/>
  <c r="E21" i="2"/>
  <c r="G21" i="2"/>
  <c r="N21" i="2"/>
  <c r="E23" i="2"/>
  <c r="G23" i="2"/>
  <c r="N23" i="2"/>
  <c r="E24" i="2"/>
  <c r="G24" i="2"/>
  <c r="N24" i="2"/>
  <c r="E25" i="2"/>
  <c r="G25" i="2"/>
  <c r="N25" i="2"/>
  <c r="I42" i="2"/>
  <c r="K42" i="2"/>
  <c r="H42" i="2"/>
  <c r="J42" i="2"/>
  <c r="F42" i="2"/>
  <c r="D42" i="2"/>
  <c r="I41" i="2"/>
  <c r="K41" i="2"/>
  <c r="H41" i="2"/>
  <c r="J41" i="2"/>
  <c r="F41" i="2"/>
  <c r="D41" i="2"/>
  <c r="G38" i="2"/>
  <c r="I38" i="2"/>
  <c r="K38" i="2"/>
  <c r="J38" i="2"/>
  <c r="K5" i="2"/>
  <c r="G37" i="2"/>
  <c r="I37" i="2"/>
  <c r="K37" i="2"/>
  <c r="J37" i="2"/>
  <c r="F14" i="2"/>
  <c r="M25" i="2"/>
  <c r="D14" i="2"/>
  <c r="L25" i="2"/>
  <c r="E33" i="2"/>
  <c r="G33" i="2"/>
  <c r="M22" i="2"/>
  <c r="M16" i="2"/>
  <c r="L16" i="2"/>
  <c r="I16" i="2"/>
  <c r="K16" i="2"/>
  <c r="H16" i="2"/>
  <c r="J16" i="2"/>
  <c r="F16" i="2"/>
  <c r="D16" i="2"/>
  <c r="G14" i="2"/>
  <c r="L22" i="2"/>
  <c r="I22" i="2"/>
  <c r="K22" i="2"/>
  <c r="H22" i="2"/>
  <c r="J22" i="2"/>
  <c r="K4" i="2"/>
  <c r="M3" i="2"/>
  <c r="K3" i="2"/>
  <c r="F4" i="2"/>
  <c r="D4" i="2"/>
  <c r="D33" i="2"/>
  <c r="F33" i="2"/>
  <c r="H33" i="2"/>
  <c r="I33" i="2"/>
  <c r="J33" i="2"/>
  <c r="K33" i="2"/>
  <c r="L33" i="2"/>
  <c r="D32" i="2"/>
  <c r="E32" i="2"/>
  <c r="F32" i="2"/>
  <c r="G32" i="2"/>
  <c r="H32" i="2"/>
  <c r="I32" i="2"/>
  <c r="J32" i="2"/>
  <c r="K32" i="2"/>
  <c r="L32" i="2"/>
  <c r="D25" i="2"/>
  <c r="F25" i="2"/>
  <c r="H25" i="2"/>
  <c r="I25" i="2"/>
  <c r="J25" i="2"/>
  <c r="K25" i="2"/>
  <c r="D24" i="2"/>
  <c r="F24" i="2"/>
  <c r="H24" i="2"/>
  <c r="I24" i="2"/>
  <c r="J24" i="2"/>
  <c r="K24" i="2"/>
  <c r="L24" i="2"/>
  <c r="M24" i="2"/>
  <c r="M23" i="2"/>
  <c r="D23" i="2"/>
  <c r="F23" i="2"/>
  <c r="H23" i="2"/>
  <c r="I23" i="2"/>
  <c r="J23" i="2"/>
  <c r="K23" i="2"/>
  <c r="L23" i="2"/>
  <c r="D22" i="2"/>
  <c r="F22" i="2"/>
  <c r="I31" i="2"/>
  <c r="I30" i="2"/>
  <c r="I29" i="2"/>
  <c r="I28" i="2"/>
  <c r="I27" i="2"/>
  <c r="I20" i="2"/>
  <c r="I19" i="2"/>
  <c r="I18" i="2"/>
  <c r="I17" i="2"/>
  <c r="I21" i="2"/>
  <c r="M17" i="2"/>
  <c r="M18" i="2"/>
  <c r="M19" i="2"/>
  <c r="M20" i="2"/>
  <c r="M21" i="2"/>
  <c r="L21" i="2"/>
  <c r="D21" i="2"/>
  <c r="F21" i="2"/>
  <c r="H21" i="2"/>
  <c r="J21" i="2"/>
  <c r="K21" i="2"/>
  <c r="L18" i="2"/>
  <c r="E27" i="2"/>
  <c r="H27" i="2"/>
  <c r="G27" i="2"/>
  <c r="L31" i="2"/>
  <c r="D31" i="2"/>
  <c r="L30" i="2"/>
  <c r="E31" i="2"/>
  <c r="F31" i="2"/>
  <c r="G31" i="2"/>
  <c r="H31" i="2"/>
  <c r="J31" i="2"/>
  <c r="K31" i="2"/>
  <c r="D30" i="2"/>
  <c r="E30" i="2"/>
  <c r="F30" i="2"/>
  <c r="G30" i="2"/>
  <c r="H30" i="2"/>
  <c r="J30" i="2"/>
  <c r="K30" i="2"/>
  <c r="D29" i="2"/>
  <c r="L19" i="2"/>
  <c r="L20" i="2"/>
  <c r="L29" i="2"/>
  <c r="L28" i="2"/>
  <c r="L27" i="2"/>
  <c r="E29" i="2"/>
  <c r="E28" i="2"/>
  <c r="F29" i="2"/>
  <c r="G29" i="2"/>
  <c r="H29" i="2"/>
  <c r="J29" i="2"/>
  <c r="K29" i="2"/>
  <c r="D28" i="2"/>
  <c r="F28" i="2"/>
  <c r="G28" i="2"/>
  <c r="H28" i="2"/>
  <c r="J28" i="2"/>
  <c r="K28" i="2"/>
  <c r="F27" i="2"/>
  <c r="D27" i="2"/>
  <c r="K27" i="2"/>
  <c r="J27" i="2"/>
  <c r="D20" i="2"/>
  <c r="F20" i="2"/>
  <c r="H20" i="2"/>
  <c r="J20" i="2"/>
  <c r="K20" i="2"/>
  <c r="D19" i="2"/>
  <c r="F19" i="2"/>
  <c r="H19" i="2"/>
  <c r="J19" i="2"/>
  <c r="K19" i="2"/>
  <c r="H18" i="2"/>
  <c r="F18" i="2"/>
  <c r="D18" i="2"/>
  <c r="J18" i="2"/>
  <c r="K18" i="2"/>
  <c r="D17" i="2"/>
  <c r="F17" i="2"/>
  <c r="H17" i="2"/>
  <c r="J17" i="2"/>
  <c r="K17" i="2"/>
  <c r="L17" i="2"/>
  <c r="M10" i="2"/>
  <c r="F10" i="2"/>
  <c r="K14" i="2"/>
  <c r="I27" i="1"/>
  <c r="E26" i="1"/>
  <c r="G26" i="1"/>
  <c r="H26" i="1"/>
  <c r="E27" i="1"/>
  <c r="H27" i="1"/>
  <c r="G27" i="1"/>
  <c r="F27" i="1"/>
  <c r="K27" i="1"/>
  <c r="J27" i="1"/>
  <c r="D27" i="1"/>
  <c r="I26" i="1"/>
  <c r="K26" i="1"/>
  <c r="J26" i="1"/>
  <c r="F26" i="1"/>
  <c r="D26" i="1"/>
  <c r="I28" i="1"/>
  <c r="F19" i="1"/>
  <c r="F11" i="1"/>
  <c r="E33" i="1"/>
  <c r="G33" i="1"/>
  <c r="I33" i="1"/>
  <c r="K33" i="1"/>
  <c r="H33" i="1"/>
  <c r="J33" i="1"/>
  <c r="F33" i="1"/>
  <c r="D33" i="1"/>
  <c r="E34" i="1"/>
  <c r="G34" i="1"/>
  <c r="E32" i="1"/>
  <c r="G32" i="1"/>
  <c r="E31" i="1"/>
  <c r="G31" i="1"/>
  <c r="E30" i="1"/>
  <c r="G30" i="1"/>
  <c r="E29" i="1"/>
  <c r="G29" i="1"/>
  <c r="E28" i="1"/>
  <c r="G28" i="1"/>
  <c r="I32" i="1"/>
  <c r="K32" i="1"/>
  <c r="H32" i="1"/>
  <c r="J32" i="1"/>
  <c r="F32" i="1"/>
  <c r="D32" i="1"/>
  <c r="H35" i="1"/>
  <c r="J35" i="1"/>
  <c r="F35" i="1"/>
  <c r="D35" i="1"/>
  <c r="I31" i="1"/>
  <c r="K31" i="1"/>
  <c r="H31" i="1"/>
  <c r="J31" i="1"/>
  <c r="F31" i="1"/>
  <c r="D31" i="1"/>
  <c r="D30" i="1"/>
  <c r="K8" i="1"/>
  <c r="I29" i="1"/>
  <c r="K29" i="1"/>
  <c r="I30" i="1"/>
  <c r="K30" i="1"/>
  <c r="I34" i="1"/>
  <c r="K34" i="1"/>
  <c r="K28" i="1"/>
  <c r="H30" i="1"/>
  <c r="J30" i="1"/>
  <c r="H34" i="1"/>
  <c r="F34" i="1"/>
  <c r="D34" i="1"/>
  <c r="J34" i="1"/>
  <c r="F30" i="1"/>
  <c r="D29" i="1"/>
  <c r="H29" i="1"/>
  <c r="J29" i="1"/>
  <c r="H28" i="1"/>
  <c r="J28" i="1"/>
  <c r="F29" i="1"/>
  <c r="F28" i="1"/>
  <c r="D28" i="1"/>
  <c r="F20" i="1"/>
  <c r="F12" i="1"/>
</calcChain>
</file>

<file path=xl/sharedStrings.xml><?xml version="1.0" encoding="utf-8"?>
<sst xmlns="http://schemas.openxmlformats.org/spreadsheetml/2006/main" count="919" uniqueCount="271">
  <si>
    <t>bcc fe</t>
  </si>
  <si>
    <t>E</t>
  </si>
  <si>
    <t>E/at</t>
  </si>
  <si>
    <t>V</t>
  </si>
  <si>
    <t>a0</t>
  </si>
  <si>
    <t>nial</t>
  </si>
  <si>
    <t>T</t>
  </si>
  <si>
    <t>fcc ni</t>
  </si>
  <si>
    <t>fcc al</t>
  </si>
  <si>
    <t>Ef/at</t>
  </si>
  <si>
    <t>100 interface</t>
  </si>
  <si>
    <t>Ef/atom</t>
  </si>
  <si>
    <t>Ef</t>
  </si>
  <si>
    <t>(Ef - Ef B2)/at</t>
  </si>
  <si>
    <t>Area</t>
  </si>
  <si>
    <t>Ef*/Area</t>
  </si>
  <si>
    <t>Ef*</t>
  </si>
  <si>
    <t>100a</t>
  </si>
  <si>
    <t>100a1</t>
  </si>
  <si>
    <t>100b</t>
  </si>
  <si>
    <t>100c</t>
  </si>
  <si>
    <t>100e</t>
  </si>
  <si>
    <t>100d</t>
  </si>
  <si>
    <t>100f</t>
  </si>
  <si>
    <t>100g</t>
  </si>
  <si>
    <t>0a</t>
  </si>
  <si>
    <t>0b</t>
  </si>
  <si>
    <t>vac a</t>
  </si>
  <si>
    <t>vac b</t>
  </si>
  <si>
    <t>vac c</t>
  </si>
  <si>
    <t>vac d</t>
  </si>
  <si>
    <t>vac e</t>
  </si>
  <si>
    <t>a</t>
  </si>
  <si>
    <t>int b</t>
  </si>
  <si>
    <t>int a</t>
  </si>
  <si>
    <t>int c</t>
  </si>
  <si>
    <t>int e</t>
  </si>
  <si>
    <t>int d</t>
  </si>
  <si>
    <t>vac f</t>
  </si>
  <si>
    <t>NEED TO DO ALL WITH 8 PROCESSORS OR STUFF WILL GET MIXED UP</t>
  </si>
  <si>
    <t>vac g</t>
  </si>
  <si>
    <t>vac h</t>
  </si>
  <si>
    <t>vac i</t>
  </si>
  <si>
    <t>vac j</t>
  </si>
  <si>
    <t>int f</t>
  </si>
  <si>
    <t>int g</t>
  </si>
  <si>
    <t>vac</t>
  </si>
  <si>
    <t>fixed</t>
  </si>
  <si>
    <t>Ef-EfB2</t>
  </si>
  <si>
    <t>a fe a0</t>
  </si>
  <si>
    <t xml:space="preserve">vac f 2 </t>
  </si>
  <si>
    <t>vac a 2</t>
  </si>
  <si>
    <t>vac c 2</t>
  </si>
  <si>
    <t>vac b 2</t>
  </si>
  <si>
    <t>vac e 2</t>
  </si>
  <si>
    <t>vac d 2</t>
  </si>
  <si>
    <t>vac j 2</t>
  </si>
  <si>
    <t>vac h 2</t>
  </si>
  <si>
    <t>int a 2</t>
  </si>
  <si>
    <t>int</t>
  </si>
  <si>
    <t>int f 2</t>
  </si>
  <si>
    <t>int c 2</t>
  </si>
  <si>
    <t>int e 2</t>
  </si>
  <si>
    <t>int b 2</t>
  </si>
  <si>
    <t>int d 2</t>
  </si>
  <si>
    <t>int h 2</t>
  </si>
  <si>
    <t>int j 2</t>
  </si>
  <si>
    <t>int k 2</t>
  </si>
  <si>
    <t>int l 2</t>
  </si>
  <si>
    <t>int m 2</t>
  </si>
  <si>
    <t>int n 2</t>
  </si>
  <si>
    <t>int i 2</t>
  </si>
  <si>
    <t xml:space="preserve">int 5 </t>
  </si>
  <si>
    <t>int 5 a</t>
  </si>
  <si>
    <t>nf</t>
  </si>
  <si>
    <t>bulk</t>
  </si>
  <si>
    <t>vac k 2</t>
  </si>
  <si>
    <t>vac l 2</t>
  </si>
  <si>
    <t>vac m 2</t>
  </si>
  <si>
    <t>vac n 2</t>
  </si>
  <si>
    <t>vac o 2</t>
  </si>
  <si>
    <t>vac p 2</t>
  </si>
  <si>
    <t>interfacial energy</t>
  </si>
  <si>
    <t>Notes</t>
  </si>
  <si>
    <t>Ef*/at/Area</t>
  </si>
  <si>
    <t>50fe 25B2</t>
  </si>
  <si>
    <t>25fe 25B2</t>
  </si>
  <si>
    <t>b</t>
  </si>
  <si>
    <t>0K</t>
  </si>
  <si>
    <t>c</t>
  </si>
  <si>
    <t>fixed xy at fe a0 1 cpu</t>
  </si>
  <si>
    <t>fixed xy at fe a0 4 cpus</t>
  </si>
  <si>
    <t>d</t>
  </si>
  <si>
    <t>steps</t>
  </si>
  <si>
    <t>e</t>
  </si>
  <si>
    <t>75fe 25B2</t>
  </si>
  <si>
    <t>c1</t>
  </si>
  <si>
    <t>f</t>
  </si>
  <si>
    <t>25fe 50b2</t>
  </si>
  <si>
    <t>g</t>
  </si>
  <si>
    <t>avg a0</t>
  </si>
  <si>
    <t>fixed xy at avg a0 4 cpus</t>
  </si>
  <si>
    <t>a1</t>
  </si>
  <si>
    <t>aniso fe a0 4 cpus</t>
  </si>
  <si>
    <t>a2</t>
  </si>
  <si>
    <t>aniso avg a0 4 cpus -force</t>
  </si>
  <si>
    <t>aniso avg a0 4 cpus -energy</t>
  </si>
  <si>
    <t>energy tolerance</t>
  </si>
  <si>
    <t>max force iter (100000) 10^-10</t>
  </si>
  <si>
    <t>a3</t>
  </si>
  <si>
    <t>max force iter (100000) 10^-6</t>
  </si>
  <si>
    <t>a4</t>
  </si>
  <si>
    <t>iron surf</t>
  </si>
  <si>
    <t>n/a</t>
  </si>
  <si>
    <t>Ef/area</t>
  </si>
  <si>
    <t>Ef/at/area</t>
  </si>
  <si>
    <t>eV/Ang^2</t>
  </si>
  <si>
    <t>J/m^2</t>
  </si>
  <si>
    <t>B2 NiAl surf</t>
  </si>
  <si>
    <t>Sphere</t>
  </si>
  <si>
    <t>5 unit diam</t>
  </si>
  <si>
    <t>10 unit diam</t>
  </si>
  <si>
    <t>15 unit diam</t>
  </si>
  <si>
    <t>a5</t>
  </si>
  <si>
    <t>fixed xy at fe a0</t>
  </si>
  <si>
    <t>fixed xy at fe a0 8 cpus</t>
  </si>
  <si>
    <t>25fe 75b2</t>
  </si>
  <si>
    <t>g1</t>
  </si>
  <si>
    <t>Surfaces only Ni terminals</t>
  </si>
  <si>
    <t>Surfaces only Al terminals</t>
  </si>
  <si>
    <t>c2</t>
  </si>
  <si>
    <t>Surfaces only Ni termials</t>
  </si>
  <si>
    <t>A/Vol</t>
  </si>
  <si>
    <t>Vol</t>
  </si>
  <si>
    <t>B2 Vol</t>
  </si>
  <si>
    <t>A/B2 Vol</t>
  </si>
  <si>
    <t>110shift</t>
  </si>
  <si>
    <t>B2 nial</t>
  </si>
  <si>
    <t>cubic</t>
  </si>
  <si>
    <t>H</t>
  </si>
  <si>
    <t>H1</t>
  </si>
  <si>
    <t>H2</t>
  </si>
  <si>
    <t>I</t>
  </si>
  <si>
    <t>Al only</t>
  </si>
  <si>
    <t>Ni only</t>
  </si>
  <si>
    <t>del V</t>
  </si>
  <si>
    <t>J</t>
  </si>
  <si>
    <t>K</t>
  </si>
  <si>
    <t>25fe 100b2</t>
  </si>
  <si>
    <t>100fe 100b2</t>
  </si>
  <si>
    <t>H3</t>
  </si>
  <si>
    <t>aniso 8 cpus</t>
  </si>
  <si>
    <t>I3</t>
  </si>
  <si>
    <t>J3</t>
  </si>
  <si>
    <t>K3</t>
  </si>
  <si>
    <t>L</t>
  </si>
  <si>
    <t>L3</t>
  </si>
  <si>
    <t>20fe 20B2</t>
  </si>
  <si>
    <t>M</t>
  </si>
  <si>
    <t>M3</t>
  </si>
  <si>
    <t>xy fe a0 z @H</t>
  </si>
  <si>
    <t>xy fixed 2.85494</t>
  </si>
  <si>
    <t>z</t>
  </si>
  <si>
    <t>N</t>
  </si>
  <si>
    <t>100fe 25B2</t>
  </si>
  <si>
    <t>#atoms</t>
  </si>
  <si>
    <t>xy fixed</t>
  </si>
  <si>
    <t>aniso</t>
  </si>
  <si>
    <t>H4</t>
  </si>
  <si>
    <t>only B2 relax</t>
  </si>
  <si>
    <t>M4</t>
  </si>
  <si>
    <t>K4</t>
  </si>
  <si>
    <t>O</t>
  </si>
  <si>
    <t>50fe 50b2</t>
  </si>
  <si>
    <t>equil</t>
  </si>
  <si>
    <t>fixed xyz</t>
  </si>
  <si>
    <t>fixed xy</t>
  </si>
  <si>
    <t>P</t>
  </si>
  <si>
    <t>Q</t>
  </si>
  <si>
    <t>R</t>
  </si>
  <si>
    <t>S</t>
  </si>
  <si>
    <t>U</t>
  </si>
  <si>
    <t>W</t>
  </si>
  <si>
    <t>fixed xyz fe a0</t>
  </si>
  <si>
    <t>fixed xyz avg a0</t>
  </si>
  <si>
    <t>xyz fixed fe a0</t>
  </si>
  <si>
    <t>xyz fixed avg a0</t>
  </si>
  <si>
    <t>X</t>
  </si>
  <si>
    <t>Y</t>
  </si>
  <si>
    <t>100K</t>
  </si>
  <si>
    <t>100fe 25b2</t>
  </si>
  <si>
    <t>h</t>
  </si>
  <si>
    <t>30fe 30b2</t>
  </si>
  <si>
    <t>50fe 25b2</t>
  </si>
  <si>
    <t>Al faces</t>
  </si>
  <si>
    <t>Ni faces</t>
  </si>
  <si>
    <t>temp</t>
  </si>
  <si>
    <t>25fe 25B3</t>
  </si>
  <si>
    <t>25fe 25B4</t>
  </si>
  <si>
    <t>30fe 30B2</t>
  </si>
  <si>
    <t>110a</t>
  </si>
  <si>
    <t>e1</t>
  </si>
  <si>
    <t>i</t>
  </si>
  <si>
    <t>j</t>
  </si>
  <si>
    <t>k</t>
  </si>
  <si>
    <t>l</t>
  </si>
  <si>
    <t>j1</t>
  </si>
  <si>
    <t>m</t>
  </si>
  <si>
    <t>111b</t>
  </si>
  <si>
    <t>10x10x10</t>
  </si>
  <si>
    <t>30x8x8</t>
  </si>
  <si>
    <t>111 shift</t>
  </si>
  <si>
    <t>20x8x8</t>
  </si>
  <si>
    <t>30x10x10</t>
  </si>
  <si>
    <t>30x7x7</t>
  </si>
  <si>
    <t>20x7x7</t>
  </si>
  <si>
    <t>TOTALS</t>
  </si>
  <si>
    <t>100 K</t>
  </si>
  <si>
    <t>30x6x6</t>
  </si>
  <si>
    <t>40x6x6</t>
  </si>
  <si>
    <t>50x6x6</t>
  </si>
  <si>
    <t>average a0</t>
  </si>
  <si>
    <t>111 shift x</t>
  </si>
  <si>
    <t>30x7x7 x</t>
  </si>
  <si>
    <t>20x7x7 x</t>
  </si>
  <si>
    <t>40x6x6 x</t>
  </si>
  <si>
    <t>n</t>
  </si>
  <si>
    <t>o</t>
  </si>
  <si>
    <t>30x6x6 x</t>
  </si>
  <si>
    <t>40x7x7 x</t>
  </si>
  <si>
    <t>p</t>
  </si>
  <si>
    <t>40x7x7</t>
  </si>
  <si>
    <t>l2</t>
  </si>
  <si>
    <t>l3</t>
  </si>
  <si>
    <t>l4</t>
  </si>
  <si>
    <t>m2</t>
  </si>
  <si>
    <t>m3</t>
  </si>
  <si>
    <t>m4</t>
  </si>
  <si>
    <t>n2</t>
  </si>
  <si>
    <t>n3</t>
  </si>
  <si>
    <t>n4</t>
  </si>
  <si>
    <t>o2</t>
  </si>
  <si>
    <t>o3</t>
  </si>
  <si>
    <t>o4</t>
  </si>
  <si>
    <t>p2</t>
  </si>
  <si>
    <t>p3</t>
  </si>
  <si>
    <t>p4</t>
  </si>
  <si>
    <t>110 shiftx</t>
  </si>
  <si>
    <t>b1</t>
  </si>
  <si>
    <t>bcc cubic</t>
  </si>
  <si>
    <t>B2 NiAl</t>
  </si>
  <si>
    <t>100 shiftx</t>
  </si>
  <si>
    <t>b2</t>
  </si>
  <si>
    <t>a_sw</t>
  </si>
  <si>
    <t>a_sw1</t>
  </si>
  <si>
    <t>fe - al swap</t>
  </si>
  <si>
    <t>fe-ni swap</t>
  </si>
  <si>
    <t>75k</t>
  </si>
  <si>
    <t>150k</t>
  </si>
  <si>
    <t>300k</t>
  </si>
  <si>
    <t>e 100K</t>
  </si>
  <si>
    <t>d 300K</t>
  </si>
  <si>
    <t>fe - ni swap</t>
  </si>
  <si>
    <t>fe-al swap</t>
  </si>
  <si>
    <t>b_sw</t>
  </si>
  <si>
    <t>layer test</t>
  </si>
  <si>
    <t>B2 feal</t>
  </si>
  <si>
    <t>B2 feni</t>
  </si>
  <si>
    <t>EaAd</t>
  </si>
  <si>
    <t>l5</t>
  </si>
  <si>
    <t># of steps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</si>
</sst>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0" fontId="0" fillId="0" borderId="0" xfId="0" applyFill="1" applyBorder="1"/>
    <xf numFmtId="0" fontId="6" fillId="0" borderId="0" xfId="0" applyFont="1"/>
  </cellXfs>
  <cellStyles count="6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05234128342701"/>
                  <c:y val="-9.1672788293415602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('original work'!$C$58,'original work'!$C$65,'original work'!$C$70,'original work'!$C$72)</c:f>
              <c:numCache>
                <c:formatCode>General</c:formatCode>
                <c:ptCount val="4"/>
                <c:pt idx="0">
                  <c:v>10000</c:v>
                </c:pt>
                <c:pt idx="1">
                  <c:v>40000</c:v>
                </c:pt>
                <c:pt idx="2">
                  <c:v>14400</c:v>
                </c:pt>
                <c:pt idx="3">
                  <c:v>20000</c:v>
                </c:pt>
              </c:numCache>
            </c:numRef>
          </c:xVal>
          <c:yVal>
            <c:numRef>
              <c:f>('original work'!$D$58,'original work'!$D$65,'original work'!$D$70,'original work'!$D$72)</c:f>
              <c:numCache>
                <c:formatCode>General</c:formatCode>
                <c:ptCount val="4"/>
                <c:pt idx="0">
                  <c:v>-43195.808110999998</c:v>
                </c:pt>
                <c:pt idx="1">
                  <c:v>-172662.190172</c:v>
                </c:pt>
                <c:pt idx="2">
                  <c:v>-62200.066125899997</c:v>
                </c:pt>
                <c:pt idx="3">
                  <c:v>-86347.037322999997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E-8F4D-B8FA-2D51616D7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42896"/>
        <c:axId val="290145432"/>
      </c:scatterChart>
      <c:valAx>
        <c:axId val="2483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45432"/>
        <c:crosses val="autoZero"/>
        <c:crossBetween val="midCat"/>
      </c:valAx>
      <c:valAx>
        <c:axId val="290145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66185476815"/>
          <c:y val="4.1666666666666699E-2"/>
          <c:w val="0.69147375328084004"/>
          <c:h val="0.879629629629629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'110'!$P$8:$P$19</c:f>
              <c:numCache>
                <c:formatCode>General</c:formatCode>
                <c:ptCount val="12"/>
                <c:pt idx="0">
                  <c:v>-0.60533284505208351</c:v>
                </c:pt>
                <c:pt idx="1">
                  <c:v>-0.6053068033854172</c:v>
                </c:pt>
                <c:pt idx="2">
                  <c:v>-0.6053198242187503</c:v>
                </c:pt>
                <c:pt idx="3">
                  <c:v>-0.6053068033854172</c:v>
                </c:pt>
                <c:pt idx="4">
                  <c:v>-0.60494384765624976</c:v>
                </c:pt>
                <c:pt idx="5">
                  <c:v>-0.60482666015624953</c:v>
                </c:pt>
                <c:pt idx="6">
                  <c:v>-0.60487874348958315</c:v>
                </c:pt>
                <c:pt idx="7">
                  <c:v>-0.60493082682291666</c:v>
                </c:pt>
                <c:pt idx="8">
                  <c:v>-0.60447672526041696</c:v>
                </c:pt>
                <c:pt idx="9">
                  <c:v>-0.60434651692708363</c:v>
                </c:pt>
                <c:pt idx="10">
                  <c:v>-0.60441162109375024</c:v>
                </c:pt>
                <c:pt idx="11">
                  <c:v>-0.60429443359375012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4-BA40-AC85-2355A950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84952"/>
        <c:axId val="290786128"/>
      </c:scatterChart>
      <c:valAx>
        <c:axId val="29078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0786128"/>
        <c:crosses val="autoZero"/>
        <c:crossBetween val="midCat"/>
      </c:valAx>
      <c:valAx>
        <c:axId val="290786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0784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66185476815"/>
          <c:y val="4.1666666666666699E-2"/>
          <c:w val="0.83314041994750698"/>
          <c:h val="0.879629629629629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'110'!$B$57:$B$59</c:f>
              <c:numCache>
                <c:formatCode>General</c:formatCode>
                <c:ptCount val="3"/>
                <c:pt idx="0">
                  <c:v>99.871399999999994</c:v>
                </c:pt>
                <c:pt idx="1">
                  <c:v>99.790599999999998</c:v>
                </c:pt>
                <c:pt idx="2">
                  <c:v>99.871799999999993</c:v>
                </c:pt>
              </c:numCache>
            </c:numRef>
          </c:xVal>
          <c:yVal>
            <c:numRef>
              <c:f>'110'!$L$57:$L$59</c:f>
              <c:numCache>
                <c:formatCode>General</c:formatCode>
                <c:ptCount val="3"/>
                <c:pt idx="0">
                  <c:v>-0.50911757936038926</c:v>
                </c:pt>
                <c:pt idx="1">
                  <c:v>-0.51236391319343577</c:v>
                </c:pt>
                <c:pt idx="2">
                  <c:v>-0.50943268260599861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F-7A4B-BF1C-D9A18B7BC53A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'110'!$B$64:$B$69</c:f>
              <c:numCache>
                <c:formatCode>General</c:formatCode>
                <c:ptCount val="6"/>
                <c:pt idx="0">
                  <c:v>299.428</c:v>
                </c:pt>
                <c:pt idx="1">
                  <c:v>299.61799999999999</c:v>
                </c:pt>
                <c:pt idx="2">
                  <c:v>299.13299999999998</c:v>
                </c:pt>
                <c:pt idx="3">
                  <c:v>299.786</c:v>
                </c:pt>
                <c:pt idx="4">
                  <c:v>299.22399999999999</c:v>
                </c:pt>
                <c:pt idx="5">
                  <c:v>299.57499999999999</c:v>
                </c:pt>
              </c:numCache>
            </c:numRef>
          </c:xVal>
          <c:yVal>
            <c:numRef>
              <c:f>'110'!$L$64:$L$69</c:f>
              <c:numCache>
                <c:formatCode>General</c:formatCode>
                <c:ptCount val="6"/>
                <c:pt idx="0">
                  <c:v>-0.49756782342787526</c:v>
                </c:pt>
                <c:pt idx="1">
                  <c:v>-0.4932175036602624</c:v>
                </c:pt>
                <c:pt idx="2">
                  <c:v>-0.50439636022610035</c:v>
                </c:pt>
                <c:pt idx="3">
                  <c:v>-0.48506156922557436</c:v>
                </c:pt>
                <c:pt idx="4">
                  <c:v>-0.48032635185197392</c:v>
                </c:pt>
                <c:pt idx="5">
                  <c:v>-0.4902699552050192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F-7A4B-BF1C-D9A18B7BC53A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'110'!$B$71:$B$76</c:f>
              <c:numCache>
                <c:formatCode>General</c:formatCode>
                <c:ptCount val="6"/>
                <c:pt idx="0">
                  <c:v>498.84100000000001</c:v>
                </c:pt>
                <c:pt idx="1">
                  <c:v>499.14800000000002</c:v>
                </c:pt>
                <c:pt idx="2">
                  <c:v>497.80500000000001</c:v>
                </c:pt>
                <c:pt idx="3">
                  <c:v>499.42700000000002</c:v>
                </c:pt>
                <c:pt idx="4">
                  <c:v>498.14499999999998</c:v>
                </c:pt>
                <c:pt idx="5">
                  <c:v>498.452</c:v>
                </c:pt>
              </c:numCache>
            </c:numRef>
          </c:xVal>
          <c:yVal>
            <c:numRef>
              <c:f>'110'!$L$71:$L$76</c:f>
              <c:numCache>
                <c:formatCode>General</c:formatCode>
                <c:ptCount val="6"/>
                <c:pt idx="0">
                  <c:v>-0.49144850491896214</c:v>
                </c:pt>
                <c:pt idx="1">
                  <c:v>-0.4838711050634143</c:v>
                </c:pt>
                <c:pt idx="2">
                  <c:v>-0.51959161932309961</c:v>
                </c:pt>
                <c:pt idx="3">
                  <c:v>-0.47725452441533966</c:v>
                </c:pt>
                <c:pt idx="4">
                  <c:v>-0.50745777429286076</c:v>
                </c:pt>
                <c:pt idx="5">
                  <c:v>-0.49897461670090221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F-7A4B-BF1C-D9A18B7BC53A}"/>
            </c:ext>
          </c:extLst>
        </c:ser>
        <c:ser>
          <c:idx val="3"/>
          <c:order val="3"/>
          <c:spPr>
            <a:ln w="47625">
              <a:solidFill>
                <a:schemeClr val="accent4"/>
              </a:solidFill>
            </a:ln>
          </c:spPr>
          <c:xVal>
            <c:numRef>
              <c:f>('110'!$A$56,'110'!$A$63,'110'!$A$70)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</c:numCache>
            </c:numRef>
          </c:xVal>
          <c:yVal>
            <c:numRef>
              <c:f>('110'!$N$59,'110'!$N$69,'110'!$N$76)</c:f>
              <c:numCache>
                <c:formatCode>General</c:formatCode>
                <c:ptCount val="3"/>
                <c:pt idx="0">
                  <c:v>-0.51030472505327451</c:v>
                </c:pt>
                <c:pt idx="1">
                  <c:v>-0.49180659393280091</c:v>
                </c:pt>
                <c:pt idx="2">
                  <c:v>-0.49643302411909646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4F-7A4B-BF1C-D9A18B7B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87304"/>
        <c:axId val="291042976"/>
      </c:scatterChart>
      <c:valAx>
        <c:axId val="29078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042976"/>
        <c:crosses val="autoZero"/>
        <c:crossBetween val="midCat"/>
      </c:valAx>
      <c:valAx>
        <c:axId val="291042976"/>
        <c:scaling>
          <c:orientation val="minMax"/>
          <c:max val="-0.4"/>
          <c:min val="-0.55000000000000004"/>
        </c:scaling>
        <c:delete val="0"/>
        <c:axPos val="l"/>
        <c:numFmt formatCode="General" sourceLinked="1"/>
        <c:majorTickMark val="out"/>
        <c:minorTickMark val="none"/>
        <c:tickLblPos val="nextTo"/>
        <c:crossAx val="290787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'111'!$B$45:$B$47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xVal>
          <c:yVal>
            <c:numRef>
              <c:f>'111'!$L$45:$L$47</c:f>
              <c:numCache>
                <c:formatCode>General</c:formatCode>
                <c:ptCount val="3"/>
                <c:pt idx="0">
                  <c:v>-0.38466701695149863</c:v>
                </c:pt>
                <c:pt idx="1">
                  <c:v>-0.38761069556652539</c:v>
                </c:pt>
                <c:pt idx="2">
                  <c:v>-0.38316111406390807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4-E445-94DC-B401C20D3BD9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'111'!$B$59:$B$70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xVal>
          <c:yVal>
            <c:numRef>
              <c:f>'111'!$L$59:$L$70</c:f>
              <c:numCache>
                <c:formatCode>General</c:formatCode>
                <c:ptCount val="12"/>
                <c:pt idx="0">
                  <c:v>-0.37892845888428273</c:v>
                </c:pt>
                <c:pt idx="1">
                  <c:v>-0.39634341390864586</c:v>
                </c:pt>
                <c:pt idx="2">
                  <c:v>-0.39053842890052481</c:v>
                </c:pt>
                <c:pt idx="3">
                  <c:v>-0.38473344389240377</c:v>
                </c:pt>
                <c:pt idx="4">
                  <c:v>-0.38806862277902365</c:v>
                </c:pt>
                <c:pt idx="5">
                  <c:v>-0.38226363777090255</c:v>
                </c:pt>
                <c:pt idx="6">
                  <c:v>-0.3938736077871447</c:v>
                </c:pt>
                <c:pt idx="7">
                  <c:v>-0.38226363777090255</c:v>
                </c:pt>
                <c:pt idx="8">
                  <c:v>-0.37962496790425732</c:v>
                </c:pt>
                <c:pt idx="9">
                  <c:v>-0.38752620682960032</c:v>
                </c:pt>
                <c:pt idx="10">
                  <c:v>-0.35592125112822837</c:v>
                </c:pt>
                <c:pt idx="11">
                  <c:v>-0.38752620682960032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4-E445-94DC-B401C20D3BD9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'111'!$B$79:$B$98</c:f>
              <c:numCache>
                <c:formatCode>General</c:formatCode>
                <c:ptCount val="2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</c:numRef>
          </c:xVal>
          <c:yVal>
            <c:numRef>
              <c:f>'111'!$L$79:$L$98</c:f>
              <c:numCache>
                <c:formatCode>General</c:formatCode>
                <c:ptCount val="20"/>
                <c:pt idx="0">
                  <c:v>-0.39292100391433821</c:v>
                </c:pt>
                <c:pt idx="1">
                  <c:v>-0.38714320229725963</c:v>
                </c:pt>
                <c:pt idx="2">
                  <c:v>-0.37558759906310241</c:v>
                </c:pt>
                <c:pt idx="3">
                  <c:v>-0.39292100391433821</c:v>
                </c:pt>
                <c:pt idx="4">
                  <c:v>-0.3846293236121664</c:v>
                </c:pt>
                <c:pt idx="5">
                  <c:v>-0.3707625997312114</c:v>
                </c:pt>
                <c:pt idx="6">
                  <c:v>-0.37654040134828998</c:v>
                </c:pt>
                <c:pt idx="7">
                  <c:v>-0.39734048716980663</c:v>
                </c:pt>
                <c:pt idx="8">
                  <c:v>-0.36725215071610262</c:v>
                </c:pt>
                <c:pt idx="9">
                  <c:v>-0.39084484710546497</c:v>
                </c:pt>
                <c:pt idx="10">
                  <c:v>-0.36725215071610262</c:v>
                </c:pt>
                <c:pt idx="11">
                  <c:v>-0.39084484710546497</c:v>
                </c:pt>
                <c:pt idx="12">
                  <c:v>-0.37767413072438533</c:v>
                </c:pt>
                <c:pt idx="13">
                  <c:v>-0.37767413072438533</c:v>
                </c:pt>
                <c:pt idx="14">
                  <c:v>-0.37767413072438533</c:v>
                </c:pt>
                <c:pt idx="15">
                  <c:v>-0.41699529137332253</c:v>
                </c:pt>
                <c:pt idx="16">
                  <c:v>-0.39485710243770572</c:v>
                </c:pt>
                <c:pt idx="17">
                  <c:v>-0.4006349040547843</c:v>
                </c:pt>
                <c:pt idx="18">
                  <c:v>-0.38330149920354845</c:v>
                </c:pt>
                <c:pt idx="19">
                  <c:v>-0.38907930082062708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4-E445-94DC-B401C20D3BD9}"/>
            </c:ext>
          </c:extLst>
        </c:ser>
        <c:ser>
          <c:idx val="3"/>
          <c:order val="3"/>
          <c:spPr>
            <a:ln w="47625"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xVal>
            <c:numRef>
              <c:f>('111'!$B$38,'111'!$B$54,'111'!$B$74)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</c:numCache>
            </c:numRef>
          </c:xVal>
          <c:yVal>
            <c:numRef>
              <c:f>('111'!$L$48,'111'!$L$71,'111'!$L$99)</c:f>
              <c:numCache>
                <c:formatCode>General</c:formatCode>
                <c:ptCount val="3"/>
                <c:pt idx="0">
                  <c:v>-0.38514627552731068</c:v>
                </c:pt>
                <c:pt idx="1">
                  <c:v>-0.38396765703212637</c:v>
                </c:pt>
                <c:pt idx="2">
                  <c:v>-0.38559650533783951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F4-E445-94DC-B401C20D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44544"/>
        <c:axId val="291041016"/>
      </c:scatterChart>
      <c:valAx>
        <c:axId val="2910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041016"/>
        <c:crosses val="autoZero"/>
        <c:crossBetween val="midCat"/>
      </c:valAx>
      <c:valAx>
        <c:axId val="291041016"/>
        <c:scaling>
          <c:orientation val="minMax"/>
          <c:max val="-0.3"/>
          <c:min val="-0.45"/>
        </c:scaling>
        <c:delete val="0"/>
        <c:axPos val="l"/>
        <c:numFmt formatCode="General" sourceLinked="1"/>
        <c:majorTickMark val="out"/>
        <c:minorTickMark val="none"/>
        <c:tickLblPos val="nextTo"/>
        <c:crossAx val="29104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'111'!$K$8:$K$10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xVal>
          <c:yVal>
            <c:numRef>
              <c:f>'111'!$Q$8:$Q$10</c:f>
              <c:numCache>
                <c:formatCode>General</c:formatCode>
                <c:ptCount val="3"/>
                <c:pt idx="0">
                  <c:v>-0.60532363303394254</c:v>
                </c:pt>
                <c:pt idx="1">
                  <c:v>-0.60529245389562103</c:v>
                </c:pt>
                <c:pt idx="2">
                  <c:v>-0.60533284505208329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3-A14B-9095-74B8FCEADDF8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'111'!$K$11:$K$13</c:f>
              <c:numCache>
                <c:formatCode>General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</c:numCache>
            </c:numRef>
          </c:xVal>
          <c:yVal>
            <c:numRef>
              <c:f>'111'!$Q$11:$Q$13</c:f>
              <c:numCache>
                <c:formatCode>General</c:formatCode>
                <c:ptCount val="3"/>
                <c:pt idx="0">
                  <c:v>-0.60493233263357404</c:v>
                </c:pt>
                <c:pt idx="1">
                  <c:v>-0.60495500837053529</c:v>
                </c:pt>
                <c:pt idx="2">
                  <c:v>-0.604883083767361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3-A14B-9095-74B8FCEADDF8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'111'!$K$14:$K$18</c:f>
              <c:numCache>
                <c:formatCode>General</c:formatCode>
                <c:ptCount val="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</c:numCache>
            </c:numRef>
          </c:xVal>
          <c:yVal>
            <c:numRef>
              <c:f>'111'!$Q$14:$Q$18</c:f>
              <c:numCache>
                <c:formatCode>General</c:formatCode>
                <c:ptCount val="5"/>
                <c:pt idx="0">
                  <c:v>-0.60439257701778626</c:v>
                </c:pt>
                <c:pt idx="1">
                  <c:v>-0.60441241828762771</c:v>
                </c:pt>
                <c:pt idx="2">
                  <c:v>-0.60435230396412043</c:v>
                </c:pt>
                <c:pt idx="3">
                  <c:v>-0.60447383174189828</c:v>
                </c:pt>
                <c:pt idx="4">
                  <c:v>-0.60439541148490694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3-A14B-9095-74B8FCEA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43760"/>
        <c:axId val="291039840"/>
      </c:scatterChart>
      <c:valAx>
        <c:axId val="29104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039840"/>
        <c:crosses val="autoZero"/>
        <c:crossBetween val="midCat"/>
      </c:valAx>
      <c:valAx>
        <c:axId val="29103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104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'111'!$D$10:$D$20</c:f>
              <c:numCache>
                <c:formatCode>General</c:formatCode>
                <c:ptCount val="11"/>
                <c:pt idx="0">
                  <c:v>-4.1089058956916107</c:v>
                </c:pt>
                <c:pt idx="1">
                  <c:v>-4.1088945578231293</c:v>
                </c:pt>
                <c:pt idx="2">
                  <c:v>-4.1088946759259262</c:v>
                </c:pt>
                <c:pt idx="3">
                  <c:v>-4.0814852607709744</c:v>
                </c:pt>
                <c:pt idx="4">
                  <c:v>-4.0815221088435374</c:v>
                </c:pt>
                <c:pt idx="5">
                  <c:v>-4.0813599537037035</c:v>
                </c:pt>
                <c:pt idx="6">
                  <c:v>-4.0531916099773246</c:v>
                </c:pt>
                <c:pt idx="7">
                  <c:v>-4.0535119047619048</c:v>
                </c:pt>
                <c:pt idx="8">
                  <c:v>-4.0532118055555557</c:v>
                </c:pt>
                <c:pt idx="9">
                  <c:v>-4.0533641975308639</c:v>
                </c:pt>
                <c:pt idx="10">
                  <c:v>-4.0531802721088432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7-434A-BDDE-084424D3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39448"/>
        <c:axId val="291044936"/>
      </c:scatterChart>
      <c:valAx>
        <c:axId val="29103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044936"/>
        <c:crosses val="autoZero"/>
        <c:crossBetween val="midCat"/>
      </c:valAx>
      <c:valAx>
        <c:axId val="291044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1039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Fe</a:t>
            </a:r>
            <a:r>
              <a:rPr lang="en-US" sz="1400" baseline="0"/>
              <a:t> Vacancy Eform Near Interface</a:t>
            </a:r>
            <a:endParaRPr lang="en-US" sz="1400"/>
          </a:p>
        </c:rich>
      </c:tx>
      <c:layout>
        <c:manualLayout>
          <c:xMode val="edge"/>
          <c:yMode val="edge"/>
          <c:x val="0.12721292650918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791065179353"/>
          <c:y val="0.114942528735632"/>
          <c:w val="0.81739583333333299"/>
          <c:h val="0.74093510724952505"/>
        </c:manualLayout>
      </c:layout>
      <c:scatterChart>
        <c:scatterStyle val="lineMarker"/>
        <c:varyColors val="0"/>
        <c:ser>
          <c:idx val="0"/>
          <c:order val="0"/>
          <c:tx>
            <c:v>Ni face</c:v>
          </c:tx>
          <c:spPr>
            <a:ln w="47625">
              <a:solidFill>
                <a:schemeClr val="accent1"/>
              </a:solidFill>
            </a:ln>
          </c:spPr>
          <c:xVal>
            <c:numRef>
              <c:f>('0K vacancy'!$B$44,'0K vacancy'!$B$41,'0K vacancy'!$B$46,'0K vacancy'!$B$45,'0K vacancy'!$B$47,'0K vacancy'!$B$48)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-4.5</c:v>
                </c:pt>
                <c:pt idx="3">
                  <c:v>-3</c:v>
                </c:pt>
                <c:pt idx="4">
                  <c:v>-6</c:v>
                </c:pt>
                <c:pt idx="5">
                  <c:v>-10</c:v>
                </c:pt>
              </c:numCache>
            </c:numRef>
          </c:xVal>
          <c:yVal>
            <c:numRef>
              <c:f>('0K vacancy'!$N$44,'0K vacancy'!$N$41,'0K vacancy'!$N$46,'0K vacancy'!$N$45,'0K vacancy'!$N$47,'0K vacancy'!$N$48)</c:f>
              <c:numCache>
                <c:formatCode>General</c:formatCode>
                <c:ptCount val="6"/>
                <c:pt idx="0">
                  <c:v>1.7510506812796081</c:v>
                </c:pt>
                <c:pt idx="1">
                  <c:v>1.9355765950807928</c:v>
                </c:pt>
                <c:pt idx="2">
                  <c:v>1.740365381283496</c:v>
                </c:pt>
                <c:pt idx="3">
                  <c:v>1.741971681283772</c:v>
                </c:pt>
                <c:pt idx="4">
                  <c:v>1.740816481284142</c:v>
                </c:pt>
                <c:pt idx="5">
                  <c:v>1.7422837950784107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9-374B-8CD6-6EC1AA36F79E}"/>
            </c:ext>
          </c:extLst>
        </c:ser>
        <c:ser>
          <c:idx val="1"/>
          <c:order val="1"/>
          <c:tx>
            <c:v>Al face</c:v>
          </c:tx>
          <c:spPr>
            <a:ln w="47625">
              <a:solidFill>
                <a:schemeClr val="accent2"/>
              </a:solidFill>
            </a:ln>
          </c:spPr>
          <c:xVal>
            <c:numRef>
              <c:f>'0K vacancy'!$O$50:$O$55</c:f>
              <c:numCache>
                <c:formatCode>General</c:formatCode>
                <c:ptCount val="6"/>
                <c:pt idx="0">
                  <c:v>1.4274709360900499</c:v>
                </c:pt>
                <c:pt idx="1">
                  <c:v>2.8549418721800999</c:v>
                </c:pt>
                <c:pt idx="2">
                  <c:v>4.2824128082701503</c:v>
                </c:pt>
                <c:pt idx="3">
                  <c:v>5.7098837443601997</c:v>
                </c:pt>
                <c:pt idx="4">
                  <c:v>7.1373546804502492</c:v>
                </c:pt>
                <c:pt idx="5">
                  <c:v>12.847238424810449</c:v>
                </c:pt>
              </c:numCache>
            </c:numRef>
          </c:xVal>
          <c:yVal>
            <c:numRef>
              <c:f>'0K vacancy'!$N$50:$N$55</c:f>
              <c:numCache>
                <c:formatCode>General</c:formatCode>
                <c:ptCount val="6"/>
                <c:pt idx="0">
                  <c:v>1.7626985812785421</c:v>
                </c:pt>
                <c:pt idx="1">
                  <c:v>1.8775371812844384</c:v>
                </c:pt>
                <c:pt idx="2">
                  <c:v>1.7682216812791154</c:v>
                </c:pt>
                <c:pt idx="3">
                  <c:v>1.7295831812844114</c:v>
                </c:pt>
                <c:pt idx="4">
                  <c:v>1.7329579812831213</c:v>
                </c:pt>
                <c:pt idx="5">
                  <c:v>1.7352560812833104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9-374B-8CD6-6EC1AA36F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38272"/>
        <c:axId val="291037488"/>
      </c:scatterChart>
      <c:valAx>
        <c:axId val="291038272"/>
        <c:scaling>
          <c:orientation val="minMax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from Interface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037488"/>
        <c:crosses val="autoZero"/>
        <c:crossBetween val="midCat"/>
      </c:valAx>
      <c:valAx>
        <c:axId val="291037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Formation Energy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91038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27869328833895801"/>
          <c:y val="0.63840126261750296"/>
          <c:w val="0.42220499223311397"/>
          <c:h val="7.9660411391307404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Fe</a:t>
            </a:r>
            <a:r>
              <a:rPr lang="en-US" sz="1400" baseline="0"/>
              <a:t> Octahedral Eform Near Interface</a:t>
            </a:r>
            <a:endParaRPr lang="en-US" sz="1400"/>
          </a:p>
        </c:rich>
      </c:tx>
      <c:layout>
        <c:manualLayout>
          <c:xMode val="edge"/>
          <c:yMode val="edge"/>
          <c:x val="0.1827684820647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791065179353"/>
          <c:y val="0.114942528735632"/>
          <c:w val="0.81739583333333299"/>
          <c:h val="0.74093510724952505"/>
        </c:manualLayout>
      </c:layout>
      <c:scatterChart>
        <c:scatterStyle val="lineMarker"/>
        <c:varyColors val="0"/>
        <c:ser>
          <c:idx val="0"/>
          <c:order val="0"/>
          <c:tx>
            <c:v>Ni face</c:v>
          </c:tx>
          <c:spPr>
            <a:ln w="47625">
              <a:solidFill>
                <a:schemeClr val="accent2"/>
              </a:solidFill>
            </a:ln>
          </c:spPr>
          <c:xVal>
            <c:numRef>
              <c:f>('0K vacancy'!$B$57,'0K vacancy'!$B$61,'0K vacancy'!$B$59,'0K vacancy'!$B$62,'0K vacancy'!$B$60,'0K vacancy'!$B$63)</c:f>
              <c:numCache>
                <c:formatCode>General</c:formatCode>
                <c:ptCount val="6"/>
                <c:pt idx="0">
                  <c:v>-0.5</c:v>
                </c:pt>
                <c:pt idx="1">
                  <c:v>-2.5</c:v>
                </c:pt>
                <c:pt idx="2">
                  <c:v>-1.5</c:v>
                </c:pt>
                <c:pt idx="3">
                  <c:v>-4</c:v>
                </c:pt>
                <c:pt idx="4">
                  <c:v>-2</c:v>
                </c:pt>
                <c:pt idx="5">
                  <c:v>-10.5</c:v>
                </c:pt>
              </c:numCache>
            </c:numRef>
          </c:xVal>
          <c:yVal>
            <c:numRef>
              <c:f>('0K vacancy'!$M$57,'0K vacancy'!$M$61,'0K vacancy'!$M$59,'0K vacancy'!$M$62,'0K vacancy'!$M$60,'0K vacancy'!$M$63)</c:f>
              <c:numCache>
                <c:formatCode>General</c:formatCode>
                <c:ptCount val="6"/>
                <c:pt idx="0">
                  <c:v>4.1846753372265084</c:v>
                </c:pt>
                <c:pt idx="1">
                  <c:v>4.242636637227406</c:v>
                </c:pt>
                <c:pt idx="2">
                  <c:v>4.2314016372292826</c:v>
                </c:pt>
                <c:pt idx="3">
                  <c:v>4.2376955372274097</c:v>
                </c:pt>
                <c:pt idx="4">
                  <c:v>4.1388714372333197</c:v>
                </c:pt>
                <c:pt idx="5">
                  <c:v>4.2281785372288141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1-7845-B8ED-E92DB4DD2504}"/>
            </c:ext>
          </c:extLst>
        </c:ser>
        <c:ser>
          <c:idx val="1"/>
          <c:order val="1"/>
          <c:tx>
            <c:v>Al face</c:v>
          </c:tx>
          <c:spPr>
            <a:ln w="47625">
              <a:solidFill>
                <a:schemeClr val="accent2"/>
              </a:solidFill>
            </a:ln>
          </c:spPr>
          <c:xVal>
            <c:numRef>
              <c:f>'0K vacancy'!$O$64:$O$69</c:f>
              <c:numCache>
                <c:formatCode>General</c:formatCode>
                <c:ptCount val="6"/>
                <c:pt idx="0">
                  <c:v>1.4274709360900499</c:v>
                </c:pt>
                <c:pt idx="1">
                  <c:v>2.8549418721800999</c:v>
                </c:pt>
                <c:pt idx="2">
                  <c:v>4.2824128082701503</c:v>
                </c:pt>
                <c:pt idx="3">
                  <c:v>5.7098837443601997</c:v>
                </c:pt>
                <c:pt idx="4">
                  <c:v>7.1373546804502492</c:v>
                </c:pt>
                <c:pt idx="5">
                  <c:v>12.847238424810449</c:v>
                </c:pt>
              </c:numCache>
            </c:numRef>
          </c:xVal>
          <c:yVal>
            <c:numRef>
              <c:f>'0K vacancy'!$M$64:$M$69</c:f>
              <c:numCache>
                <c:formatCode>General</c:formatCode>
                <c:ptCount val="6"/>
                <c:pt idx="0">
                  <c:v>4.1661010372299643</c:v>
                </c:pt>
                <c:pt idx="1">
                  <c:v>4.0352799372303707</c:v>
                </c:pt>
                <c:pt idx="2">
                  <c:v>4.1062412372302788</c:v>
                </c:pt>
                <c:pt idx="3">
                  <c:v>4.227714837226813</c:v>
                </c:pt>
                <c:pt idx="4">
                  <c:v>4.2187210372321715</c:v>
                </c:pt>
                <c:pt idx="5">
                  <c:v>4.2462288372298644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1-7845-B8ED-E92DB4DD2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38664"/>
        <c:axId val="291039056"/>
      </c:scatterChart>
      <c:valAx>
        <c:axId val="291038664"/>
        <c:scaling>
          <c:orientation val="minMax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from Interface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039056"/>
        <c:crosses val="autoZero"/>
        <c:crossBetween val="midCat"/>
      </c:valAx>
      <c:valAx>
        <c:axId val="291039056"/>
        <c:scaling>
          <c:orientation val="minMax"/>
          <c:max val="5"/>
          <c:min val="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Formation Energy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910386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Fe</a:t>
            </a:r>
            <a:r>
              <a:rPr lang="en-US" sz="1400" baseline="0"/>
              <a:t> Octahedral Eform Near Interface</a:t>
            </a:r>
            <a:endParaRPr lang="en-US" sz="1400"/>
          </a:p>
        </c:rich>
      </c:tx>
      <c:layout>
        <c:manualLayout>
          <c:xMode val="edge"/>
          <c:yMode val="edge"/>
          <c:x val="0.1827684820647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791065179353"/>
          <c:y val="0.114942528735632"/>
          <c:w val="0.81739583333333299"/>
          <c:h val="0.740935107249525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'0K vacancy'!$O$64:$O$69</c:f>
              <c:numCache>
                <c:formatCode>General</c:formatCode>
                <c:ptCount val="6"/>
                <c:pt idx="0">
                  <c:v>1.4274709360900499</c:v>
                </c:pt>
                <c:pt idx="1">
                  <c:v>2.8549418721800999</c:v>
                </c:pt>
                <c:pt idx="2">
                  <c:v>4.2824128082701503</c:v>
                </c:pt>
                <c:pt idx="3">
                  <c:v>5.7098837443601997</c:v>
                </c:pt>
                <c:pt idx="4">
                  <c:v>7.1373546804502492</c:v>
                </c:pt>
                <c:pt idx="5">
                  <c:v>12.847238424810449</c:v>
                </c:pt>
              </c:numCache>
            </c:numRef>
          </c:xVal>
          <c:yVal>
            <c:numRef>
              <c:f>'0K vacancy'!$M$64:$M$69</c:f>
              <c:numCache>
                <c:formatCode>General</c:formatCode>
                <c:ptCount val="6"/>
                <c:pt idx="0">
                  <c:v>4.1661010372299643</c:v>
                </c:pt>
                <c:pt idx="1">
                  <c:v>4.0352799372303707</c:v>
                </c:pt>
                <c:pt idx="2">
                  <c:v>4.1062412372302788</c:v>
                </c:pt>
                <c:pt idx="3">
                  <c:v>4.227714837226813</c:v>
                </c:pt>
                <c:pt idx="4">
                  <c:v>4.2187210372321715</c:v>
                </c:pt>
                <c:pt idx="5">
                  <c:v>4.2462288372298644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2-8346-87EC-9D1BABE1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40232"/>
        <c:axId val="291040624"/>
      </c:scatterChart>
      <c:valAx>
        <c:axId val="291040232"/>
        <c:scaling>
          <c:orientation val="minMax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from Interface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040624"/>
        <c:crosses val="autoZero"/>
        <c:crossBetween val="midCat"/>
      </c:valAx>
      <c:valAx>
        <c:axId val="291040624"/>
        <c:scaling>
          <c:orientation val="minMax"/>
          <c:max val="5"/>
          <c:min val="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Formation Energy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910402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('0K vacancy'!$O$40,'0K vacancy'!$O$42:$O$46)</c:f>
              <c:numCache>
                <c:formatCode>General</c:formatCode>
                <c:ptCount val="6"/>
                <c:pt idx="0">
                  <c:v>1.4274709360900499</c:v>
                </c:pt>
                <c:pt idx="1">
                  <c:v>2.8549418721800999</c:v>
                </c:pt>
                <c:pt idx="2">
                  <c:v>4.2824128082701503</c:v>
                </c:pt>
                <c:pt idx="3">
                  <c:v>5.7098837443601997</c:v>
                </c:pt>
                <c:pt idx="4">
                  <c:v>8.5648256165403005</c:v>
                </c:pt>
                <c:pt idx="5">
                  <c:v>12.847238424810449</c:v>
                </c:pt>
              </c:numCache>
            </c:numRef>
          </c:xVal>
          <c:yVal>
            <c:numRef>
              <c:f>('0K vacancy'!$N$40,'0K vacancy'!$N$42:$N$46)</c:f>
              <c:numCache>
                <c:formatCode>General</c:formatCode>
                <c:ptCount val="6"/>
                <c:pt idx="0">
                  <c:v>0.98743868128441648</c:v>
                </c:pt>
                <c:pt idx="1">
                  <c:v>1.9339664812832922</c:v>
                </c:pt>
                <c:pt idx="2">
                  <c:v>1.78815868128369</c:v>
                </c:pt>
                <c:pt idx="3">
                  <c:v>1.7510506812796081</c:v>
                </c:pt>
                <c:pt idx="4">
                  <c:v>1.741971681283772</c:v>
                </c:pt>
                <c:pt idx="5">
                  <c:v>1.740365381283496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8-C34D-AABB-35F9EFEE9E03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'0K vacancy'!$O$50:$O$55</c:f>
              <c:numCache>
                <c:formatCode>General</c:formatCode>
                <c:ptCount val="6"/>
                <c:pt idx="0">
                  <c:v>1.4274709360900499</c:v>
                </c:pt>
                <c:pt idx="1">
                  <c:v>2.8549418721800999</c:v>
                </c:pt>
                <c:pt idx="2">
                  <c:v>4.2824128082701503</c:v>
                </c:pt>
                <c:pt idx="3">
                  <c:v>5.7098837443601997</c:v>
                </c:pt>
                <c:pt idx="4">
                  <c:v>7.1373546804502492</c:v>
                </c:pt>
                <c:pt idx="5">
                  <c:v>12.847238424810449</c:v>
                </c:pt>
              </c:numCache>
            </c:numRef>
          </c:xVal>
          <c:yVal>
            <c:numRef>
              <c:f>'0K vacancy'!$N$50:$N$55</c:f>
              <c:numCache>
                <c:formatCode>General</c:formatCode>
                <c:ptCount val="6"/>
                <c:pt idx="0">
                  <c:v>1.7626985812785421</c:v>
                </c:pt>
                <c:pt idx="1">
                  <c:v>1.8775371812844384</c:v>
                </c:pt>
                <c:pt idx="2">
                  <c:v>1.7682216812791154</c:v>
                </c:pt>
                <c:pt idx="3">
                  <c:v>1.7295831812844114</c:v>
                </c:pt>
                <c:pt idx="4">
                  <c:v>1.7329579812831213</c:v>
                </c:pt>
                <c:pt idx="5">
                  <c:v>1.7352560812833104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8-C34D-AABB-35F9EFEE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99472"/>
        <c:axId val="314296336"/>
      </c:scatterChart>
      <c:valAx>
        <c:axId val="31429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Depth from Interface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296336"/>
        <c:crosses val="autoZero"/>
        <c:crossBetween val="midCat"/>
      </c:valAx>
      <c:valAx>
        <c:axId val="31429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299472"/>
        <c:crosses val="autoZero"/>
        <c:crossBetween val="midCat"/>
        <c:majorUnit val="0.2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'0K vacancy'!$O$57:$O$62</c:f>
              <c:numCache>
                <c:formatCode>General</c:formatCode>
                <c:ptCount val="6"/>
                <c:pt idx="0">
                  <c:v>1.4274709360900499</c:v>
                </c:pt>
                <c:pt idx="1">
                  <c:v>2.8549418721800999</c:v>
                </c:pt>
                <c:pt idx="2">
                  <c:v>4.2824128082701503</c:v>
                </c:pt>
                <c:pt idx="3">
                  <c:v>5.7098837443601997</c:v>
                </c:pt>
                <c:pt idx="4">
                  <c:v>7.1373546804502492</c:v>
                </c:pt>
                <c:pt idx="5">
                  <c:v>11.419767488720399</c:v>
                </c:pt>
              </c:numCache>
            </c:numRef>
          </c:xVal>
          <c:yVal>
            <c:numRef>
              <c:f>'0K vacancy'!$N$57:$N$62</c:f>
              <c:numCache>
                <c:formatCode>General</c:formatCode>
                <c:ptCount val="6"/>
                <c:pt idx="0">
                  <c:v>3.8833499187203273</c:v>
                </c:pt>
                <c:pt idx="1">
                  <c:v>3.3772739187224801</c:v>
                </c:pt>
                <c:pt idx="2">
                  <c:v>3.9300762187231015</c:v>
                </c:pt>
                <c:pt idx="3">
                  <c:v>3.8375460187271386</c:v>
                </c:pt>
                <c:pt idx="4">
                  <c:v>3.9413112187212249</c:v>
                </c:pt>
                <c:pt idx="5">
                  <c:v>3.9363701187212286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C-3943-9B2D-D1DAFD99D74D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'0K vacancy'!$O$64:$O$69</c:f>
              <c:numCache>
                <c:formatCode>General</c:formatCode>
                <c:ptCount val="6"/>
                <c:pt idx="0">
                  <c:v>1.4274709360900499</c:v>
                </c:pt>
                <c:pt idx="1">
                  <c:v>2.8549418721800999</c:v>
                </c:pt>
                <c:pt idx="2">
                  <c:v>4.2824128082701503</c:v>
                </c:pt>
                <c:pt idx="3">
                  <c:v>5.7098837443601997</c:v>
                </c:pt>
                <c:pt idx="4">
                  <c:v>7.1373546804502492</c:v>
                </c:pt>
                <c:pt idx="5">
                  <c:v>12.847238424810449</c:v>
                </c:pt>
              </c:numCache>
            </c:numRef>
          </c:xVal>
          <c:yVal>
            <c:numRef>
              <c:f>'0K vacancy'!$N$64:$N$69</c:f>
              <c:numCache>
                <c:formatCode>General</c:formatCode>
                <c:ptCount val="6"/>
                <c:pt idx="0">
                  <c:v>3.8647756187237832</c:v>
                </c:pt>
                <c:pt idx="1">
                  <c:v>3.7339545187241896</c:v>
                </c:pt>
                <c:pt idx="2">
                  <c:v>3.8049158187240977</c:v>
                </c:pt>
                <c:pt idx="3">
                  <c:v>3.9263894187206319</c:v>
                </c:pt>
                <c:pt idx="4">
                  <c:v>3.9173956187259904</c:v>
                </c:pt>
                <c:pt idx="5">
                  <c:v>3.9449034187236833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C-3943-9B2D-D1DAFD99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03024"/>
        <c:axId val="312600280"/>
      </c:scatterChart>
      <c:valAx>
        <c:axId val="3126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Depth from Interface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600280"/>
        <c:crosses val="autoZero"/>
        <c:crossBetween val="midCat"/>
      </c:valAx>
      <c:valAx>
        <c:axId val="312600280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603024"/>
        <c:crosses val="autoZero"/>
        <c:crossBetween val="midCat"/>
        <c:majorUnit val="0.2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826081958733299E-2"/>
                  <c:y val="0.12163317832954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('original work'!$C$54,'original work'!$C$58,'original work'!$C$63,'original work'!$C$65,'original work'!$C$68,'original work'!$C$70,'original work'!$C$72)</c:f>
              <c:numCache>
                <c:formatCode>General</c:formatCode>
                <c:ptCount val="7"/>
                <c:pt idx="0">
                  <c:v>10000</c:v>
                </c:pt>
                <c:pt idx="1">
                  <c:v>10000</c:v>
                </c:pt>
                <c:pt idx="2">
                  <c:v>40000</c:v>
                </c:pt>
                <c:pt idx="3">
                  <c:v>40000</c:v>
                </c:pt>
                <c:pt idx="4">
                  <c:v>14400</c:v>
                </c:pt>
                <c:pt idx="5">
                  <c:v>14400</c:v>
                </c:pt>
                <c:pt idx="6">
                  <c:v>20000</c:v>
                </c:pt>
              </c:numCache>
            </c:numRef>
          </c:xVal>
          <c:yVal>
            <c:numRef>
              <c:f>('original work'!$L$54,'original work'!$L$58,'original work'!$L$63,'original work'!$L$65,'original work'!$L$68,'original work'!$L$70,'original work'!$L$72)</c:f>
              <c:numCache>
                <c:formatCode>General</c:formatCode>
                <c:ptCount val="7"/>
                <c:pt idx="0">
                  <c:v>-1.9712426171092749E-2</c:v>
                </c:pt>
                <c:pt idx="1">
                  <c:v>-1.9712426171092749E-2</c:v>
                </c:pt>
                <c:pt idx="2">
                  <c:v>-4.5968593357843196E-3</c:v>
                </c:pt>
                <c:pt idx="3">
                  <c:v>-4.5968593357843196E-3</c:v>
                </c:pt>
                <c:pt idx="4">
                  <c:v>-1.8904060854903745E-2</c:v>
                </c:pt>
                <c:pt idx="5">
                  <c:v>-1.8904060854903745E-2</c:v>
                </c:pt>
                <c:pt idx="6">
                  <c:v>-1.2078124306070111E-2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D-4344-9592-603024777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45824"/>
        <c:axId val="290146216"/>
      </c:scatterChart>
      <c:valAx>
        <c:axId val="2901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46216"/>
        <c:crosses val="autoZero"/>
        <c:crossBetween val="midCat"/>
      </c:valAx>
      <c:valAx>
        <c:axId val="290146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'100'!$D$10:$D$29</c:f>
              <c:numCache>
                <c:formatCode>General</c:formatCode>
                <c:ptCount val="20"/>
                <c:pt idx="0">
                  <c:v>-4.1089843750000004</c:v>
                </c:pt>
                <c:pt idx="1">
                  <c:v>-4.1090364583333336</c:v>
                </c:pt>
                <c:pt idx="2">
                  <c:v>-4.109010416666667</c:v>
                </c:pt>
                <c:pt idx="3">
                  <c:v>-4.109010416666667</c:v>
                </c:pt>
                <c:pt idx="4">
                  <c:v>-4.0815625000000004</c:v>
                </c:pt>
                <c:pt idx="5">
                  <c:v>-4.0815625000000004</c:v>
                </c:pt>
                <c:pt idx="6">
                  <c:v>-4.0815625000000004</c:v>
                </c:pt>
                <c:pt idx="7">
                  <c:v>-4.0815625000000004</c:v>
                </c:pt>
                <c:pt idx="8">
                  <c:v>-4.0529687499999998</c:v>
                </c:pt>
                <c:pt idx="9">
                  <c:v>-4.0529687499999998</c:v>
                </c:pt>
                <c:pt idx="10">
                  <c:v>-4.0529687499999998</c:v>
                </c:pt>
                <c:pt idx="11">
                  <c:v>-4.0529166666666665</c:v>
                </c:pt>
                <c:pt idx="12">
                  <c:v>-4.009192708333333</c:v>
                </c:pt>
                <c:pt idx="13">
                  <c:v>-4.009192708333333</c:v>
                </c:pt>
                <c:pt idx="14">
                  <c:v>-4.0096614583333334</c:v>
                </c:pt>
                <c:pt idx="15">
                  <c:v>-4.0094791666666669</c:v>
                </c:pt>
                <c:pt idx="16">
                  <c:v>-3.9783854166666668</c:v>
                </c:pt>
                <c:pt idx="17">
                  <c:v>-3.9793229166666668</c:v>
                </c:pt>
                <c:pt idx="18">
                  <c:v>-3.9789322916666667</c:v>
                </c:pt>
                <c:pt idx="19">
                  <c:v>-3.9791406249999999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0-3547-8680-14776956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47000"/>
        <c:axId val="290144648"/>
      </c:scatterChart>
      <c:valAx>
        <c:axId val="29014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144648"/>
        <c:crosses val="autoZero"/>
        <c:crossBetween val="midCat"/>
      </c:valAx>
      <c:valAx>
        <c:axId val="290144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0147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'100'!$Q$10:$Q$29</c:f>
              <c:numCache>
                <c:formatCode>General</c:formatCode>
                <c:ptCount val="20"/>
                <c:pt idx="0">
                  <c:v>98.895499999999998</c:v>
                </c:pt>
                <c:pt idx="1">
                  <c:v>99.692899999999995</c:v>
                </c:pt>
                <c:pt idx="2">
                  <c:v>99.391900000000007</c:v>
                </c:pt>
                <c:pt idx="3">
                  <c:v>99.411600000000007</c:v>
                </c:pt>
                <c:pt idx="4">
                  <c:v>298.51900000000001</c:v>
                </c:pt>
                <c:pt idx="5">
                  <c:v>299.298</c:v>
                </c:pt>
                <c:pt idx="6">
                  <c:v>298.536</c:v>
                </c:pt>
                <c:pt idx="7">
                  <c:v>298.46100000000001</c:v>
                </c:pt>
                <c:pt idx="8">
                  <c:v>497.916</c:v>
                </c:pt>
                <c:pt idx="9">
                  <c:v>498.60599999999999</c:v>
                </c:pt>
                <c:pt idx="10">
                  <c:v>497.55200000000002</c:v>
                </c:pt>
                <c:pt idx="11">
                  <c:v>498.85399999999998</c:v>
                </c:pt>
                <c:pt idx="12">
                  <c:v>799.52700000000004</c:v>
                </c:pt>
                <c:pt idx="13">
                  <c:v>795.94100000000003</c:v>
                </c:pt>
                <c:pt idx="14">
                  <c:v>796.68700000000001</c:v>
                </c:pt>
                <c:pt idx="15">
                  <c:v>796.18</c:v>
                </c:pt>
                <c:pt idx="16">
                  <c:v>996.85400000000004</c:v>
                </c:pt>
                <c:pt idx="17">
                  <c:v>997.18700000000001</c:v>
                </c:pt>
                <c:pt idx="18">
                  <c:v>994.59900000000005</c:v>
                </c:pt>
                <c:pt idx="19">
                  <c:v>994.23299999999995</c:v>
                </c:pt>
              </c:numCache>
            </c:numRef>
          </c:xVal>
          <c:yVal>
            <c:numRef>
              <c:f>'100'!$V$10:$V$29</c:f>
              <c:numCache>
                <c:formatCode>General</c:formatCode>
                <c:ptCount val="20"/>
                <c:pt idx="0">
                  <c:v>-0.6057495117187498</c:v>
                </c:pt>
                <c:pt idx="1">
                  <c:v>-0.60564534505208367</c:v>
                </c:pt>
                <c:pt idx="2">
                  <c:v>-0.60569742838541718</c:v>
                </c:pt>
                <c:pt idx="3">
                  <c:v>-0.60569742838541718</c:v>
                </c:pt>
                <c:pt idx="4">
                  <c:v>-0.60541259765624955</c:v>
                </c:pt>
                <c:pt idx="5">
                  <c:v>-0.60530843098958342</c:v>
                </c:pt>
                <c:pt idx="6">
                  <c:v>-0.60541259765624955</c:v>
                </c:pt>
                <c:pt idx="7">
                  <c:v>-0.60541259765624955</c:v>
                </c:pt>
                <c:pt idx="8">
                  <c:v>-0.60494547526041675</c:v>
                </c:pt>
                <c:pt idx="9">
                  <c:v>-0.60486735026041694</c:v>
                </c:pt>
                <c:pt idx="10">
                  <c:v>-0.60499755859375026</c:v>
                </c:pt>
                <c:pt idx="11">
                  <c:v>-0.60481526692708343</c:v>
                </c:pt>
                <c:pt idx="12">
                  <c:v>-0.60559977213541694</c:v>
                </c:pt>
                <c:pt idx="13">
                  <c:v>-0.60609456380208304</c:v>
                </c:pt>
                <c:pt idx="14">
                  <c:v>-0.60599039713541691</c:v>
                </c:pt>
                <c:pt idx="15">
                  <c:v>-0.60606852213541673</c:v>
                </c:pt>
                <c:pt idx="16">
                  <c:v>-0.60836914062499992</c:v>
                </c:pt>
                <c:pt idx="17">
                  <c:v>-0.60831705729166641</c:v>
                </c:pt>
                <c:pt idx="18">
                  <c:v>-0.60868164062500019</c:v>
                </c:pt>
                <c:pt idx="19">
                  <c:v>-0.608759765625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A-AE47-A207-E6C9AB808198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('100'!$Q$13,'100'!$Q$17,'100'!$Q$21,'100'!$Q$25,'100'!$Q$29)</c:f>
              <c:numCache>
                <c:formatCode>General</c:formatCode>
                <c:ptCount val="5"/>
                <c:pt idx="0">
                  <c:v>99.411600000000007</c:v>
                </c:pt>
                <c:pt idx="1">
                  <c:v>298.46100000000001</c:v>
                </c:pt>
                <c:pt idx="2">
                  <c:v>498.85399999999998</c:v>
                </c:pt>
                <c:pt idx="3">
                  <c:v>796.18</c:v>
                </c:pt>
                <c:pt idx="4">
                  <c:v>994.23299999999995</c:v>
                </c:pt>
              </c:numCache>
            </c:numRef>
          </c:xVal>
          <c:yVal>
            <c:numRef>
              <c:f>('100'!$W$13,'100'!$W$17,'100'!$W$21,'100'!$W$25,'100'!$W$29)</c:f>
              <c:numCache>
                <c:formatCode>General</c:formatCode>
                <c:ptCount val="5"/>
                <c:pt idx="0">
                  <c:v>-0.60569742838541696</c:v>
                </c:pt>
                <c:pt idx="1">
                  <c:v>-0.60538655598958302</c:v>
                </c:pt>
                <c:pt idx="2">
                  <c:v>-0.6049064127604169</c:v>
                </c:pt>
                <c:pt idx="3">
                  <c:v>-0.60593831380208341</c:v>
                </c:pt>
                <c:pt idx="4">
                  <c:v>-0.60853190104166666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A-AE47-A207-E6C9AB80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47392"/>
        <c:axId val="290147784"/>
      </c:scatterChart>
      <c:valAx>
        <c:axId val="2901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147784"/>
        <c:crosses val="autoZero"/>
        <c:crossBetween val="midCat"/>
      </c:valAx>
      <c:valAx>
        <c:axId val="290147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014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'100'!$B$39:$B$41</c:f>
              <c:numCache>
                <c:formatCode>General</c:formatCode>
                <c:ptCount val="3"/>
                <c:pt idx="0">
                  <c:v>99.886300000000006</c:v>
                </c:pt>
                <c:pt idx="1">
                  <c:v>99.874600000000001</c:v>
                </c:pt>
                <c:pt idx="2">
                  <c:v>99.763599999999997</c:v>
                </c:pt>
              </c:numCache>
            </c:numRef>
          </c:xVal>
          <c:yVal>
            <c:numRef>
              <c:f>'100'!$L$39:$L$41</c:f>
              <c:numCache>
                <c:formatCode>General</c:formatCode>
                <c:ptCount val="3"/>
                <c:pt idx="0">
                  <c:v>-0.33545421497893002</c:v>
                </c:pt>
                <c:pt idx="1">
                  <c:v>-0.3352844153398169</c:v>
                </c:pt>
                <c:pt idx="2">
                  <c:v>-0.33634893086894896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2-834C-A0C1-D302A0A40008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'100'!$B$47:$B$52</c:f>
              <c:numCache>
                <c:formatCode>General</c:formatCode>
                <c:ptCount val="6"/>
                <c:pt idx="0">
                  <c:v>299.14699999999999</c:v>
                </c:pt>
                <c:pt idx="1">
                  <c:v>298.63499999999999</c:v>
                </c:pt>
                <c:pt idx="2">
                  <c:v>299.54300000000001</c:v>
                </c:pt>
                <c:pt idx="3">
                  <c:v>299.80500000000001</c:v>
                </c:pt>
                <c:pt idx="4">
                  <c:v>299.65199999999999</c:v>
                </c:pt>
                <c:pt idx="5">
                  <c:v>299.25</c:v>
                </c:pt>
              </c:numCache>
            </c:numRef>
          </c:xVal>
          <c:yVal>
            <c:numRef>
              <c:f>'100'!$L$47:$L$52</c:f>
              <c:numCache>
                <c:formatCode>General</c:formatCode>
                <c:ptCount val="6"/>
                <c:pt idx="0">
                  <c:v>-0.33565394183821085</c:v>
                </c:pt>
                <c:pt idx="1">
                  <c:v>-0.34335242674275823</c:v>
                </c:pt>
                <c:pt idx="2">
                  <c:v>-0.32299609925737927</c:v>
                </c:pt>
                <c:pt idx="3">
                  <c:v>-0.31752158910055278</c:v>
                </c:pt>
                <c:pt idx="4">
                  <c:v>-0.32143087977768892</c:v>
                </c:pt>
                <c:pt idx="5">
                  <c:v>-0.32947503109645199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2-834C-A0C1-D302A0A40008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'100'!$B$66:$B$71</c:f>
              <c:numCache>
                <c:formatCode>General</c:formatCode>
                <c:ptCount val="6"/>
                <c:pt idx="0">
                  <c:v>498.65</c:v>
                </c:pt>
                <c:pt idx="1">
                  <c:v>498.91300000000001</c:v>
                </c:pt>
                <c:pt idx="2">
                  <c:v>499.125</c:v>
                </c:pt>
                <c:pt idx="3">
                  <c:v>498.95499999999998</c:v>
                </c:pt>
                <c:pt idx="4">
                  <c:v>498.40600000000001</c:v>
                </c:pt>
                <c:pt idx="5">
                  <c:v>498.62200000000001</c:v>
                </c:pt>
              </c:numCache>
            </c:numRef>
          </c:xVal>
          <c:yVal>
            <c:numRef>
              <c:f>'100'!$L$66:$L$71</c:f>
              <c:numCache>
                <c:formatCode>General</c:formatCode>
                <c:ptCount val="6"/>
                <c:pt idx="0">
                  <c:v>-0.36013417768477168</c:v>
                </c:pt>
                <c:pt idx="1">
                  <c:v>-0.35706920595978398</c:v>
                </c:pt>
                <c:pt idx="2">
                  <c:v>-0.35349546721174691</c:v>
                </c:pt>
                <c:pt idx="3">
                  <c:v>-0.35894433761194738</c:v>
                </c:pt>
                <c:pt idx="4">
                  <c:v>-0.3698408458775691</c:v>
                </c:pt>
                <c:pt idx="5">
                  <c:v>-0.36583760749612626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2-834C-A0C1-D302A0A40008}"/>
            </c:ext>
          </c:extLst>
        </c:ser>
        <c:ser>
          <c:idx val="4"/>
          <c:order val="3"/>
          <c:spPr>
            <a:ln w="47625">
              <a:noFill/>
            </a:ln>
          </c:spPr>
          <c:xVal>
            <c:numRef>
              <c:f>'100'!$B$82:$B$87</c:f>
              <c:numCache>
                <c:formatCode>General</c:formatCode>
                <c:ptCount val="6"/>
                <c:pt idx="0">
                  <c:v>797.39499999999998</c:v>
                </c:pt>
                <c:pt idx="1">
                  <c:v>796.92200000000003</c:v>
                </c:pt>
                <c:pt idx="2">
                  <c:v>797.51700000000005</c:v>
                </c:pt>
                <c:pt idx="3">
                  <c:v>799.38099999999997</c:v>
                </c:pt>
                <c:pt idx="4">
                  <c:v>796.572</c:v>
                </c:pt>
                <c:pt idx="5">
                  <c:v>797.00199999999995</c:v>
                </c:pt>
              </c:numCache>
            </c:numRef>
          </c:xVal>
          <c:yVal>
            <c:numRef>
              <c:f>'100'!$L$82:$L$87</c:f>
              <c:numCache>
                <c:formatCode>General</c:formatCode>
                <c:ptCount val="6"/>
                <c:pt idx="0">
                  <c:v>-0.36912494113433958</c:v>
                </c:pt>
                <c:pt idx="1">
                  <c:v>-0.37672792653360465</c:v>
                </c:pt>
                <c:pt idx="2">
                  <c:v>-0.37254844883518962</c:v>
                </c:pt>
                <c:pt idx="3">
                  <c:v>-0.33199895780550776</c:v>
                </c:pt>
                <c:pt idx="4">
                  <c:v>-0.39489270138633331</c:v>
                </c:pt>
                <c:pt idx="5">
                  <c:v>-0.38496219730431769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62-834C-A0C1-D302A0A40008}"/>
            </c:ext>
          </c:extLst>
        </c:ser>
        <c:ser>
          <c:idx val="5"/>
          <c:order val="4"/>
          <c:spPr>
            <a:ln w="47625">
              <a:noFill/>
            </a:ln>
          </c:spPr>
          <c:xVal>
            <c:numRef>
              <c:f>'100'!$B$99:$B$108</c:f>
              <c:numCache>
                <c:formatCode>General</c:formatCode>
                <c:ptCount val="10"/>
                <c:pt idx="0">
                  <c:v>996.10799999999995</c:v>
                </c:pt>
                <c:pt idx="1">
                  <c:v>998.98800000000006</c:v>
                </c:pt>
                <c:pt idx="2">
                  <c:v>997.649</c:v>
                </c:pt>
                <c:pt idx="3">
                  <c:v>997.99300000000005</c:v>
                </c:pt>
                <c:pt idx="4">
                  <c:v>997.68200000000002</c:v>
                </c:pt>
                <c:pt idx="5">
                  <c:v>995.91899999999998</c:v>
                </c:pt>
                <c:pt idx="6">
                  <c:v>998.30600000000004</c:v>
                </c:pt>
                <c:pt idx="7">
                  <c:v>996.66700000000003</c:v>
                </c:pt>
                <c:pt idx="8">
                  <c:v>995.346</c:v>
                </c:pt>
                <c:pt idx="9">
                  <c:v>995.17899999999997</c:v>
                </c:pt>
              </c:numCache>
            </c:numRef>
          </c:xVal>
          <c:yVal>
            <c:numRef>
              <c:f>'100'!$L$99:$L$108</c:f>
              <c:numCache>
                <c:formatCode>General</c:formatCode>
                <c:ptCount val="10"/>
                <c:pt idx="0">
                  <c:v>-0.35870819758570199</c:v>
                </c:pt>
                <c:pt idx="1">
                  <c:v>-0.30881411741568088</c:v>
                </c:pt>
                <c:pt idx="2">
                  <c:v>-0.32998130294235983</c:v>
                </c:pt>
                <c:pt idx="3">
                  <c:v>-0.32544547747231795</c:v>
                </c:pt>
                <c:pt idx="4">
                  <c:v>-0.33300518658898115</c:v>
                </c:pt>
                <c:pt idx="5">
                  <c:v>-0.37008761579069532</c:v>
                </c:pt>
                <c:pt idx="6">
                  <c:v>-0.31364211469873904</c:v>
                </c:pt>
                <c:pt idx="7">
                  <c:v>-0.35396032976445008</c:v>
                </c:pt>
                <c:pt idx="8">
                  <c:v>-0.38204720816574761</c:v>
                </c:pt>
                <c:pt idx="9">
                  <c:v>-0.38599676067446231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62-834C-A0C1-D302A0A4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88872"/>
        <c:axId val="290788088"/>
      </c:scatterChart>
      <c:valAx>
        <c:axId val="29078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788088"/>
        <c:crosses val="autoZero"/>
        <c:crossBetween val="midCat"/>
      </c:valAx>
      <c:valAx>
        <c:axId val="290788088"/>
        <c:scaling>
          <c:orientation val="minMax"/>
          <c:max val="-0.25"/>
          <c:min val="-0.45"/>
        </c:scaling>
        <c:delete val="0"/>
        <c:axPos val="l"/>
        <c:numFmt formatCode="General" sourceLinked="1"/>
        <c:majorTickMark val="out"/>
        <c:minorTickMark val="none"/>
        <c:tickLblPos val="nextTo"/>
        <c:crossAx val="29078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'100'!$W$41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'100'!$V$42:$V$48</c:f>
              <c:numCache>
                <c:formatCode>General</c:formatCode>
                <c:ptCount val="7"/>
                <c:pt idx="0">
                  <c:v>100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'100'!$W$42:$W$48</c:f>
              <c:numCache>
                <c:formatCode>General</c:formatCode>
                <c:ptCount val="7"/>
                <c:pt idx="0">
                  <c:v>-0.335695853729232</c:v>
                </c:pt>
                <c:pt idx="5">
                  <c:v>-0.32840499463550699</c:v>
                </c:pt>
                <c:pt idx="6">
                  <c:v>-0.36088694030699092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6-D846-BBF6-99B34B88D26E}"/>
            </c:ext>
          </c:extLst>
        </c:ser>
        <c:ser>
          <c:idx val="1"/>
          <c:order val="1"/>
          <c:tx>
            <c:strRef>
              <c:f>'100'!$X$41</c:f>
              <c:strCache>
                <c:ptCount val="1"/>
                <c:pt idx="0">
                  <c:v>110</c:v>
                </c:pt>
              </c:strCache>
            </c:strRef>
          </c:tx>
          <c:xVal>
            <c:numRef>
              <c:f>'100'!$V$42:$V$48</c:f>
              <c:numCache>
                <c:formatCode>General</c:formatCode>
                <c:ptCount val="7"/>
                <c:pt idx="0">
                  <c:v>100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'100'!$X$42:$X$48</c:f>
              <c:numCache>
                <c:formatCode>General</c:formatCode>
                <c:ptCount val="7"/>
                <c:pt idx="0">
                  <c:v>-0.51030472505327451</c:v>
                </c:pt>
                <c:pt idx="5">
                  <c:v>-0.49180659393280091</c:v>
                </c:pt>
                <c:pt idx="6">
                  <c:v>-0.49643302411909646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6-D846-BBF6-99B34B88D26E}"/>
            </c:ext>
          </c:extLst>
        </c:ser>
        <c:ser>
          <c:idx val="2"/>
          <c:order val="2"/>
          <c:tx>
            <c:strRef>
              <c:f>'100'!$Y$41</c:f>
              <c:strCache>
                <c:ptCount val="1"/>
                <c:pt idx="0">
                  <c:v>111</c:v>
                </c:pt>
              </c:strCache>
            </c:strRef>
          </c:tx>
          <c:xVal>
            <c:numRef>
              <c:f>'100'!$V$42:$V$48</c:f>
              <c:numCache>
                <c:formatCode>General</c:formatCode>
                <c:ptCount val="7"/>
                <c:pt idx="0">
                  <c:v>100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'100'!$Y$42:$Y$48</c:f>
              <c:numCache>
                <c:formatCode>General</c:formatCode>
                <c:ptCount val="7"/>
                <c:pt idx="0">
                  <c:v>-0.38514627552731068</c:v>
                </c:pt>
                <c:pt idx="5">
                  <c:v>-0.38396765703212643</c:v>
                </c:pt>
                <c:pt idx="6">
                  <c:v>-0.38559650533783957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6-D846-BBF6-99B34B88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85736"/>
        <c:axId val="290789264"/>
      </c:scatterChart>
      <c:valAx>
        <c:axId val="29078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789264"/>
        <c:crosses val="autoZero"/>
        <c:crossBetween val="midCat"/>
      </c:valAx>
      <c:valAx>
        <c:axId val="290789264"/>
        <c:scaling>
          <c:orientation val="minMax"/>
          <c:max val="-0.2"/>
        </c:scaling>
        <c:delete val="0"/>
        <c:axPos val="l"/>
        <c:numFmt formatCode="General" sourceLinked="1"/>
        <c:majorTickMark val="out"/>
        <c:minorTickMark val="none"/>
        <c:tickLblPos val="nextTo"/>
        <c:crossAx val="290785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'100'!$Q$3:$Q$8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'100'!$V$3:$V$8</c:f>
              <c:numCache>
                <c:formatCode>General</c:formatCode>
                <c:ptCount val="6"/>
                <c:pt idx="0">
                  <c:v>-0.60587104420625049</c:v>
                </c:pt>
                <c:pt idx="1">
                  <c:v>-0.60577701171875009</c:v>
                </c:pt>
                <c:pt idx="2">
                  <c:v>-0.60566072265625004</c:v>
                </c:pt>
                <c:pt idx="3">
                  <c:v>-0.60530568359374959</c:v>
                </c:pt>
                <c:pt idx="4">
                  <c:v>-0.60649248046874982</c:v>
                </c:pt>
                <c:pt idx="5">
                  <c:v>-0.60848914062499992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D-9E4D-886C-E5DCA24C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83776"/>
        <c:axId val="290784168"/>
      </c:scatterChart>
      <c:valAx>
        <c:axId val="2907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784168"/>
        <c:crosses val="autoZero"/>
        <c:crossBetween val="midCat"/>
      </c:valAx>
      <c:valAx>
        <c:axId val="290784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0783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('100'!$F$59,'100'!$F$81,'100'!$F$97,'100'!$F$119)</c:f>
                <c:numCache>
                  <c:formatCode>General</c:formatCode>
                  <c:ptCount val="4"/>
                  <c:pt idx="0">
                    <c:v>0.33615472627843679</c:v>
                  </c:pt>
                  <c:pt idx="1">
                    <c:v>0.55976185412475887</c:v>
                  </c:pt>
                  <c:pt idx="2">
                    <c:v>0.8328093590803346</c:v>
                  </c:pt>
                  <c:pt idx="3">
                    <c:v>0.4440077219407837</c:v>
                  </c:pt>
                </c:numCache>
              </c:numRef>
            </c:plus>
            <c:minus>
              <c:numRef>
                <c:f>('100'!$F$59,'100'!$F$81,'100'!$F$97,'100'!$F$119)</c:f>
                <c:numCache>
                  <c:formatCode>General</c:formatCode>
                  <c:ptCount val="4"/>
                  <c:pt idx="0">
                    <c:v>0.33615472627843679</c:v>
                  </c:pt>
                  <c:pt idx="1">
                    <c:v>0.55976185412475887</c:v>
                  </c:pt>
                  <c:pt idx="2">
                    <c:v>0.8328093590803346</c:v>
                  </c:pt>
                  <c:pt idx="3">
                    <c:v>0.4440077219407837</c:v>
                  </c:pt>
                </c:numCache>
              </c:numRef>
            </c:minus>
          </c:errBars>
          <c:xVal>
            <c:strRef>
              <c:f>('100'!$A$42,'100'!$A$65,'100'!$A$81,'100'!$A$98)</c:f>
              <c:strCache>
                <c:ptCount val="4"/>
                <c:pt idx="0">
                  <c:v>a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</c:strCache>
            </c:strRef>
          </c:xVal>
          <c:yVal>
            <c:numRef>
              <c:f>('100'!$F$58,'100'!$F$80,'100'!$F$96,'100'!$F$118)</c:f>
              <c:numCache>
                <c:formatCode>General</c:formatCode>
                <c:ptCount val="4"/>
                <c:pt idx="0">
                  <c:v>1.6099999999991268</c:v>
                </c:pt>
                <c:pt idx="1">
                  <c:v>0.99999999999909051</c:v>
                </c:pt>
                <c:pt idx="2">
                  <c:v>2.0749999999993634</c:v>
                </c:pt>
                <c:pt idx="3">
                  <c:v>-0.77999999999883585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E-B845-8A97-78CA50155BB8}"/>
            </c:ext>
          </c:extLst>
        </c:ser>
        <c:ser>
          <c:idx val="1"/>
          <c:order val="1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('100'!$L$59,'100'!$L$81,'100'!$L$97,'100'!$L$119)</c:f>
                <c:numCache>
                  <c:formatCode>General</c:formatCode>
                  <c:ptCount val="4"/>
                  <c:pt idx="0">
                    <c:v>0.56745043836246967</c:v>
                  </c:pt>
                  <c:pt idx="1">
                    <c:v>0.51961524227150335</c:v>
                  </c:pt>
                  <c:pt idx="2">
                    <c:v>0.63414734655513982</c:v>
                  </c:pt>
                  <c:pt idx="3">
                    <c:v>0.61875450936331278</c:v>
                  </c:pt>
                </c:numCache>
              </c:numRef>
            </c:plus>
            <c:minus>
              <c:numRef>
                <c:f>('100'!$L$59,'100'!$L$81,'100'!$L$97,'100'!$L$119)</c:f>
                <c:numCache>
                  <c:formatCode>General</c:formatCode>
                  <c:ptCount val="4"/>
                  <c:pt idx="0">
                    <c:v>0.56745043836246967</c:v>
                  </c:pt>
                  <c:pt idx="1">
                    <c:v>0.51961524227150335</c:v>
                  </c:pt>
                  <c:pt idx="2">
                    <c:v>0.63414734655513982</c:v>
                  </c:pt>
                  <c:pt idx="3">
                    <c:v>0.61875450936331278</c:v>
                  </c:pt>
                </c:numCache>
              </c:numRef>
            </c:minus>
          </c:errBars>
          <c:xVal>
            <c:strRef>
              <c:f>('100'!$A$42,'100'!$A$65,'100'!$A$81,'100'!$A$98)</c:f>
              <c:strCache>
                <c:ptCount val="4"/>
                <c:pt idx="0">
                  <c:v>a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</c:strCache>
            </c:strRef>
          </c:xVal>
          <c:yVal>
            <c:numRef>
              <c:f>('100'!$L$58,'100'!$L$80,'100'!$L$96,'100'!$L$118)</c:f>
              <c:numCache>
                <c:formatCode>General</c:formatCode>
                <c:ptCount val="4"/>
                <c:pt idx="0">
                  <c:v>6.9999999998253765E-2</c:v>
                </c:pt>
                <c:pt idx="1">
                  <c:v>-0.9500000000007276</c:v>
                </c:pt>
                <c:pt idx="2">
                  <c:v>0.17499999999881766</c:v>
                </c:pt>
                <c:pt idx="3">
                  <c:v>0.47000000000116415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E-B845-8A97-78CA5015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86912"/>
        <c:axId val="290789656"/>
      </c:scatterChart>
      <c:valAx>
        <c:axId val="29078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789656"/>
        <c:crosses val="autoZero"/>
        <c:crossBetween val="midCat"/>
      </c:valAx>
      <c:valAx>
        <c:axId val="290789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078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66185476815"/>
          <c:y val="4.1666666666666699E-2"/>
          <c:w val="0.69147375328084004"/>
          <c:h val="0.879629629629629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'110'!$D$8:$D$19</c:f>
              <c:numCache>
                <c:formatCode>General</c:formatCode>
                <c:ptCount val="12"/>
                <c:pt idx="0">
                  <c:v>-4.1089062500000004</c:v>
                </c:pt>
                <c:pt idx="1">
                  <c:v>-4.1089062500000004</c:v>
                </c:pt>
                <c:pt idx="2">
                  <c:v>-4.1089062500000004</c:v>
                </c:pt>
                <c:pt idx="3">
                  <c:v>-4.1089062500000004</c:v>
                </c:pt>
                <c:pt idx="4">
                  <c:v>-4.0815104166666663</c:v>
                </c:pt>
                <c:pt idx="5">
                  <c:v>-4.0813671875000006</c:v>
                </c:pt>
                <c:pt idx="6">
                  <c:v>-4.0814713541666672</c:v>
                </c:pt>
                <c:pt idx="7">
                  <c:v>-4.0814453124999996</c:v>
                </c:pt>
                <c:pt idx="8">
                  <c:v>-4.0532812500000004</c:v>
                </c:pt>
                <c:pt idx="9">
                  <c:v>-4.0531119791666672</c:v>
                </c:pt>
                <c:pt idx="10">
                  <c:v>-4.0532942708333328</c:v>
                </c:pt>
                <c:pt idx="11">
                  <c:v>-4.0532942708333328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A-7845-A16C-0E1A8453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84560"/>
        <c:axId val="290782992"/>
      </c:scatterChart>
      <c:valAx>
        <c:axId val="29078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782992"/>
        <c:crosses val="autoZero"/>
        <c:crossBetween val="midCat"/>
      </c:valAx>
      <c:valAx>
        <c:axId val="29078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0784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396874</xdr:colOff>
      <xdr:row>39</xdr:row>
      <xdr:rowOff>73025</xdr:rowOff>
    </xdr:from>
    <xdr:to>
      <xdr:col>31</xdr:col>
      <xdr:colOff>190499</xdr:colOff>
      <xdr:row>57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59</xdr:row>
      <xdr:rowOff>0</xdr:rowOff>
    </xdr:from>
    <xdr:to>
      <xdr:col>31</xdr:col>
      <xdr:colOff>635000</xdr:colOff>
      <xdr:row>87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550333</xdr:colOff>
      <xdr:row>16</xdr:row>
      <xdr:rowOff>42332</xdr:rowOff>
    </xdr:from>
    <xdr:to>
      <xdr:col>14</xdr:col>
      <xdr:colOff>143933</xdr:colOff>
      <xdr:row>34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609599</xdr:colOff>
      <xdr:row>17</xdr:row>
      <xdr:rowOff>135466</xdr:rowOff>
    </xdr:from>
    <xdr:to>
      <xdr:col>29</xdr:col>
      <xdr:colOff>270932</xdr:colOff>
      <xdr:row>31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609600</xdr:colOff>
      <xdr:row>37</xdr:row>
      <xdr:rowOff>160866</xdr:rowOff>
    </xdr:from>
    <xdr:to>
      <xdr:col>20</xdr:col>
      <xdr:colOff>203200</xdr:colOff>
      <xdr:row>56</xdr:row>
      <xdr:rowOff>110066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237067</xdr:colOff>
      <xdr:row>49</xdr:row>
      <xdr:rowOff>84666</xdr:rowOff>
    </xdr:from>
    <xdr:to>
      <xdr:col>26</xdr:col>
      <xdr:colOff>660400</xdr:colOff>
      <xdr:row>70</xdr:row>
      <xdr:rowOff>33866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30</xdr:col>
      <xdr:colOff>423333</xdr:colOff>
      <xdr:row>16</xdr:row>
      <xdr:rowOff>135467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338667</xdr:colOff>
      <xdr:row>71</xdr:row>
      <xdr:rowOff>177800</xdr:rowOff>
    </xdr:from>
    <xdr:to>
      <xdr:col>20</xdr:col>
      <xdr:colOff>677334</xdr:colOff>
      <xdr:row>86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804334</xdr:colOff>
      <xdr:row>7</xdr:row>
      <xdr:rowOff>160867</xdr:rowOff>
    </xdr:from>
    <xdr:to>
      <xdr:col>25</xdr:col>
      <xdr:colOff>499534</xdr:colOff>
      <xdr:row>22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25</xdr:row>
      <xdr:rowOff>0</xdr:rowOff>
    </xdr:from>
    <xdr:to>
      <xdr:col>25</xdr:col>
      <xdr:colOff>508000</xdr:colOff>
      <xdr:row>39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56</xdr:row>
      <xdr:rowOff>152400</xdr:rowOff>
    </xdr:from>
    <xdr:to>
      <xdr:col>22</xdr:col>
      <xdr:colOff>508000</xdr:colOff>
      <xdr:row>71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38</xdr:row>
      <xdr:rowOff>42333</xdr:rowOff>
    </xdr:from>
    <xdr:to>
      <xdr:col>24</xdr:col>
      <xdr:colOff>457199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601133</xdr:colOff>
      <xdr:row>3</xdr:row>
      <xdr:rowOff>25400</xdr:rowOff>
    </xdr:from>
    <xdr:to>
      <xdr:col>25</xdr:col>
      <xdr:colOff>296333</xdr:colOff>
      <xdr:row>17</xdr:row>
      <xdr:rowOff>160867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24</xdr:col>
      <xdr:colOff>508000</xdr:colOff>
      <xdr:row>35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24</xdr:row>
      <xdr:rowOff>31750</xdr:rowOff>
    </xdr:from>
    <xdr:to>
      <xdr:col>18</xdr:col>
      <xdr:colOff>711200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244021</xdr:colOff>
      <xdr:row>38</xdr:row>
      <xdr:rowOff>189594</xdr:rowOff>
    </xdr:from>
    <xdr:to>
      <xdr:col>19</xdr:col>
      <xdr:colOff>617764</xdr:colOff>
      <xdr:row>53</xdr:row>
      <xdr:rowOff>80736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20</xdr:col>
      <xdr:colOff>373742</xdr:colOff>
      <xdr:row>70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30</xdr:row>
      <xdr:rowOff>0</xdr:rowOff>
    </xdr:from>
    <xdr:to>
      <xdr:col>24</xdr:col>
      <xdr:colOff>332510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44</xdr:row>
      <xdr:rowOff>0</xdr:rowOff>
    </xdr:from>
    <xdr:to>
      <xdr:col>24</xdr:col>
      <xdr:colOff>332510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zoomScale="60" zoomScaleNormal="60" zoomScalePageLayoutView="60" workbookViewId="0">
      <selection activeCell="L3" sqref="L3:M3"/>
    </sheetView>
  </sheetViews>
  <sheetFormatPr baseColWidth="10" defaultColWidth="11" defaultRowHeight="16" x14ac:dyDescent="0.2"/>
  <cols>
    <col min="1" max="1" width="11.6640625" customWidth="1"/>
    <col min="7" max="7" width="11.83203125" customWidth="1"/>
    <col min="9" max="10" width="12.83203125" bestFit="1" customWidth="1"/>
    <col min="11" max="11" width="11.1640625" bestFit="1" customWidth="1"/>
  </cols>
  <sheetData>
    <row r="2" spans="1:17" x14ac:dyDescent="0.2">
      <c r="A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1</v>
      </c>
      <c r="K2" t="s">
        <v>2</v>
      </c>
      <c r="L2" t="s">
        <v>3</v>
      </c>
      <c r="M2" t="s">
        <v>4</v>
      </c>
      <c r="N2" t="s">
        <v>9</v>
      </c>
      <c r="O2" t="s">
        <v>162</v>
      </c>
      <c r="P2" t="s">
        <v>100</v>
      </c>
    </row>
    <row r="3" spans="1:17" x14ac:dyDescent="0.2">
      <c r="A3">
        <v>0</v>
      </c>
      <c r="B3">
        <v>0</v>
      </c>
      <c r="C3">
        <v>-8244.8712513900009</v>
      </c>
      <c r="D3">
        <f>C3/2000</f>
        <v>-4.1224356256950001</v>
      </c>
      <c r="F3">
        <v>2.85494</v>
      </c>
      <c r="H3">
        <v>0</v>
      </c>
      <c r="I3">
        <v>0</v>
      </c>
      <c r="J3">
        <v>-4619.1319000000003</v>
      </c>
      <c r="K3">
        <f>J3/1024</f>
        <v>-4.5108709960937503</v>
      </c>
      <c r="L3">
        <v>11629.038</v>
      </c>
      <c r="M3">
        <f>(L3^(1/3))/8</f>
        <v>2.83198713561882</v>
      </c>
      <c r="N3">
        <f>(J3-512*D11-512*D19)/1024</f>
        <v>-0.60587104420625049</v>
      </c>
      <c r="P3">
        <f>(M3+F3)/2</f>
        <v>2.84346356780941</v>
      </c>
      <c r="Q3">
        <f>100*(F3-M3)/F3</f>
        <v>0.80397011429942655</v>
      </c>
    </row>
    <row r="4" spans="1:17" x14ac:dyDescent="0.2">
      <c r="A4">
        <v>0</v>
      </c>
      <c r="B4">
        <v>0</v>
      </c>
      <c r="C4">
        <v>-8242.9738566100004</v>
      </c>
      <c r="D4">
        <f>C4/2000</f>
        <v>-4.121486928305</v>
      </c>
      <c r="F4">
        <v>2.84346356780941</v>
      </c>
      <c r="G4" t="s">
        <v>186</v>
      </c>
      <c r="H4">
        <v>0</v>
      </c>
      <c r="I4">
        <v>0</v>
      </c>
      <c r="J4">
        <v>-22551.496037500001</v>
      </c>
      <c r="K4">
        <f>J4/5000</f>
        <v>-4.5102992075000001</v>
      </c>
      <c r="N4">
        <f>(J4-2500*D$11-2500*D$19)/5000</f>
        <v>-0.6052992556125002</v>
      </c>
      <c r="O4">
        <f>70.00469/25</f>
        <v>2.8001875999999997</v>
      </c>
      <c r="P4" t="s">
        <v>161</v>
      </c>
    </row>
    <row r="5" spans="1:17" x14ac:dyDescent="0.2">
      <c r="A5">
        <v>100</v>
      </c>
      <c r="B5">
        <v>100.13800000000001</v>
      </c>
      <c r="C5">
        <v>-8218.2199999999993</v>
      </c>
      <c r="D5">
        <f>C5/2000</f>
        <v>-4.1091099999999994</v>
      </c>
      <c r="E5">
        <v>23264.9</v>
      </c>
      <c r="F5">
        <f>(E5^(1/3))/10</f>
        <v>2.8547433067479986</v>
      </c>
      <c r="H5">
        <v>0</v>
      </c>
      <c r="I5">
        <v>0</v>
      </c>
      <c r="J5">
        <v>-22548.714744199999</v>
      </c>
      <c r="K5">
        <f>J5/5000</f>
        <v>-4.5097429488399996</v>
      </c>
      <c r="N5">
        <f>(J5-2500*D$11-2500*D$19)/5000</f>
        <v>-0.60474299695249978</v>
      </c>
      <c r="O5">
        <v>2.7768799999999998</v>
      </c>
      <c r="P5" t="s">
        <v>160</v>
      </c>
    </row>
    <row r="6" spans="1:17" x14ac:dyDescent="0.2">
      <c r="H6">
        <v>0</v>
      </c>
      <c r="I6">
        <v>0</v>
      </c>
      <c r="J6">
        <v>-22538.2539445</v>
      </c>
      <c r="K6">
        <f>J6/5000</f>
        <v>-4.5076507889000004</v>
      </c>
      <c r="N6">
        <f>(J6-2500*D$11-2500*D$19)/5000</f>
        <v>-0.6026508370125</v>
      </c>
      <c r="P6" t="s">
        <v>185</v>
      </c>
    </row>
    <row r="7" spans="1:17" x14ac:dyDescent="0.2">
      <c r="H7">
        <v>0</v>
      </c>
      <c r="I7">
        <v>0</v>
      </c>
      <c r="J7">
        <v>-22550.275477200001</v>
      </c>
      <c r="K7">
        <f>J7/5000</f>
        <v>-4.5100550954400003</v>
      </c>
      <c r="M7">
        <v>2.84346356780941</v>
      </c>
      <c r="N7">
        <f>(J7-2500*D$11-2500*D$19)/5000</f>
        <v>-0.60505514355250012</v>
      </c>
      <c r="P7" t="s">
        <v>186</v>
      </c>
    </row>
    <row r="8" spans="1:17" x14ac:dyDescent="0.2">
      <c r="H8">
        <v>100</v>
      </c>
      <c r="I8">
        <v>100.08499999999999</v>
      </c>
      <c r="J8">
        <v>-8995.68</v>
      </c>
      <c r="K8">
        <f>J8/2000</f>
        <v>-4.4978400000000001</v>
      </c>
      <c r="L8">
        <v>22809.599999999999</v>
      </c>
      <c r="M8">
        <f>(L8^(1/3))/10</f>
        <v>2.8359978011220015</v>
      </c>
      <c r="N8">
        <f>(J8-1000*D12-1000*D20)/2000</f>
        <v>-0.60577701171875009</v>
      </c>
      <c r="P8">
        <f>(M8+F5)/2</f>
        <v>2.845370553935</v>
      </c>
      <c r="Q8">
        <f>100*(F5-M8)/F5</f>
        <v>0.65664417468592517</v>
      </c>
    </row>
    <row r="10" spans="1:17" x14ac:dyDescent="0.2">
      <c r="A10" t="s">
        <v>7</v>
      </c>
      <c r="H10" t="s">
        <v>136</v>
      </c>
    </row>
    <row r="11" spans="1:17" x14ac:dyDescent="0.2">
      <c r="A11">
        <v>0</v>
      </c>
      <c r="B11">
        <v>0</v>
      </c>
      <c r="C11">
        <v>-17799.9996637</v>
      </c>
      <c r="D11">
        <f>C11/4000</f>
        <v>-4.4499999159249999</v>
      </c>
      <c r="E11">
        <v>43618.855000000003</v>
      </c>
      <c r="F11">
        <f>(E11^(1/3))/10</f>
        <v>3.5201250117017246</v>
      </c>
    </row>
    <row r="12" spans="1:17" x14ac:dyDescent="0.2">
      <c r="A12">
        <v>100</v>
      </c>
      <c r="B12">
        <v>99.838700000000003</v>
      </c>
      <c r="C12">
        <v>-9086.9</v>
      </c>
      <c r="D12">
        <f>C12/2048</f>
        <v>-4.4369628906249998</v>
      </c>
      <c r="E12">
        <v>22380.6</v>
      </c>
      <c r="F12">
        <f>(E12^(1/3))/8</f>
        <v>3.5226318282089975</v>
      </c>
      <c r="L12" t="s">
        <v>174</v>
      </c>
      <c r="M12">
        <f>(D3+K3)/2</f>
        <v>-4.3166533108943757</v>
      </c>
    </row>
    <row r="13" spans="1:17" x14ac:dyDescent="0.2">
      <c r="L13" t="s">
        <v>175</v>
      </c>
      <c r="M13">
        <f>(D3+K6)/2</f>
        <v>-4.3150432072975002</v>
      </c>
    </row>
    <row r="14" spans="1:17" x14ac:dyDescent="0.2">
      <c r="L14" t="s">
        <v>176</v>
      </c>
      <c r="M14">
        <f>(D3+K4)/2</f>
        <v>-4.3163674165975001</v>
      </c>
    </row>
    <row r="17" spans="1:13" x14ac:dyDescent="0.2">
      <c r="L17" t="s">
        <v>166</v>
      </c>
      <c r="M17">
        <v>-4.3153499999999996</v>
      </c>
    </row>
    <row r="18" spans="1:13" x14ac:dyDescent="0.2">
      <c r="A18" t="s">
        <v>8</v>
      </c>
      <c r="L18" t="s">
        <v>167</v>
      </c>
      <c r="M18">
        <v>-4.3153600000000001</v>
      </c>
    </row>
    <row r="19" spans="1:13" x14ac:dyDescent="0.2">
      <c r="A19">
        <v>0</v>
      </c>
      <c r="B19">
        <v>0</v>
      </c>
      <c r="C19">
        <v>-13439.999951399999</v>
      </c>
      <c r="D19">
        <f>C19/4000</f>
        <v>-3.3599999878499998</v>
      </c>
      <c r="E19">
        <v>66430.125</v>
      </c>
      <c r="F19">
        <f>(E19^(1/3))/10</f>
        <v>4.0499999999999989</v>
      </c>
    </row>
    <row r="20" spans="1:13" x14ac:dyDescent="0.2">
      <c r="A20">
        <v>100</v>
      </c>
      <c r="B20">
        <v>99.730699999999999</v>
      </c>
      <c r="C20">
        <v>-6854.99</v>
      </c>
      <c r="D20">
        <f>C20/2048</f>
        <v>-3.3471630859374999</v>
      </c>
      <c r="E20">
        <v>34116.699999999997</v>
      </c>
      <c r="F20">
        <f>(E20^(1/3))/8</f>
        <v>4.0541425821352464</v>
      </c>
    </row>
    <row r="25" spans="1:13" x14ac:dyDescent="0.2">
      <c r="A25" t="s">
        <v>10</v>
      </c>
      <c r="B25" t="s">
        <v>6</v>
      </c>
      <c r="C25" t="s">
        <v>1</v>
      </c>
      <c r="D25" t="s">
        <v>2</v>
      </c>
      <c r="E25" t="s">
        <v>12</v>
      </c>
      <c r="F25" t="s">
        <v>11</v>
      </c>
      <c r="G25" t="s">
        <v>16</v>
      </c>
      <c r="H25" t="s">
        <v>13</v>
      </c>
      <c r="I25" t="s">
        <v>14</v>
      </c>
      <c r="J25" t="s">
        <v>84</v>
      </c>
      <c r="K25" t="s">
        <v>15</v>
      </c>
    </row>
    <row r="26" spans="1:13" x14ac:dyDescent="0.2">
      <c r="A26" t="s">
        <v>25</v>
      </c>
      <c r="B26">
        <v>0</v>
      </c>
      <c r="C26">
        <v>-43174.413999999997</v>
      </c>
      <c r="D26">
        <f>C26/10000</f>
        <v>-4.3174413999999999</v>
      </c>
      <c r="E26">
        <f>C26-5000*$D$3-2500*$D$11-2500*$D$19</f>
        <v>-3037.2361120874975</v>
      </c>
      <c r="F26">
        <f>E26/10000</f>
        <v>-0.30372361120874974</v>
      </c>
      <c r="G26">
        <f>(E26-$N$3*5000)</f>
        <v>-7.8808910562452184</v>
      </c>
      <c r="H26">
        <f>(E26-$N$3*5000)/10000</f>
        <v>-7.8808910562452189E-4</v>
      </c>
      <c r="I26">
        <f>2*(28.40792)^2</f>
        <v>1614.0198374528002</v>
      </c>
      <c r="J26">
        <f t="shared" ref="J26:J35" si="0">H26/I26</f>
        <v>-4.8827721155414142E-7</v>
      </c>
      <c r="K26">
        <f>G26/I26</f>
        <v>-4.8827721155414137E-3</v>
      </c>
    </row>
    <row r="27" spans="1:13" x14ac:dyDescent="0.2">
      <c r="A27" t="s">
        <v>26</v>
      </c>
      <c r="B27">
        <v>0</v>
      </c>
      <c r="C27">
        <v>-51805.731</v>
      </c>
      <c r="D27">
        <f>C27/12000</f>
        <v>-4.3171442500000001</v>
      </c>
      <c r="E27">
        <f>C27-6000*$D$3-3000*$D$11-3000*$D$19</f>
        <v>-3641.1175345049996</v>
      </c>
      <c r="F27">
        <f>E27/12000</f>
        <v>-0.30342646120874994</v>
      </c>
      <c r="G27">
        <f>(E27-$N$3*6000)</f>
        <v>-5.891269267496682</v>
      </c>
      <c r="H27">
        <f>(E27-$N$3*6000)/12000</f>
        <v>-4.9093910562472351E-4</v>
      </c>
      <c r="I27">
        <f>2*(28.439708)^2</f>
        <v>1617.6339822505279</v>
      </c>
      <c r="J27">
        <f t="shared" si="0"/>
        <v>-3.0349208227049368E-7</v>
      </c>
      <c r="K27">
        <f t="shared" ref="K27" si="1">G27/I27</f>
        <v>-3.641904987245924E-3</v>
      </c>
    </row>
    <row r="28" spans="1:13" x14ac:dyDescent="0.2">
      <c r="A28" t="s">
        <v>17</v>
      </c>
      <c r="B28">
        <v>99.840800000000002</v>
      </c>
      <c r="C28">
        <v>-43066.8</v>
      </c>
      <c r="D28">
        <f>C28/10000</f>
        <v>-4.3066800000000001</v>
      </c>
      <c r="E28">
        <f>C28-5000*$D$5-2500*$D$12-2500*$D$20</f>
        <v>-3060.9350585937573</v>
      </c>
      <c r="F28">
        <f>E28/10000</f>
        <v>-0.30609350585937573</v>
      </c>
      <c r="G28">
        <f>(E28-$N$8*5000)</f>
        <v>-32.050000000007003</v>
      </c>
      <c r="H28">
        <f>(E28-$N$8*5000)/10000</f>
        <v>-3.2050000000007003E-3</v>
      </c>
      <c r="I28">
        <f>2*(2*14.2109)^2</f>
        <v>1615.5974304800002</v>
      </c>
      <c r="J28">
        <f t="shared" si="0"/>
        <v>-1.9837862697321092E-6</v>
      </c>
      <c r="K28">
        <f>G28/I28</f>
        <v>-1.9837862697321094E-2</v>
      </c>
    </row>
    <row r="29" spans="1:13" x14ac:dyDescent="0.2">
      <c r="A29" t="s">
        <v>18</v>
      </c>
      <c r="B29">
        <v>99.990300000000005</v>
      </c>
      <c r="C29">
        <v>-43066.6</v>
      </c>
      <c r="D29">
        <f>C29/10000</f>
        <v>-4.3066599999999999</v>
      </c>
      <c r="E29">
        <f>C29-5000*$D$5-2500*$D$12-2500*$D$20</f>
        <v>-3060.7350585937529</v>
      </c>
      <c r="F29">
        <f>E29/10000</f>
        <v>-0.30607350585937532</v>
      </c>
      <c r="G29">
        <f>(E29-$N$8*5000)</f>
        <v>-31.850000000002638</v>
      </c>
      <c r="H29">
        <f>(E29-$N$8*5000)/10000</f>
        <v>-3.1850000000002636E-3</v>
      </c>
      <c r="I29">
        <f>2*(2*14.2114)^2</f>
        <v>1615.7111196799999</v>
      </c>
      <c r="J29">
        <f t="shared" si="0"/>
        <v>-1.9712682305677698E-6</v>
      </c>
      <c r="K29">
        <f t="shared" ref="K29:K34" si="2">G29/I29</f>
        <v>-1.9712682305677701E-2</v>
      </c>
    </row>
    <row r="30" spans="1:13" x14ac:dyDescent="0.2">
      <c r="A30" t="s">
        <v>19</v>
      </c>
      <c r="B30">
        <v>99.861400000000003</v>
      </c>
      <c r="C30">
        <v>-51673.5</v>
      </c>
      <c r="D30">
        <f>C30/12000</f>
        <v>-4.3061249999999998</v>
      </c>
      <c r="E30">
        <f>C30-6000*$D$5-3000*$D$12-3000*$D$20</f>
        <v>-3666.4620703125038</v>
      </c>
      <c r="F30">
        <f>E30/12000</f>
        <v>-0.30553850585937531</v>
      </c>
      <c r="G30">
        <f>(E30-$N$8*6000)</f>
        <v>-31.800000000003365</v>
      </c>
      <c r="H30">
        <f>(E30-$N$8*6000)/12000</f>
        <v>-2.6500000000002806E-3</v>
      </c>
      <c r="I30">
        <f>2*(2*14.2156)^2</f>
        <v>1616.66626688</v>
      </c>
      <c r="J30">
        <f t="shared" si="0"/>
        <v>-1.639175663085065E-6</v>
      </c>
      <c r="K30">
        <f t="shared" si="2"/>
        <v>-1.9670107957020778E-2</v>
      </c>
    </row>
    <row r="31" spans="1:13" x14ac:dyDescent="0.2">
      <c r="A31" t="s">
        <v>21</v>
      </c>
      <c r="B31">
        <v>99.936999999999998</v>
      </c>
      <c r="C31">
        <v>-68886.7</v>
      </c>
      <c r="D31">
        <f>C31/16000</f>
        <v>-4.3054187499999994</v>
      </c>
      <c r="E31">
        <f>C31-8000*$D$5-4000*$D$12-4000*$D$20</f>
        <v>-4877.3160937499997</v>
      </c>
      <c r="F31">
        <f>E31/16000</f>
        <v>-0.30483225585937496</v>
      </c>
      <c r="G31">
        <f>(E31-$N$8*8000)</f>
        <v>-31.099999999998545</v>
      </c>
      <c r="H31">
        <f>(E31-$N$8*8000)/16000</f>
        <v>-1.9437499999999091E-3</v>
      </c>
      <c r="I31">
        <f>2*(2*14.2178)^2</f>
        <v>1617.1666947200001</v>
      </c>
      <c r="J31">
        <f t="shared" si="0"/>
        <v>-1.201947830329547E-6</v>
      </c>
      <c r="K31">
        <f>G31/I31</f>
        <v>-1.9231165285272751E-2</v>
      </c>
    </row>
    <row r="32" spans="1:13" x14ac:dyDescent="0.2">
      <c r="A32" t="s">
        <v>23</v>
      </c>
      <c r="B32">
        <v>99.902799999999999</v>
      </c>
      <c r="C32">
        <v>-86100.2</v>
      </c>
      <c r="D32">
        <f>C32/20000</f>
        <v>-4.3050100000000002</v>
      </c>
      <c r="E32">
        <f>C32-10000*$D$5-5000*$D$12-5000*$D$20</f>
        <v>-6088.4701171875058</v>
      </c>
      <c r="F32">
        <f>E32/20000</f>
        <v>-0.30442350585937528</v>
      </c>
      <c r="G32">
        <f>(E32-$N$8*10000)</f>
        <v>-30.700000000005275</v>
      </c>
      <c r="H32">
        <f>(E32-$N$8*10000)/20000</f>
        <v>-1.5350000000002638E-3</v>
      </c>
      <c r="I32">
        <f>2*(2*14.2198)^2</f>
        <v>1617.62169632</v>
      </c>
      <c r="J32">
        <f t="shared" si="0"/>
        <v>-9.4892396874516712E-7</v>
      </c>
      <c r="K32">
        <f>G32/I32</f>
        <v>-1.897847937490334E-2</v>
      </c>
    </row>
    <row r="33" spans="1:24" x14ac:dyDescent="0.2">
      <c r="A33" t="s">
        <v>24</v>
      </c>
      <c r="B33">
        <v>100.008</v>
      </c>
      <c r="C33">
        <v>-129133</v>
      </c>
      <c r="D33">
        <f>C33/30000</f>
        <v>-4.3044333333333329</v>
      </c>
      <c r="E33">
        <f>C33-15000*$D$5-7500*$D$12-7500*$D$20</f>
        <v>-9115.4051757812558</v>
      </c>
      <c r="F33">
        <f>E33/30000</f>
        <v>-0.30384683919270855</v>
      </c>
      <c r="G33">
        <f>(E33-$N$8*15000)</f>
        <v>-28.750000000003638</v>
      </c>
      <c r="H33">
        <f>(E33-$N$8*15000)/30000</f>
        <v>-9.583333333334546E-4</v>
      </c>
      <c r="I33">
        <f>2*(2*14.2217)^2</f>
        <v>1618.0540071200001</v>
      </c>
      <c r="J33">
        <f t="shared" si="0"/>
        <v>-5.9227524490310876E-7</v>
      </c>
      <c r="K33">
        <f>G33/I33</f>
        <v>-1.7768257347093263E-2</v>
      </c>
    </row>
    <row r="34" spans="1:24" x14ac:dyDescent="0.2">
      <c r="A34" t="s">
        <v>20</v>
      </c>
      <c r="B34">
        <v>99.859800000000007</v>
      </c>
      <c r="C34">
        <v>-88217.600000000006</v>
      </c>
      <c r="D34">
        <f>C34/20480</f>
        <v>-4.3075000000000001</v>
      </c>
      <c r="E34">
        <f>C34-10240*$D$5-5120*$D$12-5120*$D$20</f>
        <v>-6285.58860000001</v>
      </c>
      <c r="F34">
        <f>E34/20480</f>
        <v>-0.30691350585937549</v>
      </c>
      <c r="G34">
        <f>(E34-$N$8*10240)</f>
        <v>-82.432000000008884</v>
      </c>
      <c r="H34">
        <f>(E34-$N$8*10240)/20480</f>
        <v>-4.0250000000004336E-3</v>
      </c>
      <c r="I34">
        <f>2*(2*22.7316)^2</f>
        <v>4133.8051084799999</v>
      </c>
      <c r="J34">
        <f t="shared" si="0"/>
        <v>-9.7367918766746756E-7</v>
      </c>
      <c r="K34">
        <f t="shared" si="2"/>
        <v>-1.9940949763429736E-2</v>
      </c>
    </row>
    <row r="35" spans="1:24" x14ac:dyDescent="0.2">
      <c r="A35" t="s">
        <v>22</v>
      </c>
      <c r="B35">
        <v>99.861500000000007</v>
      </c>
      <c r="C35">
        <v>-132284</v>
      </c>
      <c r="D35">
        <f>C35/30720</f>
        <v>-4.3061197916666663</v>
      </c>
      <c r="E35">
        <f>C35-15360*$D$5-7680*$D$12-7680*$D$20</f>
        <v>-9385.9829000000136</v>
      </c>
      <c r="F35">
        <f>E35/30720</f>
        <v>-0.30553329752604214</v>
      </c>
      <c r="G35">
        <f>(E35-$N$8*15360)</f>
        <v>-81.248000000012325</v>
      </c>
      <c r="H35">
        <f>(E35-$N$8*15360)/30720</f>
        <v>-2.644791666667068E-3</v>
      </c>
      <c r="I35">
        <f>2*(2*22.7429)^2</f>
        <v>4137.9160032799991</v>
      </c>
      <c r="J35">
        <f t="shared" si="0"/>
        <v>-6.3916030788701911E-7</v>
      </c>
      <c r="K35">
        <f>G35/I35</f>
        <v>-1.9635004658289226E-2</v>
      </c>
    </row>
    <row r="36" spans="1:24" x14ac:dyDescent="0.2">
      <c r="Q36">
        <f>AVERAGE(P39,O47,P48)</f>
        <v>-0.27933204145715634</v>
      </c>
    </row>
    <row r="37" spans="1:24" x14ac:dyDescent="0.2">
      <c r="A37" t="s">
        <v>82</v>
      </c>
    </row>
    <row r="38" spans="1:24" x14ac:dyDescent="0.2">
      <c r="A38" t="s">
        <v>88</v>
      </c>
      <c r="B38" t="s">
        <v>93</v>
      </c>
      <c r="C38" t="s">
        <v>1</v>
      </c>
      <c r="D38" t="s">
        <v>2</v>
      </c>
      <c r="E38" t="s">
        <v>12</v>
      </c>
      <c r="F38" t="s">
        <v>11</v>
      </c>
      <c r="G38" t="s">
        <v>16</v>
      </c>
      <c r="H38" t="s">
        <v>13</v>
      </c>
      <c r="I38" t="s">
        <v>14</v>
      </c>
      <c r="J38" t="s">
        <v>84</v>
      </c>
      <c r="K38" t="s">
        <v>15</v>
      </c>
      <c r="L38" t="s">
        <v>83</v>
      </c>
      <c r="O38" t="s">
        <v>117</v>
      </c>
      <c r="T38" t="s">
        <v>133</v>
      </c>
      <c r="U38" t="s">
        <v>132</v>
      </c>
      <c r="V38" t="s">
        <v>134</v>
      </c>
      <c r="W38" t="s">
        <v>135</v>
      </c>
    </row>
    <row r="39" spans="1:24" x14ac:dyDescent="0.2">
      <c r="A39" t="s">
        <v>32</v>
      </c>
      <c r="B39">
        <v>402</v>
      </c>
      <c r="C39">
        <v>-43189.550524699996</v>
      </c>
      <c r="D39">
        <f>C39/10000</f>
        <v>-4.3189550524699998</v>
      </c>
      <c r="E39">
        <f>C39-5000*$D$3-2500*$D$11-2500*$D$19</f>
        <v>-3052.372636787497</v>
      </c>
      <c r="F39">
        <f>E39/10000</f>
        <v>-0.3052372636787497</v>
      </c>
      <c r="G39">
        <f>(E39-$N$4*5000)</f>
        <v>-25.876358724995953</v>
      </c>
      <c r="H39" t="e">
        <f>(E39-#REF!*5000)/10000</f>
        <v>#REF!</v>
      </c>
      <c r="I39">
        <f>2*(28.5494179)^2</f>
        <v>1630.138524857681</v>
      </c>
      <c r="J39" t="e">
        <f>H39/I39</f>
        <v>#REF!</v>
      </c>
      <c r="K39">
        <f>G39/I39</f>
        <v>-1.5873717681296494E-2</v>
      </c>
      <c r="L39" t="s">
        <v>86</v>
      </c>
      <c r="M39" t="s">
        <v>90</v>
      </c>
      <c r="O39">
        <f>K39*16.02</f>
        <v>-0.25429695725436985</v>
      </c>
      <c r="P39">
        <f>AVERAGE(O39:O42,O45,O46)</f>
        <v>-0.26426608037258953</v>
      </c>
      <c r="S39">
        <f>P39*0.5</f>
        <v>-0.13213304018629476</v>
      </c>
      <c r="T39">
        <f>($F$3*10)*($F$3*10)*($F$3*50)</f>
        <v>116348.54610666892</v>
      </c>
      <c r="U39">
        <f>I39/T39</f>
        <v>1.4010819897681936E-2</v>
      </c>
      <c r="V39">
        <f>($F$3*10)*($F$3*10)*($F$3*25)</f>
        <v>58174.273053334458</v>
      </c>
      <c r="W39">
        <f>I39/V39</f>
        <v>2.8021639795363873E-2</v>
      </c>
      <c r="X39">
        <f>W39/W47</f>
        <v>2</v>
      </c>
    </row>
    <row r="40" spans="1:24" x14ac:dyDescent="0.2">
      <c r="A40" t="s">
        <v>87</v>
      </c>
      <c r="B40">
        <v>2094</v>
      </c>
      <c r="C40">
        <v>-63801.108062599997</v>
      </c>
      <c r="D40">
        <f>C40/15000</f>
        <v>-4.2534072041733335</v>
      </c>
      <c r="E40">
        <f>C40-10000*$D$3-2500*$D$11-2500*$D$19</f>
        <v>-3051.7520462124976</v>
      </c>
      <c r="F40">
        <f>E40/15000</f>
        <v>-0.20345013641416651</v>
      </c>
      <c r="G40">
        <f>(E40-$N$4*5000)</f>
        <v>-25.255768149996584</v>
      </c>
      <c r="H40" t="e">
        <f>(E40-#REF!*5000)/15000</f>
        <v>#REF!</v>
      </c>
      <c r="I40">
        <f t="shared" ref="I40:I51" si="3">2*(28.5494179)^2</f>
        <v>1630.138524857681</v>
      </c>
      <c r="J40" t="e">
        <f>H40/I40</f>
        <v>#REF!</v>
      </c>
      <c r="K40">
        <f t="shared" ref="K40:K52" si="4">G40/I40</f>
        <v>-1.5493019620649438E-2</v>
      </c>
      <c r="L40" t="s">
        <v>85</v>
      </c>
      <c r="M40" t="s">
        <v>90</v>
      </c>
      <c r="O40">
        <f t="shared" ref="O40:O52" si="5">K40*16.02</f>
        <v>-0.248198174322804</v>
      </c>
      <c r="T40">
        <f>($F$3*10)*($F$3*10)*($F$3*75)</f>
        <v>174522.81916000336</v>
      </c>
      <c r="U40">
        <f t="shared" ref="U40:U52" si="6">I40/T40</f>
        <v>9.3405465984546243E-3</v>
      </c>
      <c r="V40">
        <f>($F$3*10)*($F$3*10)*($F$3*25)</f>
        <v>58174.273053334458</v>
      </c>
      <c r="W40">
        <f t="shared" ref="W40:W52" si="7">I40/V40</f>
        <v>2.8021639795363873E-2</v>
      </c>
      <c r="X40">
        <f>W39/W48</f>
        <v>3</v>
      </c>
    </row>
    <row r="41" spans="1:24" x14ac:dyDescent="0.2">
      <c r="A41" t="s">
        <v>89</v>
      </c>
      <c r="B41">
        <v>2573</v>
      </c>
      <c r="C41">
        <v>-43194.673634600003</v>
      </c>
      <c r="D41">
        <f>C41/10000</f>
        <v>-4.3194673634600003</v>
      </c>
      <c r="E41">
        <f>C41-5000*$D$3-2500*$D$11-2500*$D$19</f>
        <v>-3057.4957466875039</v>
      </c>
      <c r="F41">
        <f>E41/10000</f>
        <v>-0.30574957466875041</v>
      </c>
      <c r="G41">
        <f>(E41-$N$4*5000)</f>
        <v>-30.999468625002919</v>
      </c>
      <c r="H41" t="e">
        <f>(E41-#REF!*5000)/10000</f>
        <v>#REF!</v>
      </c>
      <c r="I41">
        <f t="shared" si="3"/>
        <v>1630.138524857681</v>
      </c>
      <c r="J41" t="e">
        <f t="shared" ref="J41" si="8">H41/I41</f>
        <v>#REF!</v>
      </c>
      <c r="K41">
        <f t="shared" si="4"/>
        <v>-1.9016462805030217E-2</v>
      </c>
      <c r="L41" t="s">
        <v>86</v>
      </c>
      <c r="M41" t="s">
        <v>91</v>
      </c>
      <c r="O41">
        <f t="shared" si="5"/>
        <v>-0.30464373413658408</v>
      </c>
      <c r="T41">
        <f t="shared" ref="T41:T52" si="9">($F$3*10)*($F$3*10)*($F$3*50)</f>
        <v>116348.54610666892</v>
      </c>
      <c r="U41">
        <f t="shared" si="6"/>
        <v>1.4010819897681936E-2</v>
      </c>
      <c r="V41">
        <f t="shared" ref="V41:V52" si="10">($F$3*10)*($F$3*10)*($F$3*25)</f>
        <v>58174.273053334458</v>
      </c>
      <c r="W41">
        <f t="shared" si="7"/>
        <v>2.8021639795363873E-2</v>
      </c>
    </row>
    <row r="42" spans="1:24" x14ac:dyDescent="0.2">
      <c r="A42" t="s">
        <v>89</v>
      </c>
      <c r="B42">
        <v>2567</v>
      </c>
      <c r="C42">
        <v>-43194.427545600003</v>
      </c>
      <c r="D42">
        <f>C42/10000</f>
        <v>-4.3194427545600007</v>
      </c>
      <c r="E42">
        <f>C42-5000*$D$3-2500*$D$11-2500*$D$19</f>
        <v>-3057.2496576875037</v>
      </c>
      <c r="F42">
        <f>E42/10000</f>
        <v>-0.30572496576875036</v>
      </c>
      <c r="G42">
        <f>(E42-$N$4*5000)</f>
        <v>-30.753379625002708</v>
      </c>
      <c r="H42" t="e">
        <f>(E42-#REF!*5000)/10000</f>
        <v>#REF!</v>
      </c>
      <c r="I42">
        <f t="shared" si="3"/>
        <v>1630.138524857681</v>
      </c>
      <c r="J42" t="e">
        <f t="shared" ref="J42" si="11">H42/I42</f>
        <v>#REF!</v>
      </c>
      <c r="K42">
        <f t="shared" ref="K42" si="12">G42/I42</f>
        <v>-1.8865500787847232E-2</v>
      </c>
      <c r="L42" t="s">
        <v>86</v>
      </c>
      <c r="M42" t="s">
        <v>125</v>
      </c>
      <c r="O42">
        <f t="shared" si="5"/>
        <v>-0.30222532262131263</v>
      </c>
      <c r="T42">
        <f t="shared" si="9"/>
        <v>116348.54610666892</v>
      </c>
      <c r="U42">
        <f t="shared" si="6"/>
        <v>1.4010819897681936E-2</v>
      </c>
      <c r="V42">
        <f t="shared" si="10"/>
        <v>58174.273053334458</v>
      </c>
      <c r="W42">
        <f t="shared" si="7"/>
        <v>2.8021639795363873E-2</v>
      </c>
    </row>
    <row r="43" spans="1:24" x14ac:dyDescent="0.2">
      <c r="A43" t="s">
        <v>130</v>
      </c>
      <c r="B43">
        <v>1165</v>
      </c>
      <c r="C43">
        <v>-43164.5327798</v>
      </c>
      <c r="D43">
        <f>C43/10000</f>
        <v>-4.31645327798</v>
      </c>
      <c r="E43">
        <f>C43-5100*$D$3-2500*$D$11-2400*$D$19</f>
        <v>-2951.1113281030011</v>
      </c>
      <c r="F43">
        <f>E43/10000</f>
        <v>-0.2951111328103001</v>
      </c>
      <c r="G43">
        <f>(E43-$N$4*4900)</f>
        <v>14.855024398249952</v>
      </c>
      <c r="H43" t="e">
        <f>(E43-#REF!*4900)/10000</f>
        <v>#REF!</v>
      </c>
      <c r="I43">
        <f t="shared" si="3"/>
        <v>1630.138524857681</v>
      </c>
      <c r="J43" t="e">
        <f t="shared" ref="J43" si="13">H43/I43</f>
        <v>#REF!</v>
      </c>
      <c r="K43">
        <f t="shared" ref="K43" si="14">G43/I43</f>
        <v>9.1127374586444237E-3</v>
      </c>
      <c r="L43" t="s">
        <v>86</v>
      </c>
      <c r="M43" t="s">
        <v>125</v>
      </c>
      <c r="O43">
        <f t="shared" ref="O43" si="15">K43*16.02</f>
        <v>0.14598605408748366</v>
      </c>
      <c r="P43" t="s">
        <v>131</v>
      </c>
      <c r="T43">
        <f t="shared" si="9"/>
        <v>116348.54610666892</v>
      </c>
      <c r="U43">
        <f t="shared" si="6"/>
        <v>1.4010819897681936E-2</v>
      </c>
      <c r="V43">
        <f t="shared" si="10"/>
        <v>58174.273053334458</v>
      </c>
      <c r="W43">
        <f t="shared" si="7"/>
        <v>2.8021639795363873E-2</v>
      </c>
    </row>
    <row r="44" spans="1:24" x14ac:dyDescent="0.2">
      <c r="A44" t="s">
        <v>130</v>
      </c>
      <c r="B44">
        <v>1521</v>
      </c>
      <c r="C44">
        <v>-43142.992631200003</v>
      </c>
      <c r="D44">
        <f>C44/10000</f>
        <v>-4.3142992631200006</v>
      </c>
      <c r="E44">
        <f>C44-5100*$D$3-2400*$D$11-2500*$D$19</f>
        <v>-3038.5711723105032</v>
      </c>
      <c r="F44">
        <f>E44/10000</f>
        <v>-0.3038571172310503</v>
      </c>
      <c r="G44">
        <f>(E44-$N$4*4900)</f>
        <v>-72.604819809252149</v>
      </c>
      <c r="H44" t="e">
        <f>(E44-#REF!*4900)/10000</f>
        <v>#REF!</v>
      </c>
      <c r="I44">
        <f t="shared" si="3"/>
        <v>1630.138524857681</v>
      </c>
      <c r="J44" t="e">
        <f t="shared" ref="J44" si="16">H44/I44</f>
        <v>#REF!</v>
      </c>
      <c r="K44">
        <f t="shared" ref="K44" si="17">G44/I44</f>
        <v>-4.4539049106633991E-2</v>
      </c>
      <c r="L44" t="s">
        <v>86</v>
      </c>
      <c r="M44" t="s">
        <v>125</v>
      </c>
      <c r="O44">
        <f t="shared" ref="O44" si="18">K44*16.02</f>
        <v>-0.71351556668827654</v>
      </c>
      <c r="P44" t="s">
        <v>129</v>
      </c>
      <c r="R44">
        <f>(O43+O44)/2</f>
        <v>-0.28376475630039644</v>
      </c>
      <c r="T44">
        <f t="shared" si="9"/>
        <v>116348.54610666892</v>
      </c>
      <c r="U44">
        <f t="shared" si="6"/>
        <v>1.4010819897681936E-2</v>
      </c>
      <c r="V44">
        <f t="shared" si="10"/>
        <v>58174.273053334458</v>
      </c>
      <c r="W44">
        <f t="shared" si="7"/>
        <v>2.8021639795363873E-2</v>
      </c>
    </row>
    <row r="45" spans="1:24" x14ac:dyDescent="0.2">
      <c r="A45" t="s">
        <v>92</v>
      </c>
      <c r="B45">
        <v>1739</v>
      </c>
      <c r="C45">
        <v>-63801.253807599998</v>
      </c>
      <c r="D45">
        <f>C45/15000</f>
        <v>-4.253416920506667</v>
      </c>
      <c r="E45">
        <f>C45-10000*$D$3-2500*$D$11-2500*$D$19</f>
        <v>-3051.8977912124992</v>
      </c>
      <c r="F45">
        <f>E45/15000</f>
        <v>-0.20345985274749995</v>
      </c>
      <c r="G45">
        <f>(E45-$N$4*5000)</f>
        <v>-25.401513149998209</v>
      </c>
      <c r="H45" t="e">
        <f>(E45-#REF!*5000)/15000</f>
        <v>#REF!</v>
      </c>
      <c r="I45">
        <f t="shared" si="3"/>
        <v>1630.138524857681</v>
      </c>
      <c r="J45" t="e">
        <f>H45/I45</f>
        <v>#REF!</v>
      </c>
      <c r="K45">
        <f t="shared" si="4"/>
        <v>-1.5582426132905414E-2</v>
      </c>
      <c r="L45" t="s">
        <v>85</v>
      </c>
      <c r="M45" t="s">
        <v>91</v>
      </c>
      <c r="O45">
        <f t="shared" si="5"/>
        <v>-0.24963046664914473</v>
      </c>
      <c r="T45">
        <f>($F$3*10)*($F$3*10)*($F$3*75)</f>
        <v>174522.81916000336</v>
      </c>
      <c r="U45">
        <f t="shared" si="6"/>
        <v>9.3405465984546243E-3</v>
      </c>
      <c r="V45">
        <f t="shared" si="10"/>
        <v>58174.273053334458</v>
      </c>
      <c r="W45">
        <f t="shared" si="7"/>
        <v>2.8021639795363873E-2</v>
      </c>
    </row>
    <row r="46" spans="1:24" x14ac:dyDescent="0.2">
      <c r="A46" t="s">
        <v>94</v>
      </c>
      <c r="B46">
        <v>2012</v>
      </c>
      <c r="C46">
        <v>-84411.088623200005</v>
      </c>
      <c r="D46">
        <f>C46/20000</f>
        <v>-4.2205544311600001</v>
      </c>
      <c r="E46">
        <f>C46-15000*$D$3-2500*$D$11-2500*$D$19</f>
        <v>-3049.5544783375026</v>
      </c>
      <c r="F46">
        <f>E46/20000</f>
        <v>-0.15247772391687514</v>
      </c>
      <c r="G46">
        <f>(E46-$N$4*5000)</f>
        <v>-23.058200275001582</v>
      </c>
      <c r="H46" t="e">
        <f>(E46-#REF!*5000)/10000</f>
        <v>#REF!</v>
      </c>
      <c r="I46">
        <f t="shared" si="3"/>
        <v>1630.138524857681</v>
      </c>
      <c r="J46" t="e">
        <f>H46/I46</f>
        <v>#REF!</v>
      </c>
      <c r="K46">
        <f t="shared" si="4"/>
        <v>-1.4144933036911495E-2</v>
      </c>
      <c r="L46" t="s">
        <v>95</v>
      </c>
      <c r="M46" t="s">
        <v>91</v>
      </c>
      <c r="O46">
        <f t="shared" si="5"/>
        <v>-0.22660182725132214</v>
      </c>
      <c r="T46">
        <f>($F$3*10)*($F$3*10)*($F$3*100)</f>
        <v>232697.09221333783</v>
      </c>
      <c r="U46">
        <f t="shared" si="6"/>
        <v>7.0054099488409682E-3</v>
      </c>
      <c r="V46">
        <f t="shared" si="10"/>
        <v>58174.273053334458</v>
      </c>
      <c r="W46">
        <f t="shared" si="7"/>
        <v>2.8021639795363873E-2</v>
      </c>
    </row>
    <row r="47" spans="1:24" x14ac:dyDescent="0.2">
      <c r="A47" t="s">
        <v>97</v>
      </c>
      <c r="B47">
        <v>2510</v>
      </c>
      <c r="C47">
        <v>-65744.700201700005</v>
      </c>
      <c r="D47">
        <f>C47/15000</f>
        <v>-4.3829800134466668</v>
      </c>
      <c r="E47">
        <f>C47-5000*$D$3-5000*$D$11-5000*$D$19</f>
        <v>-6082.5225543500019</v>
      </c>
      <c r="F47">
        <f>E47/15000</f>
        <v>-0.40550150362333348</v>
      </c>
      <c r="G47">
        <f>(E47-$N$4*10000)</f>
        <v>-29.529998224999872</v>
      </c>
      <c r="H47" t="e">
        <f>(E47-#REF!*10000)/15000</f>
        <v>#REF!</v>
      </c>
      <c r="I47">
        <f t="shared" si="3"/>
        <v>1630.138524857681</v>
      </c>
      <c r="J47" t="e">
        <f t="shared" ref="J47" si="19">H47/I47</f>
        <v>#REF!</v>
      </c>
      <c r="K47">
        <f t="shared" si="4"/>
        <v>-1.811502383061463E-2</v>
      </c>
      <c r="L47" t="s">
        <v>98</v>
      </c>
      <c r="M47" t="s">
        <v>91</v>
      </c>
      <c r="O47">
        <f t="shared" si="5"/>
        <v>-0.29020268176644637</v>
      </c>
      <c r="S47">
        <f>O47*0.333333</f>
        <v>-9.673413052125486E-2</v>
      </c>
      <c r="T47">
        <f>($F$3*10)*($F$3*10)*($F$3*75)</f>
        <v>174522.81916000336</v>
      </c>
      <c r="U47">
        <f t="shared" si="6"/>
        <v>9.3405465984546243E-3</v>
      </c>
      <c r="V47">
        <f>($F$3*10)*($F$3*10)*($F$3*50)</f>
        <v>116348.54610666892</v>
      </c>
      <c r="W47">
        <f t="shared" si="7"/>
        <v>1.4010819897681936E-2</v>
      </c>
    </row>
    <row r="48" spans="1:24" x14ac:dyDescent="0.2">
      <c r="A48" t="s">
        <v>99</v>
      </c>
      <c r="B48">
        <v>2536</v>
      </c>
      <c r="C48">
        <v>-88296.013279499995</v>
      </c>
      <c r="D48">
        <f>C48/20000</f>
        <v>-4.4148006639749999</v>
      </c>
      <c r="E48">
        <f>C48-5000*$D$3-7500*$D$11-7500*$D$19</f>
        <v>-9108.8358727124942</v>
      </c>
      <c r="F48">
        <f>E48/20000</f>
        <v>-0.4554417936356247</v>
      </c>
      <c r="G48">
        <f>(E48-$N$4*15000)</f>
        <v>-29.347038524991149</v>
      </c>
      <c r="H48" t="e">
        <f>(E48-#REF!*15000)/20000</f>
        <v>#REF!</v>
      </c>
      <c r="I48">
        <f t="shared" si="3"/>
        <v>1630.138524857681</v>
      </c>
      <c r="J48" t="e">
        <f t="shared" ref="J48" si="20">H48/I48</f>
        <v>#REF!</v>
      </c>
      <c r="K48">
        <f t="shared" si="4"/>
        <v>-1.8002788154186645E-2</v>
      </c>
      <c r="L48" t="s">
        <v>126</v>
      </c>
      <c r="M48" t="s">
        <v>91</v>
      </c>
      <c r="O48">
        <f t="shared" si="5"/>
        <v>-0.28840466623007005</v>
      </c>
      <c r="P48">
        <f>AVERAGE(O48:O49)</f>
        <v>-0.28352736223243313</v>
      </c>
      <c r="S48">
        <f>P48*0.25</f>
        <v>-7.0881840558108283E-2</v>
      </c>
      <c r="T48">
        <f>($F$3*10)*($F$3*10)*($F$3*100)</f>
        <v>232697.09221333783</v>
      </c>
      <c r="U48">
        <f t="shared" si="6"/>
        <v>7.0054099488409682E-3</v>
      </c>
      <c r="V48">
        <f>($F$3*10)*($F$3*10)*($F$3*75)</f>
        <v>174522.81916000336</v>
      </c>
      <c r="W48">
        <f t="shared" si="7"/>
        <v>9.3405465984546243E-3</v>
      </c>
    </row>
    <row r="49" spans="1:24" x14ac:dyDescent="0.2">
      <c r="A49" t="s">
        <v>99</v>
      </c>
      <c r="B49">
        <v>1631</v>
      </c>
      <c r="C49">
        <v>-88295.020685099997</v>
      </c>
      <c r="D49">
        <f>C49/20000</f>
        <v>-4.4147510342549996</v>
      </c>
      <c r="E49">
        <f>C49-5000*$D$3-7500*$D$11-7500*$D$19</f>
        <v>-9107.8432783124954</v>
      </c>
      <c r="F49">
        <f>E49/20000</f>
        <v>-0.45539216391562476</v>
      </c>
      <c r="G49">
        <f>(E49-$N$4*15000)</f>
        <v>-28.354444124992369</v>
      </c>
      <c r="H49" t="e">
        <f>(E49-#REF!*15000)/20000</f>
        <v>#REF!</v>
      </c>
      <c r="I49">
        <f t="shared" si="3"/>
        <v>1630.138524857681</v>
      </c>
      <c r="J49" t="e">
        <f t="shared" ref="J49" si="21">H49/I49</f>
        <v>#REF!</v>
      </c>
      <c r="K49">
        <f t="shared" ref="K49" si="22">G49/I49</f>
        <v>-1.739388628182249E-2</v>
      </c>
      <c r="L49" t="s">
        <v>126</v>
      </c>
      <c r="M49" t="s">
        <v>125</v>
      </c>
      <c r="O49">
        <f t="shared" si="5"/>
        <v>-0.27865005823479627</v>
      </c>
      <c r="T49">
        <f t="shared" ref="T49:T51" si="23">($F$3*10)*($F$3*10)*($F$3*100)</f>
        <v>232697.09221333783</v>
      </c>
      <c r="U49">
        <f t="shared" si="6"/>
        <v>7.0054099488409682E-3</v>
      </c>
      <c r="V49">
        <f t="shared" ref="V49:V51" si="24">($F$3*10)*($F$3*10)*($F$3*75)</f>
        <v>174522.81916000336</v>
      </c>
      <c r="W49">
        <f t="shared" si="7"/>
        <v>9.3405465984546243E-3</v>
      </c>
    </row>
    <row r="50" spans="1:24" x14ac:dyDescent="0.2">
      <c r="A50" t="s">
        <v>127</v>
      </c>
      <c r="B50">
        <v>1811</v>
      </c>
      <c r="C50">
        <v>-88266.757542499996</v>
      </c>
      <c r="D50">
        <f>C50/20000</f>
        <v>-4.4133378771249996</v>
      </c>
      <c r="E50">
        <f>C50-5100*$D$3-7500*$D$11-7400*$D$19</f>
        <v>-9003.3365719280009</v>
      </c>
      <c r="F50">
        <f>E50/20000</f>
        <v>-0.45016682859640006</v>
      </c>
      <c r="G50">
        <f>(E50-$N$4*14900)</f>
        <v>15.622336698252184</v>
      </c>
      <c r="H50" t="e">
        <f>(E50-#REF!*14900)/20000</f>
        <v>#REF!</v>
      </c>
      <c r="I50">
        <f t="shared" si="3"/>
        <v>1630.138524857681</v>
      </c>
      <c r="J50" t="e">
        <f t="shared" ref="J50" si="25">H50/I50</f>
        <v>#REF!</v>
      </c>
      <c r="K50">
        <f t="shared" ref="K50" si="26">G50/I50</f>
        <v>9.5834411984196798E-3</v>
      </c>
      <c r="L50" t="s">
        <v>126</v>
      </c>
      <c r="M50" t="s">
        <v>125</v>
      </c>
      <c r="O50">
        <f t="shared" ref="O50" si="27">K50*16.02</f>
        <v>0.15352672799868328</v>
      </c>
      <c r="P50" t="s">
        <v>128</v>
      </c>
      <c r="T50">
        <f t="shared" si="23"/>
        <v>232697.09221333783</v>
      </c>
      <c r="U50">
        <f t="shared" si="6"/>
        <v>7.0054099488409682E-3</v>
      </c>
      <c r="V50">
        <f t="shared" si="24"/>
        <v>174522.81916000336</v>
      </c>
      <c r="W50">
        <f t="shared" si="7"/>
        <v>9.3405465984546243E-3</v>
      </c>
    </row>
    <row r="51" spans="1:24" x14ac:dyDescent="0.2">
      <c r="A51" t="s">
        <v>127</v>
      </c>
      <c r="B51">
        <v>1690</v>
      </c>
      <c r="C51">
        <v>-88245.489699400001</v>
      </c>
      <c r="D51">
        <f>C51/20000</f>
        <v>-4.4122744849700002</v>
      </c>
      <c r="E51">
        <f>C51-5100*$D$3-7400*$D$11-7500*$D$19</f>
        <v>-9091.0687216355072</v>
      </c>
      <c r="F51">
        <f>E51/20000</f>
        <v>-0.45455343608177534</v>
      </c>
      <c r="G51">
        <f>(E51-$N$4*14900)</f>
        <v>-72.10981300925414</v>
      </c>
      <c r="H51" t="e">
        <f>(E51-#REF!*14900)/20000</f>
        <v>#REF!</v>
      </c>
      <c r="I51">
        <f t="shared" si="3"/>
        <v>1630.138524857681</v>
      </c>
      <c r="J51" t="e">
        <f t="shared" ref="J51" si="28">H51/I51</f>
        <v>#REF!</v>
      </c>
      <c r="K51">
        <f t="shared" ref="K51" si="29">G51/I51</f>
        <v>-4.4235389759621609E-2</v>
      </c>
      <c r="L51" t="s">
        <v>126</v>
      </c>
      <c r="M51" t="s">
        <v>125</v>
      </c>
      <c r="O51">
        <f t="shared" ref="O51" si="30">K51*16.02</f>
        <v>-0.70865094394913819</v>
      </c>
      <c r="P51" t="s">
        <v>129</v>
      </c>
      <c r="R51">
        <f>(O50+O51)/2</f>
        <v>-0.27756210797522746</v>
      </c>
      <c r="T51">
        <f t="shared" si="23"/>
        <v>232697.09221333783</v>
      </c>
      <c r="U51">
        <f t="shared" si="6"/>
        <v>7.0054099488409682E-3</v>
      </c>
      <c r="V51">
        <f t="shared" si="24"/>
        <v>174522.81916000336</v>
      </c>
      <c r="W51">
        <f t="shared" si="7"/>
        <v>9.3405465984546243E-3</v>
      </c>
    </row>
    <row r="52" spans="1:24" x14ac:dyDescent="0.2">
      <c r="A52" s="1" t="s">
        <v>96</v>
      </c>
      <c r="B52" s="1">
        <v>2950</v>
      </c>
      <c r="C52" s="1">
        <v>-43190.7368804</v>
      </c>
      <c r="D52" s="1">
        <f>C52/10000</f>
        <v>-4.3190736880399996</v>
      </c>
      <c r="E52" s="1">
        <f>C52-5000*$D$3-2500*$D$11-2500*$D$19</f>
        <v>-3053.5589924875003</v>
      </c>
      <c r="F52" s="1">
        <f>E52/10000</f>
        <v>-0.30535589924875001</v>
      </c>
      <c r="G52">
        <f>(E52-$N$4*5000)</f>
        <v>-27.062714424999285</v>
      </c>
      <c r="H52" t="e">
        <f>(E52-#REF!*5000)/10000</f>
        <v>#REF!</v>
      </c>
      <c r="I52" s="1">
        <f>(28.456339*28.456341)*2</f>
        <v>1619.526572391198</v>
      </c>
      <c r="J52" s="1" t="e">
        <f t="shared" ref="J52" si="31">H52/I52</f>
        <v>#REF!</v>
      </c>
      <c r="K52" s="1">
        <f t="shared" si="4"/>
        <v>-1.6710262669566291E-2</v>
      </c>
      <c r="L52" s="1" t="s">
        <v>86</v>
      </c>
      <c r="M52" s="1" t="s">
        <v>103</v>
      </c>
      <c r="N52" s="1"/>
      <c r="O52">
        <f t="shared" si="5"/>
        <v>-0.267698407966452</v>
      </c>
      <c r="T52">
        <f t="shared" si="9"/>
        <v>116348.54610666892</v>
      </c>
      <c r="U52">
        <f t="shared" si="6"/>
        <v>1.3919611603108544E-2</v>
      </c>
      <c r="V52">
        <f t="shared" si="10"/>
        <v>58174.273053334458</v>
      </c>
      <c r="W52">
        <f t="shared" si="7"/>
        <v>2.7839223206217088E-2</v>
      </c>
    </row>
    <row r="53" spans="1:24" x14ac:dyDescent="0.2">
      <c r="C53" t="s">
        <v>165</v>
      </c>
      <c r="R53" t="s">
        <v>117</v>
      </c>
      <c r="S53" t="s">
        <v>145</v>
      </c>
    </row>
    <row r="54" spans="1:24" x14ac:dyDescent="0.2">
      <c r="A54" t="s">
        <v>139</v>
      </c>
      <c r="B54">
        <v>4972</v>
      </c>
      <c r="C54">
        <v>10000</v>
      </c>
      <c r="D54">
        <v>-43195.808110999998</v>
      </c>
      <c r="E54">
        <f>D54/10000</f>
        <v>-4.3195808110999998</v>
      </c>
      <c r="F54">
        <f>D54-5000*$D$3-2500*$D$11-2500*$D$19</f>
        <v>-3058.630223087499</v>
      </c>
      <c r="G54">
        <f>F54/10000</f>
        <v>-0.3058630223087499</v>
      </c>
      <c r="H54">
        <f>(F54-$N$4*5000)</f>
        <v>-32.133945024997956</v>
      </c>
      <c r="I54">
        <f>(F54-$N$4*5000)/10000</f>
        <v>-3.2133945024997957E-3</v>
      </c>
      <c r="J54">
        <f>2*(28.5494)^2</f>
        <v>1630.1364807199998</v>
      </c>
      <c r="K54">
        <f t="shared" ref="K54:K82" si="32">I54/J54</f>
        <v>-1.9712426171092751E-6</v>
      </c>
      <c r="L54">
        <f>H54/J54</f>
        <v>-1.9712426171092749E-2</v>
      </c>
      <c r="M54" t="s">
        <v>86</v>
      </c>
      <c r="N54" t="s">
        <v>125</v>
      </c>
      <c r="R54">
        <f>L54*16.02</f>
        <v>-0.31579306726090584</v>
      </c>
      <c r="S54">
        <f>142.747-140.795</f>
        <v>1.9520000000000266</v>
      </c>
      <c r="T54">
        <f>S54/25</f>
        <v>7.8080000000001065E-2</v>
      </c>
      <c r="U54">
        <f>(140.7955-25*2.85494)/25</f>
        <v>2.7768799999999998</v>
      </c>
    </row>
    <row r="55" spans="1:24" x14ac:dyDescent="0.2">
      <c r="A55" t="s">
        <v>140</v>
      </c>
      <c r="B55">
        <v>1521</v>
      </c>
      <c r="D55">
        <v>-43142.992631200003</v>
      </c>
      <c r="E55">
        <f t="shared" ref="E55" si="33">D55/10000</f>
        <v>-4.3142992631200006</v>
      </c>
      <c r="F55">
        <f>D55-5100*$D$3-2400*$D$11-2500*$D$19</f>
        <v>-3038.5711723105032</v>
      </c>
      <c r="G55">
        <f>F55/10000</f>
        <v>-0.3038571172310503</v>
      </c>
      <c r="H55">
        <f>(F55-$N$4*4900)</f>
        <v>-72.604819809252149</v>
      </c>
      <c r="I55">
        <f>(F55-$N$4*4900)/10000</f>
        <v>-7.2604819809252152E-3</v>
      </c>
      <c r="J55">
        <f>2*(28.5494)^2</f>
        <v>1630.1364807199998</v>
      </c>
      <c r="K55">
        <f t="shared" si="32"/>
        <v>-4.453910495714077E-6</v>
      </c>
      <c r="L55">
        <f>H55/J55</f>
        <v>-4.4539104957140765E-2</v>
      </c>
      <c r="M55" t="s">
        <v>86</v>
      </c>
      <c r="N55" t="s">
        <v>125</v>
      </c>
      <c r="P55" t="s">
        <v>143</v>
      </c>
      <c r="Q55">
        <f>AVERAGE(L55:L56)</f>
        <v>-1.7713178035711225E-2</v>
      </c>
      <c r="R55">
        <f t="shared" ref="R55:R82" si="34">L55*16.02</f>
        <v>-0.71351646141339509</v>
      </c>
    </row>
    <row r="56" spans="1:24" x14ac:dyDescent="0.2">
      <c r="A56" t="s">
        <v>141</v>
      </c>
      <c r="B56">
        <v>1165</v>
      </c>
      <c r="D56">
        <v>-43164.5327798</v>
      </c>
      <c r="E56">
        <f>D56/10000</f>
        <v>-4.31645327798</v>
      </c>
      <c r="F56">
        <f>D56-5100*$D$3-2500*$D$11-2400*$D$19</f>
        <v>-2951.1113281030011</v>
      </c>
      <c r="G56">
        <f>F56/10000</f>
        <v>-0.2951111328103001</v>
      </c>
      <c r="H56">
        <f>(F56-$N$4*4900)</f>
        <v>14.855024398249952</v>
      </c>
      <c r="I56">
        <f>(F56-$N$4*4900)/10000</f>
        <v>1.4855024398249953E-3</v>
      </c>
      <c r="J56">
        <f>2*(28.5494)^2</f>
        <v>1630.1364807199998</v>
      </c>
      <c r="K56">
        <f t="shared" si="32"/>
        <v>9.1127488857183144E-7</v>
      </c>
      <c r="L56">
        <f>H56/J56</f>
        <v>9.112748885718315E-3</v>
      </c>
      <c r="M56" t="s">
        <v>86</v>
      </c>
      <c r="N56" t="s">
        <v>125</v>
      </c>
      <c r="P56" t="s">
        <v>144</v>
      </c>
      <c r="Q56">
        <f>AVERAGE(R55:R56)</f>
        <v>-0.28376511213209382</v>
      </c>
      <c r="R56">
        <f t="shared" si="34"/>
        <v>0.14598623714920742</v>
      </c>
    </row>
    <row r="57" spans="1:24" x14ac:dyDescent="0.2">
      <c r="A57" t="s">
        <v>150</v>
      </c>
      <c r="B57">
        <v>17300</v>
      </c>
      <c r="C57">
        <v>10000</v>
      </c>
      <c r="D57">
        <v>-43196.650538900001</v>
      </c>
      <c r="E57">
        <f>D57/10000</f>
        <v>-4.3196650538900006</v>
      </c>
      <c r="F57">
        <f>D57-5000*$D$3-2500*$D$11-2500*$D$19</f>
        <v>-3059.4726509875018</v>
      </c>
      <c r="G57">
        <f>F57/10000</f>
        <v>-0.3059472650987502</v>
      </c>
      <c r="H57">
        <f>(F57-$N$3*5000)</f>
        <v>-30.117429956249453</v>
      </c>
      <c r="I57">
        <f>(F57-$N$3*5000)/10000</f>
        <v>-3.0117429956249453E-3</v>
      </c>
      <c r="J57">
        <f>2*28.456856*28.456878</f>
        <v>1619.5865589111359</v>
      </c>
      <c r="K57">
        <f t="shared" si="32"/>
        <v>-1.8595751977898422E-6</v>
      </c>
      <c r="L57">
        <f>H57/J57</f>
        <v>-1.8595751977898423E-2</v>
      </c>
      <c r="M57" t="s">
        <v>86</v>
      </c>
      <c r="N57" t="s">
        <v>151</v>
      </c>
      <c r="R57">
        <f t="shared" si="34"/>
        <v>-0.29790394668593273</v>
      </c>
    </row>
    <row r="58" spans="1:24" x14ac:dyDescent="0.2">
      <c r="A58" t="s">
        <v>168</v>
      </c>
      <c r="B58">
        <v>4972</v>
      </c>
      <c r="C58">
        <v>10000</v>
      </c>
      <c r="D58">
        <v>-43195.808110999998</v>
      </c>
      <c r="E58">
        <f>D58/10000</f>
        <v>-4.3195808110999998</v>
      </c>
      <c r="F58">
        <f>D58-5000*$D$3-2500*$D$11-2500*$D$19</f>
        <v>-3058.630223087499</v>
      </c>
      <c r="G58">
        <f>F58/10000</f>
        <v>-0.3058630223087499</v>
      </c>
      <c r="H58">
        <f>(F58-$N$4*5000)</f>
        <v>-32.133945024997956</v>
      </c>
      <c r="I58">
        <f>(F58-$N$4*5000)/10000</f>
        <v>-3.2133945024997957E-3</v>
      </c>
      <c r="J58">
        <f>2*(28.5494)^2</f>
        <v>1630.1364807199998</v>
      </c>
      <c r="K58">
        <f t="shared" si="32"/>
        <v>-1.9712426171092751E-6</v>
      </c>
      <c r="L58">
        <f>H58/J58</f>
        <v>-1.9712426171092749E-2</v>
      </c>
      <c r="M58" t="s">
        <v>86</v>
      </c>
      <c r="N58" t="s">
        <v>169</v>
      </c>
    </row>
    <row r="59" spans="1:24" x14ac:dyDescent="0.2">
      <c r="A59" t="s">
        <v>142</v>
      </c>
      <c r="B59">
        <v>1043</v>
      </c>
      <c r="C59">
        <v>15000</v>
      </c>
      <c r="D59">
        <v>-65742.827499399995</v>
      </c>
      <c r="E59">
        <f>D59/15000</f>
        <v>-4.3828551666266664</v>
      </c>
      <c r="F59">
        <f>D59-5000*$D$3-5000*$D$11-5000*$D$19</f>
        <v>-6080.6498520499918</v>
      </c>
      <c r="G59">
        <f>F59/15000</f>
        <v>-0.40537665680333279</v>
      </c>
      <c r="H59">
        <f>(F59-$N$4*10000)</f>
        <v>-27.657295924989739</v>
      </c>
      <c r="I59">
        <f>(F59-$N$4*10000)/15000</f>
        <v>-1.8438197283326492E-3</v>
      </c>
      <c r="J59">
        <f>2*(28.5494)^2</f>
        <v>1630.1364807199998</v>
      </c>
      <c r="K59">
        <f t="shared" si="32"/>
        <v>-1.1310830412912847E-6</v>
      </c>
      <c r="L59">
        <f t="shared" ref="L59" si="35">H59/J59</f>
        <v>-1.6966245619369272E-2</v>
      </c>
      <c r="M59" t="s">
        <v>98</v>
      </c>
      <c r="N59" t="s">
        <v>125</v>
      </c>
      <c r="R59">
        <f t="shared" si="34"/>
        <v>-0.27179925482229572</v>
      </c>
      <c r="S59">
        <f>214.1205-210.91655</f>
        <v>3.2039499999999919</v>
      </c>
      <c r="T59">
        <f>S59/50</f>
        <v>6.4078999999999831E-2</v>
      </c>
      <c r="U59">
        <f>(210.91655-25*2.85494)/50</f>
        <v>2.790861</v>
      </c>
    </row>
    <row r="60" spans="1:24" x14ac:dyDescent="0.2">
      <c r="A60" t="s">
        <v>152</v>
      </c>
      <c r="B60">
        <v>26145</v>
      </c>
      <c r="C60">
        <v>15000</v>
      </c>
      <c r="D60">
        <v>-65750.197228399993</v>
      </c>
      <c r="E60">
        <f>D60/15000</f>
        <v>-4.3833464818933328</v>
      </c>
      <c r="F60">
        <f>D60-5000*$D$3-5000*$D$11-5000*$D$19</f>
        <v>-6088.0195810499899</v>
      </c>
      <c r="G60">
        <f>F60/15000</f>
        <v>-0.40586797206999931</v>
      </c>
      <c r="H60">
        <f>(F60-$N$3*10000)</f>
        <v>-29.309138987485312</v>
      </c>
      <c r="I60">
        <f>(F60-$N$3*10000)/15000</f>
        <v>-1.9539425991656873E-3</v>
      </c>
      <c r="J60">
        <f>2*28.42949*28.429304</f>
        <v>1616.4612275499201</v>
      </c>
      <c r="K60">
        <f t="shared" si="32"/>
        <v>-1.2087778944919636E-6</v>
      </c>
      <c r="L60">
        <f t="shared" ref="L60" si="36">H60/J60</f>
        <v>-1.8131668417379457E-2</v>
      </c>
      <c r="M60" t="s">
        <v>98</v>
      </c>
      <c r="N60" t="s">
        <v>151</v>
      </c>
      <c r="R60">
        <f t="shared" si="34"/>
        <v>-0.2904693280464189</v>
      </c>
    </row>
    <row r="61" spans="1:24" x14ac:dyDescent="0.2">
      <c r="A61" t="s">
        <v>146</v>
      </c>
      <c r="B61">
        <v>772</v>
      </c>
      <c r="C61">
        <v>25000</v>
      </c>
      <c r="D61">
        <v>-110843.797316</v>
      </c>
      <c r="E61">
        <f>D61/25000</f>
        <v>-4.4337518926400001</v>
      </c>
      <c r="F61">
        <f>D61-5000*$D$3-10000*$D$11-10000*$D$19</f>
        <v>-12131.620149774993</v>
      </c>
      <c r="G61">
        <f>F61/25000</f>
        <v>-0.48526480599099975</v>
      </c>
      <c r="H61">
        <f>(F61-$N$4*20000)</f>
        <v>-25.635037524989457</v>
      </c>
      <c r="I61">
        <f>(F61-$N$4*20000)/25000</f>
        <v>-1.0254015009995782E-3</v>
      </c>
      <c r="J61">
        <f>2*(28.5494)^2</f>
        <v>1630.1364807199998</v>
      </c>
      <c r="K61">
        <f t="shared" si="32"/>
        <v>-6.2902800662842548E-7</v>
      </c>
      <c r="L61">
        <f>H61/J61</f>
        <v>-1.5725700165710638E-2</v>
      </c>
      <c r="M61" t="s">
        <v>148</v>
      </c>
      <c r="N61" t="s">
        <v>125</v>
      </c>
      <c r="R61">
        <f t="shared" si="34"/>
        <v>-0.25192571665468444</v>
      </c>
      <c r="S61">
        <f>356.8675-350.93549</f>
        <v>5.9320099999999911</v>
      </c>
      <c r="T61">
        <f>S61/100</f>
        <v>5.932009999999991E-2</v>
      </c>
      <c r="U61">
        <f>(350.93549-25*2.85494)/100</f>
        <v>2.7956199000000002</v>
      </c>
    </row>
    <row r="62" spans="1:24" x14ac:dyDescent="0.2">
      <c r="A62" t="s">
        <v>153</v>
      </c>
      <c r="B62">
        <v>5505</v>
      </c>
      <c r="C62">
        <v>25000</v>
      </c>
      <c r="D62">
        <v>-110853.085357</v>
      </c>
      <c r="E62">
        <f>D62/25000</f>
        <v>-4.4341234142800001</v>
      </c>
      <c r="F62">
        <f>D62-5000*$D$3-10000*$D$11-10000*$D$19</f>
        <v>-12140.908190775001</v>
      </c>
      <c r="G62">
        <f>F62/25000</f>
        <v>-0.48563632763100001</v>
      </c>
      <c r="H62">
        <f>(F62-$N$3*20000)</f>
        <v>-23.487306649991297</v>
      </c>
      <c r="I62">
        <f>(F62-$N$3*20000)/25000</f>
        <v>-9.3949226599965188E-4</v>
      </c>
      <c r="J62">
        <f>2*28.385198*28.385201</f>
        <v>1611.4391013095958</v>
      </c>
      <c r="K62">
        <f t="shared" si="32"/>
        <v>-5.8301444046885703E-7</v>
      </c>
      <c r="L62">
        <f>H62/J62</f>
        <v>-1.4575361011721426E-2</v>
      </c>
      <c r="M62" t="s">
        <v>148</v>
      </c>
      <c r="N62" t="s">
        <v>151</v>
      </c>
      <c r="R62">
        <f t="shared" si="34"/>
        <v>-0.23349728340777723</v>
      </c>
    </row>
    <row r="63" spans="1:24" x14ac:dyDescent="0.2">
      <c r="A63" t="s">
        <v>147</v>
      </c>
      <c r="B63">
        <v>2317</v>
      </c>
      <c r="C63">
        <v>40000</v>
      </c>
      <c r="D63">
        <v>-172662.190172</v>
      </c>
      <c r="E63">
        <f>D63/40000</f>
        <v>-4.3165547543000002</v>
      </c>
      <c r="F63">
        <f>D63-20000*$D$3-10000*$D$11-10000*$D$19</f>
        <v>-12113.478620350004</v>
      </c>
      <c r="G63">
        <f>F63/40000</f>
        <v>-0.30283696550875011</v>
      </c>
      <c r="H63">
        <f>(F63-$N$4*20000)</f>
        <v>-7.4935081000003265</v>
      </c>
      <c r="I63">
        <f>(F63-$N$4*20000)/40000</f>
        <v>-1.8733770250000816E-4</v>
      </c>
      <c r="J63">
        <f>2*(28.5494)^2</f>
        <v>1630.1364807199998</v>
      </c>
      <c r="K63">
        <f t="shared" si="32"/>
        <v>-1.1492148339460799E-7</v>
      </c>
      <c r="L63">
        <f t="shared" ref="L63" si="37">H63/J63</f>
        <v>-4.5968593357843196E-3</v>
      </c>
      <c r="M63" t="s">
        <v>149</v>
      </c>
      <c r="N63" t="s">
        <v>125</v>
      </c>
      <c r="R63">
        <f t="shared" si="34"/>
        <v>-7.3641686559264799E-2</v>
      </c>
      <c r="S63">
        <f>570.988-565.70023</f>
        <v>5.2877700000000232</v>
      </c>
      <c r="T63">
        <f>S63/100</f>
        <v>5.2877700000000229E-2</v>
      </c>
      <c r="U63">
        <f>(565.70023-100*2.85494)/100</f>
        <v>2.8020623000000002</v>
      </c>
      <c r="V63">
        <f>(280.078-0.0861809)/99</f>
        <v>2.8282001929292928</v>
      </c>
      <c r="W63">
        <f>((-1.25591)-(-281.679))/99</f>
        <v>2.8325564646464647</v>
      </c>
      <c r="X63">
        <f>V63*100+W63*100</f>
        <v>566.07566575757573</v>
      </c>
    </row>
    <row r="64" spans="1:24" x14ac:dyDescent="0.2">
      <c r="A64" t="s">
        <v>154</v>
      </c>
      <c r="B64">
        <v>2696</v>
      </c>
      <c r="C64">
        <v>40000</v>
      </c>
      <c r="D64">
        <v>-172664.46594699999</v>
      </c>
      <c r="E64">
        <f>D64/40000</f>
        <v>-4.3166116486749999</v>
      </c>
      <c r="F64">
        <f>D64-20000*$D$3-10000*$D$11-10000*$D$19</f>
        <v>-12115.754395349992</v>
      </c>
      <c r="G64">
        <f>F64/40000</f>
        <v>-0.30289385988374978</v>
      </c>
      <c r="H64">
        <f>(F64-$N$3*20000)</f>
        <v>1.6664887750175694</v>
      </c>
      <c r="I64">
        <f>(F64-$N$3*20000)/40000</f>
        <v>4.1662219375439237E-5</v>
      </c>
      <c r="J64">
        <f>2*28.455771*28.4557</f>
        <v>1619.4577656893998</v>
      </c>
      <c r="K64">
        <f t="shared" si="32"/>
        <v>2.5726030192398205E-8</v>
      </c>
      <c r="L64">
        <f t="shared" ref="L64" si="38">H64/J64</f>
        <v>1.0290412076959282E-3</v>
      </c>
      <c r="M64" t="s">
        <v>149</v>
      </c>
      <c r="N64" t="s">
        <v>151</v>
      </c>
      <c r="R64">
        <f t="shared" si="34"/>
        <v>1.648524014728877E-2</v>
      </c>
    </row>
    <row r="65" spans="1:21" x14ac:dyDescent="0.2">
      <c r="A65" t="s">
        <v>171</v>
      </c>
      <c r="B65">
        <v>2317</v>
      </c>
      <c r="C65">
        <v>40000</v>
      </c>
      <c r="D65">
        <v>-172662.190172</v>
      </c>
      <c r="E65">
        <f>D65/40000</f>
        <v>-4.3165547543000002</v>
      </c>
      <c r="F65">
        <f>D65-20000*$D$3-10000*$D$11-10000*$D$19</f>
        <v>-12113.478620350004</v>
      </c>
      <c r="G65">
        <f>F65/40000</f>
        <v>-0.30283696550875011</v>
      </c>
      <c r="H65">
        <f>(F65-$N$4*20000)</f>
        <v>-7.4935081000003265</v>
      </c>
      <c r="I65">
        <f>(F65-$N$3*20000)/40000</f>
        <v>9.8556594375122589E-5</v>
      </c>
      <c r="J65">
        <f>2*(28.5494)^2</f>
        <v>1630.1364807199998</v>
      </c>
      <c r="K65">
        <f t="shared" si="32"/>
        <v>6.0459106056930924E-8</v>
      </c>
      <c r="L65">
        <f t="shared" ref="L65" si="39">H65/J65</f>
        <v>-4.5968593357843196E-3</v>
      </c>
      <c r="M65" t="s">
        <v>149</v>
      </c>
      <c r="N65" t="s">
        <v>169</v>
      </c>
    </row>
    <row r="66" spans="1:21" x14ac:dyDescent="0.2">
      <c r="A66" t="s">
        <v>155</v>
      </c>
      <c r="B66">
        <v>2398</v>
      </c>
      <c r="C66">
        <v>8000</v>
      </c>
      <c r="D66">
        <v>-34563.256184600003</v>
      </c>
      <c r="E66">
        <f>D66/8000</f>
        <v>-4.320407023075</v>
      </c>
      <c r="F66">
        <f>D66-4000*$D$3-2000*$D$11-2000*$D$19</f>
        <v>-2453.513874270001</v>
      </c>
      <c r="G66">
        <f>F66/8000</f>
        <v>-0.30668923428375011</v>
      </c>
      <c r="H66">
        <f>(F66-$N$4*4000)</f>
        <v>-32.316851820000011</v>
      </c>
      <c r="I66">
        <f>(F66-$N$4*4000)/8000</f>
        <v>-4.0396064775000016E-3</v>
      </c>
      <c r="J66">
        <f>2*(28.5494)^2</f>
        <v>1630.1364807199998</v>
      </c>
      <c r="K66">
        <f t="shared" si="32"/>
        <v>-2.4780786917398387E-6</v>
      </c>
      <c r="L66">
        <f t="shared" ref="L66:L71" si="40">H66/J66</f>
        <v>-1.9824629533918708E-2</v>
      </c>
      <c r="M66" t="s">
        <v>157</v>
      </c>
      <c r="N66" t="s">
        <v>125</v>
      </c>
      <c r="R66">
        <f t="shared" si="34"/>
        <v>-0.31759056513337769</v>
      </c>
      <c r="S66">
        <f>114.1976-112.53808</f>
        <v>1.6595200000000006</v>
      </c>
      <c r="T66">
        <f>S66/20</f>
        <v>8.2976000000000022E-2</v>
      </c>
      <c r="U66">
        <f>(112.538085-20*2.85494)/20</f>
        <v>2.7719642499999999</v>
      </c>
    </row>
    <row r="67" spans="1:21" x14ac:dyDescent="0.2">
      <c r="A67" t="s">
        <v>156</v>
      </c>
      <c r="B67">
        <v>16204</v>
      </c>
      <c r="C67">
        <v>8000</v>
      </c>
      <c r="D67">
        <v>-34565.055134000002</v>
      </c>
      <c r="E67">
        <f>D67/8000</f>
        <v>-4.3206318917500006</v>
      </c>
      <c r="F67">
        <f>D67-4000*$D$3-2000*$D$11-2000*$D$19</f>
        <v>-2455.3128236700004</v>
      </c>
      <c r="G67">
        <f>F67/8000</f>
        <v>-0.30691410295875005</v>
      </c>
      <c r="H67">
        <f>(F67-$N$3*4000)</f>
        <v>-31.828646844998275</v>
      </c>
      <c r="I67">
        <f>(F67-$N$3*4000)/8000</f>
        <v>-3.9785808556247844E-3</v>
      </c>
      <c r="J67">
        <f>2*28.478626*28.47857</f>
        <v>1622.06108808964</v>
      </c>
      <c r="K67">
        <f t="shared" si="32"/>
        <v>-2.4527934766689355E-6</v>
      </c>
      <c r="L67">
        <f t="shared" si="40"/>
        <v>-1.9622347813351485E-2</v>
      </c>
      <c r="M67" t="s">
        <v>157</v>
      </c>
      <c r="N67" t="s">
        <v>151</v>
      </c>
      <c r="R67">
        <f t="shared" si="34"/>
        <v>-0.31435001196989076</v>
      </c>
    </row>
    <row r="68" spans="1:21" x14ac:dyDescent="0.2">
      <c r="A68" t="s">
        <v>158</v>
      </c>
      <c r="B68">
        <v>2559</v>
      </c>
      <c r="C68">
        <v>14400</v>
      </c>
      <c r="D68">
        <v>-62200.066125899997</v>
      </c>
      <c r="E68">
        <f>D68/14400</f>
        <v>-4.3194490365208331</v>
      </c>
      <c r="F68">
        <f>D68-7200*$D$3-3600*$D$11-3600*$D$19</f>
        <v>-4402.5299673059963</v>
      </c>
      <c r="G68">
        <f>F68/14400</f>
        <v>-0.3057312477295831</v>
      </c>
      <c r="H68">
        <f>(F68-$N$4*7200)</f>
        <v>-44.375326895994476</v>
      </c>
      <c r="I68">
        <f>(F68-$N$4*7200)/14400</f>
        <v>-3.0816199233329499E-3</v>
      </c>
      <c r="J68">
        <f>2*(34.25928)^2</f>
        <v>2347.3965322367994</v>
      </c>
      <c r="K68">
        <f t="shared" si="32"/>
        <v>-1.3127820038127601E-6</v>
      </c>
      <c r="L68">
        <f t="shared" si="40"/>
        <v>-1.8904060854903745E-2</v>
      </c>
      <c r="M68" t="s">
        <v>86</v>
      </c>
      <c r="N68" t="s">
        <v>125</v>
      </c>
      <c r="R68">
        <f t="shared" si="34"/>
        <v>-0.30284305489555802</v>
      </c>
    </row>
    <row r="69" spans="1:21" x14ac:dyDescent="0.2">
      <c r="A69" t="s">
        <v>159</v>
      </c>
      <c r="B69">
        <v>12221</v>
      </c>
      <c r="C69">
        <v>14400</v>
      </c>
      <c r="D69">
        <v>-62202.448641499999</v>
      </c>
      <c r="E69">
        <f>D69/14400</f>
        <v>-4.3196144889930554</v>
      </c>
      <c r="F69">
        <f>D69-7200*$D$3-3600*$D$11-3600*$D$19</f>
        <v>-4404.9124829059983</v>
      </c>
      <c r="G69">
        <f>F69/14400</f>
        <v>-0.30589670020180543</v>
      </c>
      <c r="H69">
        <f>(F69-$N$3*7200)</f>
        <v>-42.640964620994964</v>
      </c>
      <c r="I69">
        <f>(F69-$N$3*7200)/14400</f>
        <v>-2.961178098680206E-3</v>
      </c>
      <c r="J69">
        <f>2*(34.25928)^2</f>
        <v>2347.3965322367994</v>
      </c>
      <c r="K69">
        <f t="shared" si="32"/>
        <v>-1.2614733207680695E-6</v>
      </c>
      <c r="L69">
        <f t="shared" si="40"/>
        <v>-1.81652158190602E-2</v>
      </c>
      <c r="M69" t="s">
        <v>86</v>
      </c>
      <c r="N69" t="s">
        <v>151</v>
      </c>
      <c r="R69">
        <f t="shared" si="34"/>
        <v>-0.29100675742134441</v>
      </c>
    </row>
    <row r="70" spans="1:21" x14ac:dyDescent="0.2">
      <c r="A70" t="s">
        <v>170</v>
      </c>
      <c r="B70">
        <v>2559</v>
      </c>
      <c r="C70">
        <v>14400</v>
      </c>
      <c r="D70">
        <v>-62200.066125899997</v>
      </c>
      <c r="E70">
        <f>D70/14400</f>
        <v>-4.3194490365208331</v>
      </c>
      <c r="F70">
        <f>D70-7200*$D$3-3600*$D$11-3600*$D$19</f>
        <v>-4402.5299673059963</v>
      </c>
      <c r="G70">
        <f>F70/14400</f>
        <v>-0.3057312477295831</v>
      </c>
      <c r="H70">
        <f>(F70-$N$4*7200)</f>
        <v>-44.375326895994476</v>
      </c>
      <c r="I70">
        <f>(F70-$N$4*7200)/14400</f>
        <v>-3.0816199233329499E-3</v>
      </c>
      <c r="J70">
        <f>2*(34.25928)^2</f>
        <v>2347.3965322367994</v>
      </c>
      <c r="K70">
        <f t="shared" si="32"/>
        <v>-1.3127820038127601E-6</v>
      </c>
      <c r="L70">
        <f t="shared" si="40"/>
        <v>-1.8904060854903745E-2</v>
      </c>
      <c r="M70" t="s">
        <v>86</v>
      </c>
      <c r="N70" t="s">
        <v>169</v>
      </c>
    </row>
    <row r="71" spans="1:21" x14ac:dyDescent="0.2">
      <c r="A71" t="s">
        <v>163</v>
      </c>
      <c r="B71">
        <v>1158</v>
      </c>
      <c r="C71">
        <v>25000</v>
      </c>
      <c r="D71">
        <v>-105020.785237</v>
      </c>
      <c r="E71">
        <f>D71/25000</f>
        <v>-4.2008314094800001</v>
      </c>
      <c r="F71">
        <f>D71-20000*$D$3-2500*$D$11-2500*$D$19</f>
        <v>-3047.0729636625056</v>
      </c>
      <c r="G71">
        <f>F71/25000</f>
        <v>-0.12188291854650023</v>
      </c>
      <c r="H71">
        <f>(F71-$N$4*5000)</f>
        <v>-20.576685600004566</v>
      </c>
      <c r="I71">
        <f>(F71-$N$4*5000)/25000</f>
        <v>-8.2306742400018265E-4</v>
      </c>
      <c r="J71">
        <f t="shared" ref="J71:J77" si="41">2*(28.5494)^2</f>
        <v>1630.1364807199998</v>
      </c>
      <c r="K71">
        <f t="shared" si="32"/>
        <v>-5.0490706375496219E-7</v>
      </c>
      <c r="L71">
        <f t="shared" si="40"/>
        <v>-1.2622676593874055E-2</v>
      </c>
      <c r="M71" t="s">
        <v>164</v>
      </c>
      <c r="N71" t="s">
        <v>125</v>
      </c>
      <c r="R71">
        <f t="shared" si="34"/>
        <v>-0.20221527903386236</v>
      </c>
    </row>
    <row r="72" spans="1:21" x14ac:dyDescent="0.2">
      <c r="A72" t="s">
        <v>172</v>
      </c>
      <c r="B72">
        <v>607</v>
      </c>
      <c r="C72">
        <v>20000</v>
      </c>
      <c r="D72">
        <v>-86347.037322999997</v>
      </c>
      <c r="E72">
        <f>D72/20000</f>
        <v>-4.3173518661500001</v>
      </c>
      <c r="F72">
        <f>D72-10000*$D$3-5000*$D$11-5000*$D$19</f>
        <v>-6072.6815471749978</v>
      </c>
      <c r="G72">
        <f>F72/20000</f>
        <v>-0.30363407735874987</v>
      </c>
      <c r="H72">
        <f>(F72-$N$4*10000)</f>
        <v>-19.688991049995821</v>
      </c>
      <c r="I72">
        <f>(F72-$N$4*10000)/20000</f>
        <v>-9.8444955249979101E-4</v>
      </c>
      <c r="J72">
        <f t="shared" si="41"/>
        <v>1630.1364807199998</v>
      </c>
      <c r="K72">
        <f t="shared" si="32"/>
        <v>-6.039062153035055E-7</v>
      </c>
      <c r="L72">
        <f t="shared" ref="L72" si="42">H72/J72</f>
        <v>-1.2078124306070111E-2</v>
      </c>
      <c r="M72" t="s">
        <v>173</v>
      </c>
      <c r="N72" t="s">
        <v>125</v>
      </c>
    </row>
    <row r="73" spans="1:21" x14ac:dyDescent="0.2">
      <c r="A73" t="s">
        <v>177</v>
      </c>
      <c r="B73">
        <v>1305</v>
      </c>
      <c r="C73">
        <v>10000</v>
      </c>
      <c r="D73">
        <v>-43183.620013100001</v>
      </c>
      <c r="E73">
        <f>D73/10000</f>
        <v>-4.3183620013099997</v>
      </c>
      <c r="F73">
        <f>D73-5000*$D$3-2500*$D$11-2500*$D$19</f>
        <v>-3046.442125187501</v>
      </c>
      <c r="G73">
        <f>F73/10000</f>
        <v>-0.30464421251875012</v>
      </c>
      <c r="H73">
        <f>(F73-$N$6*5000)</f>
        <v>-33.187940125001205</v>
      </c>
      <c r="I73">
        <f>(F73-$N$6*5000)/10000</f>
        <v>-3.3187940125001206E-3</v>
      </c>
      <c r="J73">
        <f t="shared" si="41"/>
        <v>1630.1364807199998</v>
      </c>
      <c r="K73">
        <f t="shared" si="32"/>
        <v>-2.0358994794314851E-6</v>
      </c>
      <c r="L73">
        <f>H73/J73</f>
        <v>-2.0358994794314848E-2</v>
      </c>
      <c r="M73" t="s">
        <v>86</v>
      </c>
      <c r="N73" t="s">
        <v>183</v>
      </c>
      <c r="R73">
        <f t="shared" si="34"/>
        <v>-0.32615109660492386</v>
      </c>
    </row>
    <row r="74" spans="1:21" x14ac:dyDescent="0.2">
      <c r="A74" t="s">
        <v>178</v>
      </c>
      <c r="B74">
        <v>2935</v>
      </c>
      <c r="C74">
        <v>15000</v>
      </c>
      <c r="D74">
        <v>-65722.2825648</v>
      </c>
      <c r="E74">
        <f>D74/15000</f>
        <v>-4.3814855043199996</v>
      </c>
      <c r="F74">
        <f>D74-5000*$D$3-5000*$D$11-5000*$D$19</f>
        <v>-6060.1049174499967</v>
      </c>
      <c r="G74">
        <f>F74/15000</f>
        <v>-0.40400699449666644</v>
      </c>
      <c r="H74">
        <f>(F74-$N$6*10000)</f>
        <v>-33.596547324997118</v>
      </c>
      <c r="I74">
        <f>(F74-$N$6*10000)/15000</f>
        <v>-2.2397698216664744E-3</v>
      </c>
      <c r="J74">
        <f t="shared" si="41"/>
        <v>1630.1364807199998</v>
      </c>
      <c r="K74">
        <f t="shared" si="32"/>
        <v>-1.3739768713581647E-6</v>
      </c>
      <c r="L74">
        <f t="shared" ref="L74" si="43">H74/J74</f>
        <v>-2.060965307037247E-2</v>
      </c>
      <c r="M74" t="s">
        <v>98</v>
      </c>
      <c r="N74" t="s">
        <v>183</v>
      </c>
      <c r="R74">
        <f t="shared" si="34"/>
        <v>-0.33016664218736697</v>
      </c>
    </row>
    <row r="75" spans="1:21" x14ac:dyDescent="0.2">
      <c r="A75" t="s">
        <v>179</v>
      </c>
      <c r="B75">
        <v>4978</v>
      </c>
      <c r="C75">
        <v>25000</v>
      </c>
      <c r="D75">
        <v>-110798.987836</v>
      </c>
      <c r="E75">
        <f>D75/25000</f>
        <v>-4.4319595134399998</v>
      </c>
      <c r="F75">
        <f>D75-5000*$D$3-10000*$D$11-10000*$D$19</f>
        <v>-12086.810669774997</v>
      </c>
      <c r="G75">
        <f>F75/25000</f>
        <v>-0.48347242679099989</v>
      </c>
      <c r="H75">
        <f>(F75-$N$6*20000)</f>
        <v>-33.79392952499802</v>
      </c>
      <c r="I75">
        <f>(F75-$N$6*20000)/25000</f>
        <v>-1.3517571809999209E-3</v>
      </c>
      <c r="J75">
        <f t="shared" si="41"/>
        <v>1630.1364807199998</v>
      </c>
      <c r="K75">
        <f t="shared" si="32"/>
        <v>-8.2922945224983612E-7</v>
      </c>
      <c r="L75">
        <f>H75/J75</f>
        <v>-2.07307363062459E-2</v>
      </c>
      <c r="M75" t="s">
        <v>148</v>
      </c>
      <c r="N75" t="s">
        <v>183</v>
      </c>
      <c r="R75">
        <f t="shared" si="34"/>
        <v>-0.33210639562605931</v>
      </c>
    </row>
    <row r="76" spans="1:21" x14ac:dyDescent="0.2">
      <c r="A76" t="s">
        <v>180</v>
      </c>
      <c r="B76" s="2">
        <v>13820</v>
      </c>
      <c r="C76">
        <v>40000</v>
      </c>
      <c r="D76">
        <v>-172651.832788</v>
      </c>
      <c r="E76">
        <f>D76/40000</f>
        <v>-4.3162958196999996</v>
      </c>
      <c r="F76">
        <f>D76-20000*$D$3-10000*$D$11-10000*$D$19</f>
        <v>-12103.121236350002</v>
      </c>
      <c r="G76">
        <f>F76/40000</f>
        <v>-0.30257803090875002</v>
      </c>
      <c r="H76">
        <f>(F76-$N$6*20000)</f>
        <v>-50.104496100002507</v>
      </c>
      <c r="I76">
        <f>(F76-$N$6*20000)/40000</f>
        <v>-1.2526124025000627E-3</v>
      </c>
      <c r="J76">
        <f t="shared" si="41"/>
        <v>1630.1364807199998</v>
      </c>
      <c r="K76">
        <f t="shared" si="32"/>
        <v>-7.6840952724817744E-7</v>
      </c>
      <c r="L76">
        <f t="shared" ref="L76" si="44">H76/J76</f>
        <v>-3.0736381089927097E-2</v>
      </c>
      <c r="M76" t="s">
        <v>149</v>
      </c>
      <c r="N76" t="s">
        <v>183</v>
      </c>
      <c r="R76">
        <f t="shared" si="34"/>
        <v>-0.49239682506063209</v>
      </c>
    </row>
    <row r="77" spans="1:21" x14ac:dyDescent="0.2">
      <c r="A77" t="s">
        <v>187</v>
      </c>
      <c r="B77">
        <v>7868</v>
      </c>
      <c r="C77">
        <v>25000</v>
      </c>
      <c r="D77">
        <v>-105027.6542</v>
      </c>
      <c r="E77">
        <f>D77/25000</f>
        <v>-4.2011061679999999</v>
      </c>
      <c r="F77">
        <f>D77-20000*$D$3-2500*$D$11-2500*$D$19</f>
        <v>-3053.9419266625064</v>
      </c>
      <c r="G77">
        <f>F77/25000</f>
        <v>-0.12215767706650026</v>
      </c>
      <c r="H77">
        <f>(F77-$N$6*5000)</f>
        <v>-40.687741600006575</v>
      </c>
      <c r="I77">
        <f>(F77-$N$6*5000)/25000</f>
        <v>-1.627509664000263E-3</v>
      </c>
      <c r="J77">
        <f t="shared" si="41"/>
        <v>1630.1364807199998</v>
      </c>
      <c r="K77">
        <f t="shared" si="32"/>
        <v>-9.9838859092425414E-7</v>
      </c>
      <c r="L77">
        <f>H77/J77</f>
        <v>-2.4959714773106351E-2</v>
      </c>
      <c r="M77" t="s">
        <v>164</v>
      </c>
      <c r="N77" t="s">
        <v>183</v>
      </c>
      <c r="R77">
        <f t="shared" si="34"/>
        <v>-0.39985463066516375</v>
      </c>
    </row>
    <row r="78" spans="1:21" x14ac:dyDescent="0.2">
      <c r="A78" t="s">
        <v>6</v>
      </c>
      <c r="B78">
        <v>3757</v>
      </c>
      <c r="C78">
        <v>10000</v>
      </c>
      <c r="D78">
        <v>-43197.192673899997</v>
      </c>
      <c r="E78">
        <f>D78/10000</f>
        <v>-4.31971926739</v>
      </c>
      <c r="F78">
        <f>D78-5000*$D$4-2500*$D$11-2500*$D$19</f>
        <v>-3064.7582729374972</v>
      </c>
      <c r="G78">
        <f>F78/10000</f>
        <v>-0.30647582729374973</v>
      </c>
      <c r="H78">
        <f>(F78-$N$7*5000)</f>
        <v>-39.482555174996378</v>
      </c>
      <c r="I78">
        <f>(F78-$N$7*5000)/10000</f>
        <v>-3.9482555174996381E-3</v>
      </c>
      <c r="J78">
        <f>2*(28.43464)^2</f>
        <v>1617.0575038592001</v>
      </c>
      <c r="K78">
        <f t="shared" si="32"/>
        <v>-2.441629631646927E-6</v>
      </c>
      <c r="L78">
        <f>H78/J78</f>
        <v>-2.4416296316469268E-2</v>
      </c>
      <c r="M78" t="s">
        <v>86</v>
      </c>
      <c r="N78" t="s">
        <v>184</v>
      </c>
      <c r="R78">
        <f t="shared" si="34"/>
        <v>-0.39114906698983765</v>
      </c>
    </row>
    <row r="79" spans="1:21" x14ac:dyDescent="0.2">
      <c r="A79" t="s">
        <v>181</v>
      </c>
      <c r="B79">
        <v>8411</v>
      </c>
      <c r="C79">
        <v>15000</v>
      </c>
      <c r="D79">
        <v>-65747.960985099999</v>
      </c>
      <c r="E79">
        <f>D79/15000</f>
        <v>-4.3831973990066668</v>
      </c>
      <c r="F79">
        <f>D79-5000*$D$4-5000*$D$11-5000*$D$19</f>
        <v>-6090.5268246999949</v>
      </c>
      <c r="G79">
        <f>F79/15000</f>
        <v>-0.40603512164666633</v>
      </c>
      <c r="H79">
        <f>(F79-$N$7*10000)</f>
        <v>-39.975389174993325</v>
      </c>
      <c r="I79">
        <f>(F79-$N$7*10000)/15000</f>
        <v>-2.6650259449995549E-3</v>
      </c>
      <c r="J79">
        <f t="shared" ref="J79:J81" si="45">2*(28.43464)^2</f>
        <v>1617.0575038592001</v>
      </c>
      <c r="K79">
        <f t="shared" si="32"/>
        <v>-1.6480712272997826E-6</v>
      </c>
      <c r="L79">
        <f t="shared" ref="L79" si="46">H79/J79</f>
        <v>-2.4721068409496741E-2</v>
      </c>
      <c r="M79" t="s">
        <v>98</v>
      </c>
      <c r="N79" t="s">
        <v>184</v>
      </c>
      <c r="R79">
        <f t="shared" si="34"/>
        <v>-0.3960315159201378</v>
      </c>
    </row>
    <row r="80" spans="1:21" x14ac:dyDescent="0.2">
      <c r="A80" t="s">
        <v>3</v>
      </c>
      <c r="B80" s="2">
        <v>11093</v>
      </c>
      <c r="C80">
        <v>25000</v>
      </c>
      <c r="D80">
        <v>-110848.783668</v>
      </c>
      <c r="E80">
        <f>D80/25000</f>
        <v>-4.4339513467199998</v>
      </c>
      <c r="F80">
        <f>D80-5000*$D$4-10000*$D$11-10000*$D$19</f>
        <v>-12141.349988725</v>
      </c>
      <c r="G80">
        <f>F80/25000</f>
        <v>-0.48565399954900002</v>
      </c>
      <c r="H80">
        <f>(F80-$N$7*20000)</f>
        <v>-40.247117674996844</v>
      </c>
      <c r="I80">
        <f>(F80-$N$7*20000)/25000</f>
        <v>-1.6098847069998738E-3</v>
      </c>
      <c r="J80">
        <f t="shared" si="45"/>
        <v>1617.0575038592001</v>
      </c>
      <c r="K80">
        <f t="shared" si="32"/>
        <v>-9.9556429079225204E-7</v>
      </c>
      <c r="L80">
        <f>H80/J80</f>
        <v>-2.4889107269806299E-2</v>
      </c>
      <c r="M80" t="s">
        <v>148</v>
      </c>
      <c r="N80" t="s">
        <v>184</v>
      </c>
      <c r="R80">
        <f t="shared" si="34"/>
        <v>-0.39872349846229693</v>
      </c>
    </row>
    <row r="81" spans="1:18" x14ac:dyDescent="0.2">
      <c r="A81" t="s">
        <v>182</v>
      </c>
      <c r="B81" s="4">
        <v>10000</v>
      </c>
      <c r="C81">
        <v>40000</v>
      </c>
      <c r="D81">
        <v>-172691.20000000001</v>
      </c>
      <c r="E81">
        <f>D81/40000</f>
        <v>-4.3172800000000002</v>
      </c>
      <c r="F81">
        <f>D81-20000*$D$4-10000*$D$11-10000*$D$19</f>
        <v>-12161.462396150011</v>
      </c>
      <c r="G81">
        <f>F81/40000</f>
        <v>-0.30403655990375028</v>
      </c>
      <c r="H81">
        <f>(F81-$N$7*20000)</f>
        <v>-60.359525100007886</v>
      </c>
      <c r="I81">
        <f>(F81-$N$7*20000)/40000</f>
        <v>-1.5089881275001972E-3</v>
      </c>
      <c r="J81">
        <f t="shared" si="45"/>
        <v>1617.0575038592001</v>
      </c>
      <c r="K81">
        <f t="shared" si="32"/>
        <v>-9.3316911977397891E-7</v>
      </c>
      <c r="L81">
        <f t="shared" ref="L81" si="47">H81/J81</f>
        <v>-3.7326764790959151E-2</v>
      </c>
      <c r="M81" t="s">
        <v>149</v>
      </c>
      <c r="N81" t="s">
        <v>184</v>
      </c>
      <c r="R81">
        <f t="shared" si="34"/>
        <v>-0.59797477195116555</v>
      </c>
    </row>
    <row r="82" spans="1:18" x14ac:dyDescent="0.2">
      <c r="A82" t="s">
        <v>188</v>
      </c>
      <c r="B82" s="2">
        <v>28746</v>
      </c>
      <c r="C82">
        <v>25000</v>
      </c>
      <c r="D82">
        <v>-105003.292326</v>
      </c>
      <c r="E82">
        <f>D82/25000</f>
        <v>-4.2001316930399994</v>
      </c>
      <c r="F82">
        <f>D82-20000*$D$4-2500*$D$11-2500*$D$19</f>
        <v>-3048.5540004624945</v>
      </c>
      <c r="G82">
        <f>F82/25000</f>
        <v>-0.12194216001849978</v>
      </c>
      <c r="H82">
        <f>(F82-$N$7*5000)</f>
        <v>-23.278282699993724</v>
      </c>
      <c r="I82">
        <f>(F82-$N$7*5000)/25000</f>
        <v>-9.3113130799974894E-4</v>
      </c>
      <c r="J82">
        <f>2*(28.5494)^2</f>
        <v>1630.1364807199998</v>
      </c>
      <c r="K82">
        <f t="shared" si="32"/>
        <v>-5.7119837449959174E-7</v>
      </c>
      <c r="L82">
        <f>H82/J82</f>
        <v>-1.4279959362489793E-2</v>
      </c>
      <c r="M82" t="s">
        <v>164</v>
      </c>
      <c r="N82" t="s">
        <v>184</v>
      </c>
      <c r="R82">
        <f t="shared" si="34"/>
        <v>-0.22876494898708649</v>
      </c>
    </row>
    <row r="85" spans="1:18" x14ac:dyDescent="0.2">
      <c r="A85" t="s">
        <v>32</v>
      </c>
      <c r="B85">
        <v>2562</v>
      </c>
      <c r="C85">
        <v>-43195.509225000002</v>
      </c>
      <c r="D85">
        <f>C85/10000</f>
        <v>-4.3195509225000004</v>
      </c>
      <c r="E85">
        <f>C85-5000*$D$3-2500*$D$11-2500*$D$19</f>
        <v>-3058.3313370875021</v>
      </c>
      <c r="F85">
        <f>E85/10000</f>
        <v>-0.3058331337087502</v>
      </c>
      <c r="G85">
        <f>(E85-$N$3*5000)</f>
        <v>-28.976116056249793</v>
      </c>
      <c r="H85">
        <f>(E85-$N$8*5000)/10000</f>
        <v>-2.9446278493751835E-3</v>
      </c>
      <c r="I85">
        <f>2*(28.4346)^2</f>
        <v>1617.05295432</v>
      </c>
      <c r="J85">
        <f t="shared" ref="J85" si="48">H85/I85</f>
        <v>-1.8209841808263186E-6</v>
      </c>
      <c r="K85">
        <f>G85/I85</f>
        <v>-1.7919089154649716E-2</v>
      </c>
      <c r="L85" t="s">
        <v>86</v>
      </c>
      <c r="M85" t="s">
        <v>101</v>
      </c>
      <c r="R85">
        <f>AVERAGE(K85:K86,K88:K89)*16.02</f>
        <v>-0.29613789959718839</v>
      </c>
    </row>
    <row r="86" spans="1:18" x14ac:dyDescent="0.2">
      <c r="A86" t="s">
        <v>102</v>
      </c>
      <c r="B86">
        <v>17773</v>
      </c>
      <c r="C86">
        <v>-43196.299002799999</v>
      </c>
      <c r="D86">
        <f>C86/10000</f>
        <v>-4.3196299002799998</v>
      </c>
      <c r="E86">
        <f>C86-5000*$D$3-2500*$D$11-2500*$D$19</f>
        <v>-3059.1211148874991</v>
      </c>
      <c r="F86">
        <f>E86/10000</f>
        <v>-0.30591211148874992</v>
      </c>
      <c r="G86">
        <f>(E86-$N$3*5000)</f>
        <v>-29.765893856246748</v>
      </c>
      <c r="H86">
        <f>(E86-$N$8*5000)/10000</f>
        <v>-3.023605629374879E-3</v>
      </c>
      <c r="I86">
        <f>2*(28.456278*28.45638)</f>
        <v>1619.52532030728</v>
      </c>
      <c r="J86">
        <f t="shared" ref="J86" si="49">H86/I86</f>
        <v>-1.8669702729940624E-6</v>
      </c>
      <c r="K86">
        <f>G86/I86</f>
        <v>-1.8379393939082798E-2</v>
      </c>
      <c r="L86" t="s">
        <v>86</v>
      </c>
      <c r="M86" t="s">
        <v>105</v>
      </c>
      <c r="O86" t="s">
        <v>108</v>
      </c>
    </row>
    <row r="87" spans="1:18" x14ac:dyDescent="0.2">
      <c r="A87" s="4" t="s">
        <v>104</v>
      </c>
      <c r="B87" s="4">
        <v>1879</v>
      </c>
      <c r="C87" s="4">
        <v>-43182.456661600001</v>
      </c>
      <c r="D87" s="4">
        <f>C87/10000</f>
        <v>-4.3182456661600002</v>
      </c>
      <c r="E87" s="4">
        <f>C87-5000*$D$3-2500*$D$11-2500*$D$19</f>
        <v>-3045.2787736875016</v>
      </c>
      <c r="F87" s="4">
        <f>E87/10000</f>
        <v>-0.30452787736875014</v>
      </c>
      <c r="G87" s="4">
        <f t="shared" ref="G87:G89" si="50">(E87-$N$3*5000)</f>
        <v>-15.923552656249285</v>
      </c>
      <c r="H87" s="4">
        <f>(E87-$N$8*5000)/10000</f>
        <v>-1.6393715093751325E-3</v>
      </c>
      <c r="I87" s="4">
        <f>2*(28.456278*28.45638)</f>
        <v>1619.52532030728</v>
      </c>
      <c r="J87" s="4">
        <f t="shared" ref="J87" si="51">H87/I87</f>
        <v>-1.0122543246585901E-6</v>
      </c>
      <c r="K87" s="4">
        <f>G87/I87</f>
        <v>-9.8322344557280738E-3</v>
      </c>
      <c r="L87" s="4" t="s">
        <v>86</v>
      </c>
      <c r="M87" s="4" t="s">
        <v>106</v>
      </c>
      <c r="N87" s="4"/>
      <c r="O87" s="4" t="s">
        <v>107</v>
      </c>
      <c r="P87" s="4"/>
    </row>
    <row r="88" spans="1:18" x14ac:dyDescent="0.2">
      <c r="A88" t="s">
        <v>109</v>
      </c>
      <c r="B88">
        <v>17773</v>
      </c>
      <c r="C88">
        <v>-43196.299002799999</v>
      </c>
      <c r="D88">
        <f>C88/10000</f>
        <v>-4.3196299002799998</v>
      </c>
      <c r="E88">
        <f>C88-5000*$D$3-2500*$D$11-2500*$D$19</f>
        <v>-3059.1211148874991</v>
      </c>
      <c r="F88">
        <f>E88/10000</f>
        <v>-0.30591211148874992</v>
      </c>
      <c r="G88">
        <f t="shared" si="50"/>
        <v>-29.765893856246748</v>
      </c>
      <c r="H88">
        <f>(E88-$N$8*5000)/10000</f>
        <v>-3.023605629374879E-3</v>
      </c>
      <c r="I88">
        <f>2*(28.456278*28.45638)</f>
        <v>1619.52532030728</v>
      </c>
      <c r="J88">
        <f t="shared" ref="J88" si="52">H88/I88</f>
        <v>-1.8669702729940624E-6</v>
      </c>
      <c r="K88">
        <f>G88/I88</f>
        <v>-1.8379393939082798E-2</v>
      </c>
      <c r="L88" t="s">
        <v>86</v>
      </c>
      <c r="M88" t="s">
        <v>105</v>
      </c>
      <c r="O88" t="s">
        <v>110</v>
      </c>
    </row>
    <row r="89" spans="1:18" x14ac:dyDescent="0.2">
      <c r="A89" t="s">
        <v>111</v>
      </c>
      <c r="B89">
        <v>32452</v>
      </c>
      <c r="C89">
        <v>-43197.733326100002</v>
      </c>
      <c r="D89">
        <f>C89/10000</f>
        <v>-4.3197733326100005</v>
      </c>
      <c r="E89">
        <f>C89-5000*$D$3-2500*$D$11-2500*$D$19</f>
        <v>-3060.5554381875027</v>
      </c>
      <c r="F89">
        <f>E89/10000</f>
        <v>-0.30605554381875028</v>
      </c>
      <c r="G89">
        <f t="shared" si="50"/>
        <v>-31.200217156250346</v>
      </c>
      <c r="H89">
        <f>(E89-$N$8*5000)/10000</f>
        <v>-3.1670379593752387E-3</v>
      </c>
      <c r="I89">
        <f>2*(28.45697*28.45697)</f>
        <v>1619.5982831617998</v>
      </c>
      <c r="J89">
        <f t="shared" ref="J89" si="53">H89/I89</f>
        <v>-1.9554466019762062E-6</v>
      </c>
      <c r="K89">
        <f>G89/I89</f>
        <v>-1.9264170307306636E-2</v>
      </c>
      <c r="L89" t="s">
        <v>86</v>
      </c>
    </row>
    <row r="90" spans="1:18" x14ac:dyDescent="0.2">
      <c r="A90" t="s">
        <v>123</v>
      </c>
      <c r="M90" t="s">
        <v>124</v>
      </c>
    </row>
    <row r="92" spans="1:18" x14ac:dyDescent="0.2">
      <c r="J92" t="s">
        <v>115</v>
      </c>
      <c r="K92" t="s">
        <v>114</v>
      </c>
    </row>
    <row r="93" spans="1:18" x14ac:dyDescent="0.2">
      <c r="A93" t="s">
        <v>112</v>
      </c>
      <c r="B93">
        <v>277</v>
      </c>
      <c r="C93" s="3">
        <v>-33208.4896725</v>
      </c>
      <c r="D93">
        <f>C93/8100</f>
        <v>-4.0998135398148152</v>
      </c>
      <c r="E93">
        <f>C93-8100*D3</f>
        <v>183.23889562950353</v>
      </c>
      <c r="F93">
        <f>E93/8100</f>
        <v>2.2622085880185622E-2</v>
      </c>
      <c r="G93" t="s">
        <v>113</v>
      </c>
      <c r="H93" t="s">
        <v>113</v>
      </c>
      <c r="I93">
        <f>2*(28.479125*28.479125)</f>
        <v>1622.1211215312501</v>
      </c>
      <c r="J93">
        <f>F93/I93</f>
        <v>1.3945990579809986E-5</v>
      </c>
      <c r="K93">
        <f>E93/I93</f>
        <v>0.11296252369646087</v>
      </c>
      <c r="L93">
        <f>K93*(1.602*10^-19)/(10^-20)</f>
        <v>1.8096596296173033</v>
      </c>
    </row>
    <row r="94" spans="1:18" x14ac:dyDescent="0.2">
      <c r="K94" t="s">
        <v>116</v>
      </c>
      <c r="L94" t="s">
        <v>117</v>
      </c>
    </row>
    <row r="95" spans="1:18" x14ac:dyDescent="0.2">
      <c r="A95" t="s">
        <v>118</v>
      </c>
      <c r="B95">
        <v>439</v>
      </c>
      <c r="C95">
        <v>-35875.714850900004</v>
      </c>
      <c r="D95">
        <f>C95/8000</f>
        <v>-4.4844643563625004</v>
      </c>
      <c r="E95">
        <f>C95-4000*D11-4000*D19</f>
        <v>-4635.7152358000039</v>
      </c>
      <c r="F95">
        <f>E95/8000</f>
        <v>-0.57946440447500047</v>
      </c>
      <c r="G95">
        <f>E95-8000*(N3)</f>
        <v>211.25311785000031</v>
      </c>
      <c r="H95">
        <f>G95/8000</f>
        <v>2.6406639731250039E-2</v>
      </c>
      <c r="I95">
        <f>2*(28.24274*28.24274)</f>
        <v>1595.3047254152002</v>
      </c>
      <c r="J95">
        <f>H95/I95</f>
        <v>1.6552724573906933E-5</v>
      </c>
      <c r="K95">
        <f>G95/I95</f>
        <v>0.13242179659125547</v>
      </c>
      <c r="L95">
        <f>K95*(1.602*10^-19)/(10^-20)</f>
        <v>2.1213971813919126</v>
      </c>
    </row>
    <row r="97" spans="1:14" x14ac:dyDescent="0.2">
      <c r="A97" t="s">
        <v>119</v>
      </c>
    </row>
    <row r="98" spans="1:14" x14ac:dyDescent="0.2">
      <c r="A98" t="s">
        <v>120</v>
      </c>
      <c r="B98">
        <v>12</v>
      </c>
      <c r="C98">
        <v>-1031041.79866</v>
      </c>
      <c r="D98">
        <f>C98/250000</f>
        <v>-4.12416719464</v>
      </c>
      <c r="E98">
        <f>C98-248933*D$3-515*D$11-552*D$19</f>
        <v>-685.06109887187949</v>
      </c>
      <c r="F98">
        <f>E98/250000</f>
        <v>-2.7402443954875179E-3</v>
      </c>
      <c r="G98">
        <f>F98-1067*N$3</f>
        <v>646.46166392367377</v>
      </c>
      <c r="H98">
        <f>G98/250000</f>
        <v>2.5858466556946949E-3</v>
      </c>
      <c r="I98">
        <f>4*3.141592*(14.285258^2)</f>
        <v>2564.4010761697782</v>
      </c>
      <c r="J98">
        <f>H98/I98</f>
        <v>1.0083628024197166E-6</v>
      </c>
      <c r="K98">
        <f>G98/I98</f>
        <v>0.25209070060492916</v>
      </c>
      <c r="L98">
        <f>K98*16.02</f>
        <v>4.0384930236909655</v>
      </c>
    </row>
    <row r="99" spans="1:14" x14ac:dyDescent="0.2">
      <c r="A99" t="s">
        <v>121</v>
      </c>
      <c r="B99">
        <v>17</v>
      </c>
      <c r="C99">
        <v>-1033994.5400799999</v>
      </c>
      <c r="D99">
        <f>C99/250000</f>
        <v>-4.1359781603199997</v>
      </c>
      <c r="E99">
        <f>C99-241607*D$3-4169*D$11-4224*D$19</f>
        <v>-5240.546264538345</v>
      </c>
      <c r="F99">
        <f>E99/250000</f>
        <v>-2.0962185058153379E-2</v>
      </c>
      <c r="G99">
        <f>F99-8393*N$3</f>
        <v>5085.0547118380018</v>
      </c>
      <c r="H99">
        <f>G99/250000</f>
        <v>2.0340218847352008E-2</v>
      </c>
      <c r="I99">
        <f>4*3.141592*((10*2.8559398)^2)</f>
        <v>10249.622519892926</v>
      </c>
      <c r="J99">
        <f>H99/I99</f>
        <v>1.9844846781308093E-6</v>
      </c>
      <c r="K99">
        <f>G99/I99</f>
        <v>0.4961211695327023</v>
      </c>
      <c r="L99">
        <f>K99*16.02</f>
        <v>7.9478611359138904</v>
      </c>
    </row>
    <row r="100" spans="1:14" x14ac:dyDescent="0.2">
      <c r="A100" t="s">
        <v>122</v>
      </c>
      <c r="B100">
        <v>36</v>
      </c>
      <c r="C100">
        <v>-1041971.45727</v>
      </c>
      <c r="D100">
        <f>C100/250000</f>
        <v>-4.1678858290800003</v>
      </c>
      <c r="E100">
        <f>C100-221549*D$3-14123*D$11-14328*D$19</f>
        <v>-17660.538194374865</v>
      </c>
      <c r="F100">
        <f>E100/250000</f>
        <v>-7.0642152777499467E-2</v>
      </c>
      <c r="G100">
        <f>F100-28451*N$3</f>
        <v>17237.566436559257</v>
      </c>
      <c r="H100">
        <f>G100/250000</f>
        <v>6.8950265746237027E-2</v>
      </c>
      <c r="I100">
        <f>4*3.141592*((15*2.8537108)^2)</f>
        <v>23025.666466368421</v>
      </c>
      <c r="J100">
        <f>H100/I100</f>
        <v>2.9944959832952785E-6</v>
      </c>
      <c r="K100">
        <f>G100/I100</f>
        <v>0.74862399582381967</v>
      </c>
      <c r="L100">
        <f>K100*16.02</f>
        <v>11.992956413097591</v>
      </c>
    </row>
    <row r="102" spans="1:14" x14ac:dyDescent="0.2">
      <c r="A102" t="s">
        <v>189</v>
      </c>
    </row>
    <row r="103" spans="1:14" x14ac:dyDescent="0.2">
      <c r="A103" t="s">
        <v>32</v>
      </c>
      <c r="C103" s="2">
        <v>-43067.9</v>
      </c>
      <c r="D103">
        <f>C103/10000</f>
        <v>-4.3067900000000003</v>
      </c>
      <c r="E103">
        <f>C103-5000*$D$5-2500*$D$12-2500*$D$20</f>
        <v>-3062.0350585937558</v>
      </c>
      <c r="F103">
        <f>E103/10000</f>
        <v>-0.30620350585937556</v>
      </c>
      <c r="G103">
        <f>(E103-$N$8*5000)</f>
        <v>-33.150000000005548</v>
      </c>
      <c r="H103">
        <f>(E103-$N$8*5000)/10000</f>
        <v>-3.3150000000005549E-3</v>
      </c>
      <c r="I103">
        <f>2*(28.495*28.4951)</f>
        <v>1623.935749</v>
      </c>
      <c r="J103">
        <f t="shared" ref="J103:J110" si="54">H103/I103</f>
        <v>-2.0413369199131752E-6</v>
      </c>
      <c r="K103">
        <f>G103/I103</f>
        <v>-2.041336919913175E-2</v>
      </c>
      <c r="L103">
        <f>K103*16.02</f>
        <v>-0.32702217457009064</v>
      </c>
      <c r="M103" t="s">
        <v>86</v>
      </c>
    </row>
    <row r="104" spans="1:14" x14ac:dyDescent="0.2">
      <c r="A104" t="s">
        <v>87</v>
      </c>
      <c r="C104">
        <v>-172168</v>
      </c>
      <c r="D104">
        <f>C104/40000</f>
        <v>-4.3041999999999998</v>
      </c>
      <c r="E104">
        <f>C104-20000*$D$5-10000*$D$12-10000*$D$20</f>
        <v>-12144.540234375017</v>
      </c>
      <c r="F104">
        <f>E104/40000</f>
        <v>-0.30361350585937541</v>
      </c>
      <c r="G104">
        <f>(E104-$N$8*20000)</f>
        <v>-29.000000000016371</v>
      </c>
      <c r="H104">
        <f>(E104-$N$8*20000)/40000</f>
        <v>-7.2500000000040924E-4</v>
      </c>
      <c r="I104">
        <f>2*(28.4815*28.4817)</f>
        <v>1622.4030771</v>
      </c>
      <c r="J104">
        <f t="shared" si="54"/>
        <v>-4.4686798874686949E-7</v>
      </c>
      <c r="K104">
        <f t="shared" ref="K104:K105" si="55">G104/I104</f>
        <v>-1.7874719549874782E-2</v>
      </c>
      <c r="L104">
        <f>K104*16.02</f>
        <v>-0.28635300718899398</v>
      </c>
      <c r="M104" t="s">
        <v>149</v>
      </c>
    </row>
    <row r="105" spans="1:14" x14ac:dyDescent="0.2">
      <c r="A105" t="s">
        <v>89</v>
      </c>
      <c r="C105">
        <v>-86101.2</v>
      </c>
      <c r="D105">
        <f>C105/20000</f>
        <v>-4.3050600000000001</v>
      </c>
      <c r="E105">
        <f>C105-10000*$D$5-5000*$D$12-5000*$D$20</f>
        <v>-6089.4701171875058</v>
      </c>
      <c r="F105">
        <f>E105/20000</f>
        <v>-0.30447350585937527</v>
      </c>
      <c r="G105">
        <f>(E105-$N$8*10000)</f>
        <v>-31.700000000005275</v>
      </c>
      <c r="H105">
        <f>(E105-$N$8*10000)/20000</f>
        <v>-1.5850000000002637E-3</v>
      </c>
      <c r="I105">
        <f>2*(28.4861*28.486)</f>
        <v>1622.9100892000001</v>
      </c>
      <c r="J105">
        <f t="shared" si="54"/>
        <v>-9.7664067193123198E-7</v>
      </c>
      <c r="K105">
        <f t="shared" si="55"/>
        <v>-1.953281343862464E-2</v>
      </c>
      <c r="L105">
        <f>K105*16.02</f>
        <v>-0.31291567128676673</v>
      </c>
      <c r="M105" t="s">
        <v>173</v>
      </c>
    </row>
    <row r="106" spans="1:14" x14ac:dyDescent="0.2">
      <c r="A106" t="s">
        <v>92</v>
      </c>
      <c r="C106">
        <v>-110535</v>
      </c>
      <c r="D106">
        <f>C106/25000</f>
        <v>-4.4214000000000002</v>
      </c>
      <c r="E106">
        <f>C106-5000*$D$5-10000*$D$12-10000*$D$20</f>
        <v>-12148.190234375012</v>
      </c>
      <c r="F106">
        <f>E106/25000</f>
        <v>-0.48592760937500046</v>
      </c>
      <c r="G106">
        <f>(E106-$N$8*20000)</f>
        <v>-32.65000000001055</v>
      </c>
      <c r="H106">
        <f>(E106-$N$8*20000)/25000</f>
        <v>-1.3060000000004221E-3</v>
      </c>
      <c r="I106">
        <f>2*(28.4239*28.4238)</f>
        <v>1615.83049764</v>
      </c>
      <c r="J106">
        <f t="shared" si="54"/>
        <v>-8.0825309455905143E-7</v>
      </c>
      <c r="K106">
        <f>G106/I106</f>
        <v>-2.0206327363976286E-2</v>
      </c>
      <c r="L106">
        <f>K106*16.02</f>
        <v>-0.32370536437090008</v>
      </c>
      <c r="M106" t="s">
        <v>148</v>
      </c>
    </row>
    <row r="107" spans="1:14" x14ac:dyDescent="0.2">
      <c r="A107" t="s">
        <v>94</v>
      </c>
      <c r="C107">
        <v>-104704</v>
      </c>
      <c r="D107">
        <f>C107/25000</f>
        <v>-4.1881599999999999</v>
      </c>
      <c r="E107">
        <f>C107-20000*$D$5-2500*$D$12-2500*$D$20</f>
        <v>-3061.4850585937675</v>
      </c>
      <c r="F107">
        <f>E107/25000</f>
        <v>-0.1224594023437507</v>
      </c>
      <c r="G107">
        <f>(E107-$N$8*5000)</f>
        <v>-32.600000000017189</v>
      </c>
      <c r="H107">
        <f>(E107-$N$8*5000)/25000</f>
        <v>-1.3040000000006876E-3</v>
      </c>
      <c r="I107">
        <f>2*(28.5291*28.5291)</f>
        <v>1627.8190936199999</v>
      </c>
      <c r="J107">
        <f t="shared" si="54"/>
        <v>-8.0107181756960953E-7</v>
      </c>
      <c r="K107">
        <f>G107/I107</f>
        <v>-2.0026795439240238E-2</v>
      </c>
      <c r="L107">
        <f>K107*16.02</f>
        <v>-0.32082926293662861</v>
      </c>
      <c r="M107" t="s">
        <v>190</v>
      </c>
    </row>
    <row r="108" spans="1:14" x14ac:dyDescent="0.2">
      <c r="A108" t="s">
        <v>97</v>
      </c>
      <c r="C108">
        <v>-65556.399999999994</v>
      </c>
      <c r="D108">
        <f>C108/15000</f>
        <v>-4.370426666666666</v>
      </c>
      <c r="E108">
        <f>C108-5000*$D$5-5000*$D$12-5000*$D$20</f>
        <v>-6090.2201171874985</v>
      </c>
      <c r="F108">
        <f>E108/15000</f>
        <v>-0.40601467447916656</v>
      </c>
      <c r="G108">
        <f>(E108-$N$8*10000)</f>
        <v>-32.449999999997999</v>
      </c>
      <c r="H108">
        <f>(E108-$N$8*10000)/15000</f>
        <v>-2.1633333333331999E-3</v>
      </c>
      <c r="I108">
        <f>2*(28.4584*28.4582)</f>
        <v>1619.7496777600002</v>
      </c>
      <c r="J108">
        <f t="shared" si="54"/>
        <v>-1.3355973228683938E-6</v>
      </c>
      <c r="K108">
        <f t="shared" ref="K108" si="56">G108/I108</f>
        <v>-2.003395984302591E-2</v>
      </c>
      <c r="L108">
        <f t="shared" ref="L108:L109" si="57">K108*16.02</f>
        <v>-0.32094403668527505</v>
      </c>
      <c r="M108" t="s">
        <v>98</v>
      </c>
    </row>
    <row r="109" spans="1:14" x14ac:dyDescent="0.2">
      <c r="A109" t="s">
        <v>99</v>
      </c>
      <c r="C109">
        <v>-63613.4</v>
      </c>
      <c r="D109">
        <f>C109/15000</f>
        <v>-4.2408933333333332</v>
      </c>
      <c r="E109">
        <f>C109-10000*$D$5-2500*$D$12-2500*$D$20</f>
        <v>-3061.9850585937602</v>
      </c>
      <c r="F109">
        <f>E109/15000</f>
        <v>-0.20413233723958402</v>
      </c>
      <c r="G109">
        <f>(E109-$N$8*5000)</f>
        <v>-33.100000000009913</v>
      </c>
      <c r="H109">
        <f>(E109-$N$8*5000)/15000</f>
        <v>-2.2066666666673276E-3</v>
      </c>
      <c r="I109">
        <f>2*(28.5151*28.515)</f>
        <v>1626.2161530000001</v>
      </c>
      <c r="J109">
        <f t="shared" si="54"/>
        <v>-1.3569331866471304E-6</v>
      </c>
      <c r="K109">
        <f t="shared" ref="K109" si="58">G109/I109</f>
        <v>-2.0353997799706956E-2</v>
      </c>
      <c r="L109">
        <f t="shared" si="57"/>
        <v>-0.32607104475130544</v>
      </c>
      <c r="M109" t="s">
        <v>193</v>
      </c>
    </row>
    <row r="110" spans="1:14" x14ac:dyDescent="0.2">
      <c r="A110" t="s">
        <v>191</v>
      </c>
      <c r="C110">
        <v>-74411.5</v>
      </c>
      <c r="D110">
        <f>C110/17280</f>
        <v>-4.3062210648148147</v>
      </c>
      <c r="E110">
        <f>C110-8640*$D$5-4320*$D$12-4320*$D$20</f>
        <v>-5281.3653812500033</v>
      </c>
      <c r="F110">
        <f>E110/17280</f>
        <v>-0.30563457067419003</v>
      </c>
      <c r="G110">
        <f>(E110-$N$8*8640)</f>
        <v>-47.452000000002954</v>
      </c>
      <c r="H110">
        <f>(E110-$N$8*8640)/17280</f>
        <v>-2.7460648148149858E-3</v>
      </c>
      <c r="I110">
        <f>2*(34.1907*34.1907)</f>
        <v>2338.0079329800001</v>
      </c>
      <c r="J110">
        <f t="shared" si="54"/>
        <v>-1.1745318636771607E-6</v>
      </c>
      <c r="K110">
        <f>G110/I110</f>
        <v>-2.0295910604341338E-2</v>
      </c>
      <c r="L110">
        <f>K110*16.02</f>
        <v>-0.3251404878815482</v>
      </c>
      <c r="M110" t="s">
        <v>192</v>
      </c>
    </row>
    <row r="111" spans="1:14" x14ac:dyDescent="0.2">
      <c r="L111">
        <f>AVERAGE(L103,L105:L110)</f>
        <v>-0.32237543464035928</v>
      </c>
    </row>
    <row r="112" spans="1:14" x14ac:dyDescent="0.2">
      <c r="A112" t="s">
        <v>102</v>
      </c>
      <c r="C112">
        <v>-43018.400000000001</v>
      </c>
      <c r="D112">
        <f>C112/10000</f>
        <v>-4.3018400000000003</v>
      </c>
      <c r="E112">
        <f>C112-5100*$D$5-2400*$D$12-2500*$D$20</f>
        <v>-3045.3203476562558</v>
      </c>
      <c r="F112">
        <f>E112/10000</f>
        <v>-0.30453203476562557</v>
      </c>
      <c r="G112">
        <f>(E112-$N$8*4900)</f>
        <v>-77.01299023438014</v>
      </c>
      <c r="H112">
        <f>(E112-$N$8*4900)/10000</f>
        <v>-7.7012990234380137E-3</v>
      </c>
      <c r="I112">
        <f>2*(28.4947*28.4944)</f>
        <v>1623.87875936</v>
      </c>
      <c r="J112">
        <f>H112/I112</f>
        <v>-4.742533258131435E-6</v>
      </c>
      <c r="K112">
        <f>G112/I112</f>
        <v>-4.7425332581314351E-2</v>
      </c>
      <c r="L112">
        <f>K112*16.02</f>
        <v>-0.75975382795265589</v>
      </c>
      <c r="M112" t="s">
        <v>86</v>
      </c>
      <c r="N112" t="s">
        <v>194</v>
      </c>
    </row>
    <row r="113" spans="1:14" x14ac:dyDescent="0.2">
      <c r="A113" t="s">
        <v>104</v>
      </c>
      <c r="C113">
        <v>-43039.6</v>
      </c>
      <c r="D113">
        <f>C113/10000</f>
        <v>-4.30396</v>
      </c>
      <c r="E113">
        <f>C113-5100*$D$5-2500*$D$12-2400*$D$20</f>
        <v>-2957.5403671875029</v>
      </c>
      <c r="F113">
        <f>E113/10000</f>
        <v>-0.29575403671875028</v>
      </c>
      <c r="G113">
        <f>(E113-$N$8*4900)</f>
        <v>10.76699023437277</v>
      </c>
      <c r="H113">
        <f>(E113-$N$8*4900)/10000</f>
        <v>1.076699023437277E-3</v>
      </c>
      <c r="I113">
        <f>2*(28.4989*28.4989)</f>
        <v>1624.37460242</v>
      </c>
      <c r="J113">
        <f>H113/I113</f>
        <v>6.6283911471726193E-7</v>
      </c>
      <c r="K113">
        <f>G113/I113</f>
        <v>6.6283911471726187E-3</v>
      </c>
      <c r="L113">
        <f>K113*16.02</f>
        <v>0.10618682617770535</v>
      </c>
      <c r="M113" t="s">
        <v>86</v>
      </c>
      <c r="N113" t="s">
        <v>195</v>
      </c>
    </row>
    <row r="114" spans="1:14" x14ac:dyDescent="0.2">
      <c r="L114">
        <f>AVERAGE(L112:L113)</f>
        <v>-0.32678350088747526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9"/>
  <sheetViews>
    <sheetView tabSelected="1" topLeftCell="A24" zoomScaleNormal="100" zoomScalePageLayoutView="75" workbookViewId="0">
      <selection activeCell="P60" sqref="P60"/>
    </sheetView>
  </sheetViews>
  <sheetFormatPr baseColWidth="10" defaultColWidth="11" defaultRowHeight="16" x14ac:dyDescent="0.2"/>
  <cols>
    <col min="5" max="5" width="12.6640625" customWidth="1"/>
    <col min="10" max="10" width="12.6640625" bestFit="1" customWidth="1"/>
    <col min="11" max="11" width="12.6640625" customWidth="1"/>
  </cols>
  <sheetData>
    <row r="2" spans="1:24" x14ac:dyDescent="0.2">
      <c r="A2" t="s">
        <v>249</v>
      </c>
      <c r="I2" t="s">
        <v>7</v>
      </c>
      <c r="P2" t="s">
        <v>250</v>
      </c>
      <c r="X2" t="s">
        <v>221</v>
      </c>
    </row>
    <row r="3" spans="1:24" x14ac:dyDescent="0.2">
      <c r="A3">
        <v>0</v>
      </c>
      <c r="B3">
        <v>0</v>
      </c>
      <c r="C3">
        <v>-8244.8712527099997</v>
      </c>
      <c r="D3">
        <f>C3/2000</f>
        <v>-4.1224356263550002</v>
      </c>
      <c r="E3">
        <v>23269.753000000001</v>
      </c>
      <c r="F3">
        <f>(E3^(1/3))/10</f>
        <v>2.8549417903874623</v>
      </c>
      <c r="I3">
        <v>0</v>
      </c>
      <c r="J3">
        <v>0</v>
      </c>
      <c r="K3">
        <v>-17799.9996637</v>
      </c>
      <c r="L3">
        <f>K3/4000</f>
        <v>-4.4499999159249999</v>
      </c>
      <c r="M3">
        <v>43618.855000000003</v>
      </c>
      <c r="N3">
        <f>(M3^(1/3))/10</f>
        <v>3.5201250117017246</v>
      </c>
      <c r="P3" t="s">
        <v>138</v>
      </c>
      <c r="Q3">
        <v>0</v>
      </c>
      <c r="R3">
        <v>-4619.1319000000003</v>
      </c>
      <c r="S3">
        <f>R3/1024</f>
        <v>-4.5108709960937503</v>
      </c>
      <c r="T3">
        <v>11629.038</v>
      </c>
      <c r="U3">
        <f>(T3^(1/3))/8</f>
        <v>2.83198713561882</v>
      </c>
      <c r="V3">
        <f>(R3-512*L3-512*L10)/1024</f>
        <v>-0.60587104420625049</v>
      </c>
      <c r="X3" s="5">
        <f>(U3+F3)/2</f>
        <v>2.8434644630031412</v>
      </c>
    </row>
    <row r="4" spans="1:24" x14ac:dyDescent="0.2">
      <c r="A4">
        <v>100</v>
      </c>
      <c r="B4">
        <v>100.13800000000001</v>
      </c>
      <c r="C4">
        <v>-8218.2199999999993</v>
      </c>
      <c r="D4">
        <v>-4.1091099999999994</v>
      </c>
      <c r="E4">
        <v>23264.9</v>
      </c>
      <c r="F4">
        <v>2.8547433067479986</v>
      </c>
      <c r="I4">
        <v>100</v>
      </c>
      <c r="J4">
        <v>99.838700000000003</v>
      </c>
      <c r="K4">
        <v>-9086.9</v>
      </c>
      <c r="L4">
        <f>K4/2048</f>
        <v>-4.4369628906249998</v>
      </c>
      <c r="M4">
        <v>22380.6</v>
      </c>
      <c r="N4">
        <f>(M4^(1/3))/8</f>
        <v>3.5226318282089975</v>
      </c>
      <c r="P4" t="s">
        <v>138</v>
      </c>
      <c r="Q4">
        <v>100</v>
      </c>
      <c r="R4">
        <v>-8995.68</v>
      </c>
      <c r="S4">
        <f>R4/2000</f>
        <v>-4.4978400000000001</v>
      </c>
      <c r="T4">
        <v>22809.599999999999</v>
      </c>
      <c r="U4">
        <f>(T4^(1/3))/10</f>
        <v>2.8359978011220015</v>
      </c>
      <c r="V4">
        <f>(R4-1000*L4-1000*L11)/2000</f>
        <v>-0.60577701171875009</v>
      </c>
      <c r="X4" s="5">
        <f t="shared" ref="X4:X7" si="0">(U4+F4)/2</f>
        <v>2.845370553935</v>
      </c>
    </row>
    <row r="5" spans="1:24" x14ac:dyDescent="0.2">
      <c r="A5">
        <v>300</v>
      </c>
      <c r="B5">
        <v>299.25299999999999</v>
      </c>
      <c r="C5">
        <v>-8162.73</v>
      </c>
      <c r="D5">
        <f>C5/2000</f>
        <v>-4.0813649999999999</v>
      </c>
      <c r="E5">
        <v>23352.400000000001</v>
      </c>
      <c r="F5">
        <f>(E5^(1/3))/10</f>
        <v>2.858317754894359</v>
      </c>
      <c r="I5">
        <v>300</v>
      </c>
      <c r="J5">
        <v>299.58100000000002</v>
      </c>
      <c r="K5">
        <v>-9032.2800000000007</v>
      </c>
      <c r="L5">
        <f t="shared" ref="L5:L7" si="1">K5/2048</f>
        <v>-4.4102929687500003</v>
      </c>
      <c r="M5">
        <v>22487.3</v>
      </c>
      <c r="N5">
        <f t="shared" ref="N5:N7" si="2">(M5^(1/3))/8</f>
        <v>3.528221030144949</v>
      </c>
      <c r="P5" t="s">
        <v>138</v>
      </c>
      <c r="Q5">
        <v>300</v>
      </c>
      <c r="R5">
        <v>-8942.84</v>
      </c>
      <c r="S5">
        <f t="shared" ref="S5:S7" si="3">R5/2000</f>
        <v>-4.4714200000000002</v>
      </c>
      <c r="T5">
        <v>22999.1</v>
      </c>
      <c r="U5">
        <f t="shared" ref="U5:U7" si="4">(T5^(1/3))/10</f>
        <v>2.8438298854505932</v>
      </c>
      <c r="V5">
        <f>(R5-1000*L5-1000*L12)/2000</f>
        <v>-0.60566072265625004</v>
      </c>
      <c r="X5" s="5">
        <f t="shared" si="0"/>
        <v>2.8510738201724761</v>
      </c>
    </row>
    <row r="6" spans="1:24" x14ac:dyDescent="0.2">
      <c r="A6">
        <v>500</v>
      </c>
      <c r="B6">
        <v>499.68</v>
      </c>
      <c r="C6">
        <v>-8105.7</v>
      </c>
      <c r="D6">
        <f>C6/2000</f>
        <v>-4.0528500000000003</v>
      </c>
      <c r="E6">
        <v>23483.7</v>
      </c>
      <c r="F6">
        <f>(E6^(1/3))/10</f>
        <v>2.8636647561261053</v>
      </c>
      <c r="I6">
        <v>500</v>
      </c>
      <c r="J6">
        <v>498.27199999999999</v>
      </c>
      <c r="K6">
        <v>-8976.0499999999993</v>
      </c>
      <c r="L6">
        <f t="shared" si="1"/>
        <v>-4.3828369140624996</v>
      </c>
      <c r="M6">
        <v>22603.599999999999</v>
      </c>
      <c r="N6">
        <f t="shared" si="2"/>
        <v>3.5342930018060605</v>
      </c>
      <c r="P6" t="s">
        <v>138</v>
      </c>
      <c r="Q6">
        <v>500</v>
      </c>
      <c r="R6">
        <v>-8887.9599999999991</v>
      </c>
      <c r="S6">
        <f t="shared" si="3"/>
        <v>-4.4439799999999998</v>
      </c>
      <c r="T6">
        <v>23194.7</v>
      </c>
      <c r="U6">
        <f t="shared" si="4"/>
        <v>2.8518690930120454</v>
      </c>
      <c r="V6">
        <f>(R6-1000*L6-1000*L13)/2000</f>
        <v>-0.60530568359374959</v>
      </c>
      <c r="X6" s="5">
        <f t="shared" si="0"/>
        <v>2.8577669245690753</v>
      </c>
    </row>
    <row r="7" spans="1:24" x14ac:dyDescent="0.2">
      <c r="A7">
        <v>800</v>
      </c>
      <c r="B7">
        <v>800.76700000000005</v>
      </c>
      <c r="C7">
        <v>-8017.89</v>
      </c>
      <c r="D7">
        <f>C7/2000</f>
        <v>-4.0089449999999998</v>
      </c>
      <c r="E7">
        <v>23727</v>
      </c>
      <c r="F7">
        <f>(E7^(1/3))/10</f>
        <v>2.8735203476209494</v>
      </c>
      <c r="I7">
        <v>900</v>
      </c>
      <c r="J7">
        <v>798.18</v>
      </c>
      <c r="K7">
        <v>-8886.91</v>
      </c>
      <c r="L7">
        <f t="shared" si="1"/>
        <v>-4.3393115234374999</v>
      </c>
      <c r="M7">
        <v>22801</v>
      </c>
      <c r="N7">
        <f t="shared" si="2"/>
        <v>3.5445516669598507</v>
      </c>
      <c r="P7" t="s">
        <v>138</v>
      </c>
      <c r="Q7">
        <v>800</v>
      </c>
      <c r="R7">
        <v>-8802.15</v>
      </c>
      <c r="S7">
        <f t="shared" si="3"/>
        <v>-4.4010749999999996</v>
      </c>
      <c r="T7">
        <v>23499.599999999999</v>
      </c>
      <c r="U7">
        <f t="shared" si="4"/>
        <v>2.8643109063974053</v>
      </c>
      <c r="V7">
        <f>(R7-1000*L7-1000*L14)/2000</f>
        <v>-0.60649248046874982</v>
      </c>
      <c r="X7" s="5">
        <f t="shared" si="0"/>
        <v>2.8689156270091773</v>
      </c>
    </row>
    <row r="8" spans="1:24" x14ac:dyDescent="0.2">
      <c r="A8">
        <v>1000</v>
      </c>
      <c r="B8">
        <v>999.88699999999994</v>
      </c>
      <c r="C8">
        <v>-7956.61</v>
      </c>
      <c r="D8">
        <f>C8/2000</f>
        <v>-3.9783049999999998</v>
      </c>
      <c r="E8">
        <v>23920.2</v>
      </c>
      <c r="F8">
        <f>(E8^(1/3))/10</f>
        <v>2.8812986041806887</v>
      </c>
      <c r="I8">
        <v>1000</v>
      </c>
      <c r="J8">
        <v>999.03499999999997</v>
      </c>
      <c r="K8">
        <v>-8823.6200000000008</v>
      </c>
      <c r="L8">
        <f>K8/2048</f>
        <v>-4.3084082031250004</v>
      </c>
      <c r="M8">
        <v>22951.200000000001</v>
      </c>
      <c r="N8">
        <f>(M8^(1/3))/8</f>
        <v>3.5523178013247771</v>
      </c>
      <c r="P8" t="s">
        <v>138</v>
      </c>
      <c r="Q8">
        <v>1000</v>
      </c>
      <c r="R8">
        <v>-8741.49</v>
      </c>
      <c r="S8">
        <f>R8/2000</f>
        <v>-4.3707450000000003</v>
      </c>
      <c r="T8">
        <v>23713.1</v>
      </c>
      <c r="U8">
        <f>(T8^(1/3))/10</f>
        <v>2.8729591060662436</v>
      </c>
      <c r="V8">
        <f>(R8-1000*L8-1000*L15)/2000</f>
        <v>-0.60848914062499992</v>
      </c>
      <c r="X8" s="5">
        <f>(U8+F8)/2</f>
        <v>2.8771288551234662</v>
      </c>
    </row>
    <row r="9" spans="1:24" x14ac:dyDescent="0.2">
      <c r="I9" t="s">
        <v>8</v>
      </c>
    </row>
    <row r="10" spans="1:24" x14ac:dyDescent="0.2">
      <c r="A10" s="9" t="s">
        <v>251</v>
      </c>
      <c r="B10" s="9">
        <v>100.23699999999999</v>
      </c>
      <c r="C10" s="9">
        <v>-15778.5</v>
      </c>
      <c r="D10" s="9">
        <f>C10/3840</f>
        <v>-4.1089843750000004</v>
      </c>
      <c r="E10" s="9">
        <v>2.84537</v>
      </c>
      <c r="F10" s="9"/>
      <c r="G10" s="9" t="s">
        <v>210</v>
      </c>
      <c r="H10" s="9"/>
      <c r="I10">
        <v>0</v>
      </c>
      <c r="J10">
        <v>0</v>
      </c>
      <c r="K10">
        <v>-13439.999951399999</v>
      </c>
      <c r="L10">
        <f>K10/4000</f>
        <v>-3.3599999878499998</v>
      </c>
      <c r="M10">
        <v>66430.125</v>
      </c>
      <c r="N10">
        <f>(M10^(1/3))/10</f>
        <v>4.0499999999999989</v>
      </c>
      <c r="P10" s="9" t="s">
        <v>247</v>
      </c>
      <c r="Q10" s="9">
        <v>98.895499999999998</v>
      </c>
      <c r="R10" s="9">
        <v>-17271.599999999999</v>
      </c>
      <c r="S10">
        <f>R10/3840</f>
        <v>-4.4978124999999993</v>
      </c>
      <c r="T10" s="9">
        <v>2.84537</v>
      </c>
      <c r="U10" s="9"/>
      <c r="V10">
        <f>(R10-1920*L$4-1920*L$11)/3840</f>
        <v>-0.6057495117187498</v>
      </c>
    </row>
    <row r="11" spans="1:24" x14ac:dyDescent="0.2">
      <c r="A11" s="9" t="s">
        <v>251</v>
      </c>
      <c r="B11" s="9">
        <v>99.790800000000004</v>
      </c>
      <c r="C11" s="9">
        <v>-15778.7</v>
      </c>
      <c r="D11" s="9">
        <f t="shared" ref="D11:D29" si="5">C11/3840</f>
        <v>-4.1090364583333336</v>
      </c>
      <c r="E11" s="9">
        <v>2.84537</v>
      </c>
      <c r="F11" s="9"/>
      <c r="G11" s="9" t="s">
        <v>210</v>
      </c>
      <c r="H11" s="9"/>
      <c r="I11">
        <v>100</v>
      </c>
      <c r="J11">
        <v>99.730699999999999</v>
      </c>
      <c r="K11">
        <v>-6854.99</v>
      </c>
      <c r="L11">
        <f>K11/2048</f>
        <v>-3.3471630859374999</v>
      </c>
      <c r="M11">
        <v>34116.699999999997</v>
      </c>
      <c r="N11">
        <f>(M11^(1/3))/8</f>
        <v>4.0541425821352464</v>
      </c>
      <c r="P11" s="9" t="s">
        <v>247</v>
      </c>
      <c r="Q11" s="9">
        <v>99.692899999999995</v>
      </c>
      <c r="R11" s="9">
        <v>-17271.2</v>
      </c>
      <c r="S11">
        <f t="shared" ref="S11:S29" si="6">R11/3840</f>
        <v>-4.4977083333333336</v>
      </c>
      <c r="T11" s="9">
        <v>2.84537</v>
      </c>
      <c r="U11" s="9"/>
      <c r="V11">
        <f>(R11-1920*L$4-1920*L$11)/3840</f>
        <v>-0.60564534505208367</v>
      </c>
      <c r="W11" s="9"/>
    </row>
    <row r="12" spans="1:24" x14ac:dyDescent="0.2">
      <c r="A12" s="9" t="s">
        <v>251</v>
      </c>
      <c r="B12" s="9">
        <v>99.951800000000006</v>
      </c>
      <c r="C12" s="9">
        <v>-15778.6</v>
      </c>
      <c r="D12" s="9">
        <f t="shared" si="5"/>
        <v>-4.109010416666667</v>
      </c>
      <c r="E12" s="9">
        <v>2.84537</v>
      </c>
      <c r="F12" s="9"/>
      <c r="G12" s="9" t="s">
        <v>210</v>
      </c>
      <c r="H12" s="9"/>
      <c r="I12">
        <v>300</v>
      </c>
      <c r="J12">
        <v>299.81200000000001</v>
      </c>
      <c r="K12">
        <v>-6801.87</v>
      </c>
      <c r="L12">
        <f t="shared" ref="L12:L14" si="7">K12/2048</f>
        <v>-3.3212255859374999</v>
      </c>
      <c r="M12">
        <v>34393.1</v>
      </c>
      <c r="N12">
        <f t="shared" ref="N12:N14" si="8">(M12^(1/3))/8</f>
        <v>4.0650615009453048</v>
      </c>
      <c r="P12" s="9" t="s">
        <v>247</v>
      </c>
      <c r="Q12" s="9">
        <v>99.391900000000007</v>
      </c>
      <c r="R12" s="9">
        <v>-17271.400000000001</v>
      </c>
      <c r="S12">
        <f t="shared" si="6"/>
        <v>-4.4977604166666669</v>
      </c>
      <c r="T12" s="9">
        <v>2.84537</v>
      </c>
      <c r="U12" s="9"/>
      <c r="V12">
        <f>(R12-1920*L$4-1920*L$11)/3840</f>
        <v>-0.60569742838541718</v>
      </c>
      <c r="W12" s="9">
        <f>AVERAGE(S10:S13)</f>
        <v>-4.4977604166666669</v>
      </c>
    </row>
    <row r="13" spans="1:24" x14ac:dyDescent="0.2">
      <c r="A13" s="9" t="s">
        <v>251</v>
      </c>
      <c r="B13" s="9">
        <v>100.07899999999999</v>
      </c>
      <c r="C13" s="9">
        <v>-15778.6</v>
      </c>
      <c r="D13" s="9">
        <f t="shared" si="5"/>
        <v>-4.109010416666667</v>
      </c>
      <c r="E13" s="9">
        <v>2.84537</v>
      </c>
      <c r="F13" s="9"/>
      <c r="G13" s="9" t="s">
        <v>210</v>
      </c>
      <c r="H13" s="9">
        <f>AVERAGE(D10:D13)</f>
        <v>-4.109010416666667</v>
      </c>
      <c r="I13">
        <v>500</v>
      </c>
      <c r="J13">
        <v>495.89400000000001</v>
      </c>
      <c r="K13">
        <v>-6747.16</v>
      </c>
      <c r="L13">
        <f t="shared" si="7"/>
        <v>-3.2945117187499999</v>
      </c>
      <c r="M13">
        <v>34726.5</v>
      </c>
      <c r="N13">
        <f t="shared" si="8"/>
        <v>4.078154588678613</v>
      </c>
      <c r="P13" s="9" t="s">
        <v>247</v>
      </c>
      <c r="Q13" s="9">
        <v>99.411600000000007</v>
      </c>
      <c r="R13" s="9">
        <v>-17271.400000000001</v>
      </c>
      <c r="S13">
        <f t="shared" si="6"/>
        <v>-4.4977604166666669</v>
      </c>
      <c r="T13" s="9">
        <v>2.84537</v>
      </c>
      <c r="U13" s="9"/>
      <c r="V13">
        <f>(R13-1920*L$4-1920*L$11)/3840</f>
        <v>-0.60569742838541718</v>
      </c>
      <c r="W13" s="9">
        <f>AVERAGE(V10:V13)</f>
        <v>-0.60569742838541696</v>
      </c>
    </row>
    <row r="14" spans="1:24" x14ac:dyDescent="0.2">
      <c r="A14" s="9" t="s">
        <v>251</v>
      </c>
      <c r="B14" s="9">
        <v>298.90100000000001</v>
      </c>
      <c r="C14" s="9">
        <v>-15673.2</v>
      </c>
      <c r="D14" s="9">
        <f t="shared" si="5"/>
        <v>-4.0815625000000004</v>
      </c>
      <c r="E14" s="9">
        <v>2.85107</v>
      </c>
      <c r="F14" s="9"/>
      <c r="G14" s="9" t="s">
        <v>210</v>
      </c>
      <c r="H14" s="9"/>
      <c r="I14">
        <v>800</v>
      </c>
      <c r="J14">
        <v>796.38099999999997</v>
      </c>
      <c r="K14">
        <v>-6655.7</v>
      </c>
      <c r="L14">
        <f t="shared" si="7"/>
        <v>-3.2498535156249999</v>
      </c>
      <c r="M14">
        <v>35349.800000000003</v>
      </c>
      <c r="N14">
        <f t="shared" si="8"/>
        <v>4.1024094131701236</v>
      </c>
      <c r="P14" s="9" t="s">
        <v>247</v>
      </c>
      <c r="Q14" s="9">
        <v>298.51900000000001</v>
      </c>
      <c r="R14" s="9">
        <v>-17169.3</v>
      </c>
      <c r="S14">
        <f t="shared" si="6"/>
        <v>-4.4711718749999996</v>
      </c>
      <c r="T14" s="9">
        <v>2.85107</v>
      </c>
      <c r="U14" s="9"/>
      <c r="V14">
        <f>(R14-1920*L$5-1920*L$12)/3840</f>
        <v>-0.60541259765624955</v>
      </c>
      <c r="W14" s="9"/>
    </row>
    <row r="15" spans="1:24" x14ac:dyDescent="0.2">
      <c r="A15" s="9" t="s">
        <v>251</v>
      </c>
      <c r="B15" s="9">
        <v>298.92700000000002</v>
      </c>
      <c r="C15" s="9">
        <v>-15673.2</v>
      </c>
      <c r="D15" s="9">
        <f t="shared" si="5"/>
        <v>-4.0815625000000004</v>
      </c>
      <c r="E15" s="9">
        <v>2.85107</v>
      </c>
      <c r="F15" s="9"/>
      <c r="G15" s="9" t="s">
        <v>210</v>
      </c>
      <c r="H15" s="9"/>
      <c r="I15">
        <v>1000</v>
      </c>
      <c r="J15">
        <v>997.47199999999998</v>
      </c>
      <c r="K15">
        <v>-6586.58</v>
      </c>
      <c r="L15">
        <f>K15/2048</f>
        <v>-3.216103515625</v>
      </c>
      <c r="M15">
        <v>35865.1</v>
      </c>
      <c r="N15">
        <f>(M15^(1/3))/8</f>
        <v>4.1222471685016089</v>
      </c>
      <c r="P15" s="9" t="s">
        <v>247</v>
      </c>
      <c r="Q15">
        <v>299.298</v>
      </c>
      <c r="R15">
        <v>-17168.900000000001</v>
      </c>
      <c r="S15">
        <f t="shared" si="6"/>
        <v>-4.4710677083333339</v>
      </c>
      <c r="T15" s="9">
        <v>2.85107</v>
      </c>
      <c r="U15" s="9"/>
      <c r="V15">
        <f>(R15-1920*L$5-1920*L$12)/3840</f>
        <v>-0.60530843098958342</v>
      </c>
    </row>
    <row r="16" spans="1:24" x14ac:dyDescent="0.2">
      <c r="A16" s="9" t="s">
        <v>251</v>
      </c>
      <c r="B16" s="9">
        <v>298.89499999999998</v>
      </c>
      <c r="C16" s="9">
        <v>-15673.2</v>
      </c>
      <c r="D16" s="9">
        <f t="shared" si="5"/>
        <v>-4.0815625000000004</v>
      </c>
      <c r="E16" s="9">
        <v>2.85107</v>
      </c>
      <c r="F16" s="9"/>
      <c r="G16" s="9" t="s">
        <v>210</v>
      </c>
      <c r="H16" s="9"/>
      <c r="P16" s="9" t="s">
        <v>247</v>
      </c>
      <c r="Q16">
        <v>298.536</v>
      </c>
      <c r="R16">
        <v>-17169.3</v>
      </c>
      <c r="S16">
        <f t="shared" si="6"/>
        <v>-4.4711718749999996</v>
      </c>
      <c r="T16" s="9">
        <v>2.85107</v>
      </c>
      <c r="U16" s="9"/>
      <c r="V16">
        <f>(R16-1920*L$5-1920*L$12)/3840</f>
        <v>-0.60541259765624955</v>
      </c>
    </row>
    <row r="17" spans="1:23" x14ac:dyDescent="0.2">
      <c r="A17" s="9" t="s">
        <v>251</v>
      </c>
      <c r="B17" s="9">
        <v>298.94200000000001</v>
      </c>
      <c r="C17" s="9">
        <v>-15673.2</v>
      </c>
      <c r="D17" s="9">
        <f t="shared" si="5"/>
        <v>-4.0815625000000004</v>
      </c>
      <c r="E17" s="9">
        <v>2.85107</v>
      </c>
      <c r="F17" s="9"/>
      <c r="G17" s="9" t="s">
        <v>210</v>
      </c>
      <c r="H17" s="9">
        <f>AVERAGE(D14:D17)</f>
        <v>-4.0815625000000004</v>
      </c>
      <c r="P17" s="9" t="s">
        <v>247</v>
      </c>
      <c r="Q17">
        <v>298.46100000000001</v>
      </c>
      <c r="R17">
        <v>-17169.3</v>
      </c>
      <c r="S17">
        <f t="shared" si="6"/>
        <v>-4.4711718749999996</v>
      </c>
      <c r="T17" s="9">
        <v>2.85107</v>
      </c>
      <c r="U17" s="9"/>
      <c r="V17">
        <f>(R17-1920*L$5-1920*L$12)/3840</f>
        <v>-0.60541259765624955</v>
      </c>
      <c r="W17" s="9">
        <f>AVERAGE(V14:V17)</f>
        <v>-0.60538655598958302</v>
      </c>
    </row>
    <row r="18" spans="1:23" x14ac:dyDescent="0.2">
      <c r="A18" s="9" t="s">
        <v>251</v>
      </c>
      <c r="B18" s="9">
        <v>501.50799999999998</v>
      </c>
      <c r="C18" s="9">
        <v>-15563.4</v>
      </c>
      <c r="D18" s="9">
        <f t="shared" si="5"/>
        <v>-4.0529687499999998</v>
      </c>
      <c r="E18" s="9">
        <v>2.8577699999999999</v>
      </c>
      <c r="F18" s="9"/>
      <c r="G18" s="9" t="s">
        <v>210</v>
      </c>
      <c r="H18" s="9"/>
      <c r="P18" s="9" t="s">
        <v>247</v>
      </c>
      <c r="Q18">
        <v>497.916</v>
      </c>
      <c r="R18">
        <v>-17063.5</v>
      </c>
      <c r="S18">
        <f t="shared" si="6"/>
        <v>-4.4436197916666664</v>
      </c>
      <c r="T18" s="9">
        <v>2.8577699999999999</v>
      </c>
      <c r="U18" s="9"/>
      <c r="V18">
        <f>(R18-1920*L$6-1920*L$13)/3840</f>
        <v>-0.60494547526041675</v>
      </c>
    </row>
    <row r="19" spans="1:23" x14ac:dyDescent="0.2">
      <c r="A19" s="9" t="s">
        <v>251</v>
      </c>
      <c r="B19" s="9">
        <v>501.48899999999998</v>
      </c>
      <c r="C19" s="9">
        <v>-15563.4</v>
      </c>
      <c r="D19" s="9">
        <f t="shared" si="5"/>
        <v>-4.0529687499999998</v>
      </c>
      <c r="E19" s="9">
        <v>2.8577699999999999</v>
      </c>
      <c r="F19" s="9"/>
      <c r="G19" s="9" t="s">
        <v>210</v>
      </c>
      <c r="H19" s="9"/>
      <c r="P19" s="9" t="s">
        <v>247</v>
      </c>
      <c r="Q19">
        <v>498.60599999999999</v>
      </c>
      <c r="R19">
        <v>-17063.2</v>
      </c>
      <c r="S19">
        <f t="shared" si="6"/>
        <v>-4.4435416666666665</v>
      </c>
      <c r="T19" s="9">
        <v>2.8577699999999999</v>
      </c>
      <c r="U19" s="9"/>
      <c r="V19">
        <f>(R19-1920*L$6-1920*L$13)/3840</f>
        <v>-0.60486735026041694</v>
      </c>
    </row>
    <row r="20" spans="1:23" x14ac:dyDescent="0.2">
      <c r="A20" s="9" t="s">
        <v>251</v>
      </c>
      <c r="B20" s="9">
        <v>501.601</v>
      </c>
      <c r="C20" s="9">
        <v>-15563.4</v>
      </c>
      <c r="D20" s="9">
        <f t="shared" si="5"/>
        <v>-4.0529687499999998</v>
      </c>
      <c r="E20" s="9">
        <v>2.8577699999999999</v>
      </c>
      <c r="F20" s="9"/>
      <c r="G20" s="9" t="s">
        <v>210</v>
      </c>
      <c r="H20" s="9"/>
      <c r="P20" s="9" t="s">
        <v>247</v>
      </c>
      <c r="Q20">
        <v>497.55200000000002</v>
      </c>
      <c r="R20">
        <v>-17063.7</v>
      </c>
      <c r="S20">
        <f t="shared" si="6"/>
        <v>-4.4436718750000006</v>
      </c>
      <c r="T20" s="9">
        <v>2.8577699999999999</v>
      </c>
      <c r="U20" s="9"/>
      <c r="V20">
        <f>(R20-1920*L$6-1920*L$13)/3840</f>
        <v>-0.60499755859375026</v>
      </c>
    </row>
    <row r="21" spans="1:23" x14ac:dyDescent="0.2">
      <c r="A21" s="9" t="s">
        <v>251</v>
      </c>
      <c r="B21" s="9">
        <v>501.798</v>
      </c>
      <c r="C21" s="9">
        <v>-15563.2</v>
      </c>
      <c r="D21" s="9">
        <f t="shared" si="5"/>
        <v>-4.0529166666666665</v>
      </c>
      <c r="E21" s="9">
        <v>2.8577699999999999</v>
      </c>
      <c r="F21" s="9"/>
      <c r="G21" s="9" t="s">
        <v>210</v>
      </c>
      <c r="H21" s="9">
        <f>AVERAGE(D18:D21)</f>
        <v>-4.0529557291666665</v>
      </c>
      <c r="P21" s="9" t="s">
        <v>247</v>
      </c>
      <c r="Q21">
        <v>498.85399999999998</v>
      </c>
      <c r="R21">
        <v>-17063</v>
      </c>
      <c r="S21">
        <f t="shared" si="6"/>
        <v>-4.4434895833333332</v>
      </c>
      <c r="T21" s="9">
        <v>2.8577699999999999</v>
      </c>
      <c r="U21" s="9"/>
      <c r="V21">
        <f>(R21-1920*L$6-1920*L$13)/3840</f>
        <v>-0.60481526692708343</v>
      </c>
      <c r="W21" s="9">
        <f>AVERAGE(V18:V21)</f>
        <v>-0.6049064127604169</v>
      </c>
    </row>
    <row r="22" spans="1:23" x14ac:dyDescent="0.2">
      <c r="A22" s="9" t="s">
        <v>251</v>
      </c>
      <c r="B22" s="9"/>
      <c r="C22" s="9">
        <v>-15395.3</v>
      </c>
      <c r="D22" s="9">
        <f t="shared" si="5"/>
        <v>-4.009192708333333</v>
      </c>
      <c r="E22" s="5">
        <v>2.8689200000000001</v>
      </c>
      <c r="F22" s="9"/>
      <c r="G22" s="9" t="s">
        <v>210</v>
      </c>
      <c r="H22" s="9"/>
      <c r="P22" s="9" t="s">
        <v>247</v>
      </c>
      <c r="Q22">
        <v>799.52700000000004</v>
      </c>
      <c r="R22">
        <v>-16896.7</v>
      </c>
      <c r="S22">
        <f t="shared" si="6"/>
        <v>-4.4001822916666669</v>
      </c>
      <c r="T22" s="5">
        <v>2.8689200000000001</v>
      </c>
      <c r="U22" s="9"/>
      <c r="V22">
        <f>(R22-1920*L$7-1920*L$14)/3840</f>
        <v>-0.60559977213541694</v>
      </c>
      <c r="W22" s="9"/>
    </row>
    <row r="23" spans="1:23" x14ac:dyDescent="0.2">
      <c r="A23" s="9" t="s">
        <v>251</v>
      </c>
      <c r="B23" s="9">
        <v>803.12900000000002</v>
      </c>
      <c r="C23" s="9">
        <v>-15395.3</v>
      </c>
      <c r="D23" s="9">
        <f t="shared" si="5"/>
        <v>-4.009192708333333</v>
      </c>
      <c r="E23" s="5">
        <v>2.8689200000000001</v>
      </c>
      <c r="F23" s="9"/>
      <c r="G23" s="9" t="s">
        <v>210</v>
      </c>
      <c r="H23" s="9"/>
      <c r="P23" s="9" t="s">
        <v>247</v>
      </c>
      <c r="Q23">
        <v>795.94100000000003</v>
      </c>
      <c r="R23">
        <v>-16898.599999999999</v>
      </c>
      <c r="S23">
        <f t="shared" si="6"/>
        <v>-4.4006770833333331</v>
      </c>
      <c r="T23" s="5">
        <v>2.8689200000000001</v>
      </c>
      <c r="U23" s="9"/>
      <c r="V23">
        <f t="shared" ref="V23:V25" si="9">(R23-1920*L$7-1920*L$14)/3840</f>
        <v>-0.60609456380208304</v>
      </c>
      <c r="W23" s="9"/>
    </row>
    <row r="24" spans="1:23" x14ac:dyDescent="0.2">
      <c r="A24" s="9" t="s">
        <v>251</v>
      </c>
      <c r="B24" s="9">
        <v>799.62300000000005</v>
      </c>
      <c r="C24" s="9">
        <v>-15397.1</v>
      </c>
      <c r="D24" s="9">
        <f t="shared" si="5"/>
        <v>-4.0096614583333334</v>
      </c>
      <c r="E24" s="5">
        <v>2.8689200000000001</v>
      </c>
      <c r="F24" s="9"/>
      <c r="G24" s="9" t="s">
        <v>210</v>
      </c>
      <c r="H24" s="9"/>
      <c r="P24" s="9" t="s">
        <v>247</v>
      </c>
      <c r="Q24">
        <v>796.68700000000001</v>
      </c>
      <c r="R24">
        <v>-16898.2</v>
      </c>
      <c r="S24">
        <f t="shared" si="6"/>
        <v>-4.4005729166666665</v>
      </c>
      <c r="T24" s="5">
        <v>2.8689200000000001</v>
      </c>
      <c r="U24" s="9"/>
      <c r="V24">
        <f t="shared" si="9"/>
        <v>-0.60599039713541691</v>
      </c>
      <c r="W24" s="9"/>
    </row>
    <row r="25" spans="1:23" x14ac:dyDescent="0.2">
      <c r="A25" s="9" t="s">
        <v>251</v>
      </c>
      <c r="B25" s="9">
        <v>801.22400000000005</v>
      </c>
      <c r="C25" s="9">
        <v>-15396.4</v>
      </c>
      <c r="D25" s="9">
        <f t="shared" si="5"/>
        <v>-4.0094791666666669</v>
      </c>
      <c r="E25" s="5">
        <v>2.8689200000000001</v>
      </c>
      <c r="F25" s="9"/>
      <c r="G25" s="9" t="s">
        <v>210</v>
      </c>
      <c r="H25" s="9">
        <f>AVERAGE(D22:D25)</f>
        <v>-4.0093815104166666</v>
      </c>
      <c r="P25" s="9" t="s">
        <v>247</v>
      </c>
      <c r="Q25">
        <v>796.18</v>
      </c>
      <c r="R25">
        <v>-16898.5</v>
      </c>
      <c r="S25">
        <f t="shared" si="6"/>
        <v>-4.4006510416666664</v>
      </c>
      <c r="T25" s="5">
        <v>2.8689200000000001</v>
      </c>
      <c r="U25" s="9"/>
      <c r="V25">
        <f t="shared" si="9"/>
        <v>-0.60606852213541673</v>
      </c>
      <c r="W25" s="9">
        <f>AVERAGE(V22:V25)</f>
        <v>-0.60593831380208341</v>
      </c>
    </row>
    <row r="26" spans="1:23" x14ac:dyDescent="0.2">
      <c r="A26" s="9" t="s">
        <v>251</v>
      </c>
      <c r="B26">
        <v>1003.75</v>
      </c>
      <c r="C26">
        <v>-15277</v>
      </c>
      <c r="D26" s="9">
        <f t="shared" si="5"/>
        <v>-3.9783854166666668</v>
      </c>
      <c r="E26">
        <v>2.8771300000000002</v>
      </c>
      <c r="G26" s="9" t="s">
        <v>210</v>
      </c>
      <c r="P26" s="9" t="s">
        <v>247</v>
      </c>
      <c r="Q26">
        <v>996.85400000000004</v>
      </c>
      <c r="R26">
        <v>-16783.2</v>
      </c>
      <c r="S26">
        <f t="shared" si="6"/>
        <v>-4.3706250000000004</v>
      </c>
      <c r="T26">
        <v>2.8771300000000002</v>
      </c>
      <c r="V26">
        <f>(R26-1920*L$8-1920*L$15)/3840</f>
        <v>-0.60836914062499992</v>
      </c>
    </row>
    <row r="27" spans="1:23" x14ac:dyDescent="0.2">
      <c r="A27" s="9" t="s">
        <v>251</v>
      </c>
      <c r="B27">
        <v>997.803</v>
      </c>
      <c r="C27">
        <v>-15280.6</v>
      </c>
      <c r="D27" s="9">
        <f t="shared" si="5"/>
        <v>-3.9793229166666668</v>
      </c>
      <c r="E27">
        <v>2.8771300000000002</v>
      </c>
      <c r="G27" s="9" t="s">
        <v>210</v>
      </c>
      <c r="P27" s="9" t="s">
        <v>247</v>
      </c>
      <c r="Q27">
        <v>997.18700000000001</v>
      </c>
      <c r="R27">
        <v>-16783</v>
      </c>
      <c r="S27">
        <f t="shared" si="6"/>
        <v>-4.3705729166666663</v>
      </c>
      <c r="T27">
        <v>2.8771300000000002</v>
      </c>
      <c r="V27">
        <f>(R27-1920*L$8-1920*L$15)/3840</f>
        <v>-0.60831705729166641</v>
      </c>
    </row>
    <row r="28" spans="1:23" x14ac:dyDescent="0.2">
      <c r="A28" s="9" t="s">
        <v>251</v>
      </c>
      <c r="B28">
        <v>999.93299999999999</v>
      </c>
      <c r="C28">
        <v>-15279.1</v>
      </c>
      <c r="D28" s="9">
        <f t="shared" si="5"/>
        <v>-3.9789322916666667</v>
      </c>
      <c r="E28">
        <v>2.8771300000000002</v>
      </c>
      <c r="G28" s="9" t="s">
        <v>210</v>
      </c>
      <c r="P28" s="9" t="s">
        <v>247</v>
      </c>
      <c r="Q28">
        <v>994.59900000000005</v>
      </c>
      <c r="R28">
        <v>-16784.400000000001</v>
      </c>
      <c r="S28">
        <f t="shared" si="6"/>
        <v>-4.3709375000000001</v>
      </c>
      <c r="T28">
        <v>2.8771300000000002</v>
      </c>
      <c r="V28">
        <f>(R28-1920*L$8-1920*L$15)/3840</f>
        <v>-0.60868164062500019</v>
      </c>
      <c r="W28" s="9">
        <f>AVERAGE(S26:S29)</f>
        <v>-4.3707877604166665</v>
      </c>
    </row>
    <row r="29" spans="1:23" x14ac:dyDescent="0.2">
      <c r="A29" s="9" t="s">
        <v>251</v>
      </c>
      <c r="B29">
        <v>998.61800000000005</v>
      </c>
      <c r="C29">
        <v>-15279.9</v>
      </c>
      <c r="D29" s="9">
        <f t="shared" si="5"/>
        <v>-3.9791406249999999</v>
      </c>
      <c r="E29">
        <v>2.8771300000000002</v>
      </c>
      <c r="G29" s="9" t="s">
        <v>210</v>
      </c>
      <c r="H29" s="9">
        <f>AVERAGE(D26:D29)</f>
        <v>-3.9789453125000001</v>
      </c>
      <c r="P29" s="9" t="s">
        <v>247</v>
      </c>
      <c r="Q29">
        <v>994.23299999999995</v>
      </c>
      <c r="R29">
        <v>-16784.7</v>
      </c>
      <c r="S29">
        <f t="shared" si="6"/>
        <v>-4.3710156250000001</v>
      </c>
      <c r="T29">
        <v>2.8771300000000002</v>
      </c>
      <c r="V29">
        <f>(R29-1920*L$8-1920*L$15)/3840</f>
        <v>-0.608759765625</v>
      </c>
      <c r="W29" s="9">
        <f>AVERAGE(V26:V29)</f>
        <v>-0.60853190104166666</v>
      </c>
    </row>
    <row r="31" spans="1:23" x14ac:dyDescent="0.2">
      <c r="P31" t="s">
        <v>265</v>
      </c>
      <c r="Q31" t="s">
        <v>1</v>
      </c>
      <c r="R31" t="s">
        <v>9</v>
      </c>
    </row>
    <row r="32" spans="1:23" x14ac:dyDescent="0.2">
      <c r="A32" t="s">
        <v>266</v>
      </c>
      <c r="B32">
        <v>-0.33228618269499977</v>
      </c>
      <c r="C32">
        <v>-4.07352920724</v>
      </c>
      <c r="P32">
        <v>297.93200000000002</v>
      </c>
      <c r="Q32">
        <v>-1673.05</v>
      </c>
      <c r="R32">
        <f>(Q32-128*$D$5-128*$L$5-128*$L$12)/384</f>
        <v>-0.41927319010416647</v>
      </c>
      <c r="S32">
        <f>(Q32-128*$D$5-256*$S$5)/384</f>
        <v>-1.5499374999999796E-2</v>
      </c>
    </row>
    <row r="33" spans="1:25" x14ac:dyDescent="0.2">
      <c r="A33" t="s">
        <v>267</v>
      </c>
      <c r="B33">
        <v>8.1254074545000096E-2</v>
      </c>
      <c r="C33">
        <v>-4.2049889499999997</v>
      </c>
      <c r="P33">
        <v>297.96499999999997</v>
      </c>
      <c r="Q33">
        <v>-6257.4</v>
      </c>
      <c r="R33">
        <f>(Q33-486*$D$5-486*$L$5-486*$L$12)/1458</f>
        <v>-0.35414169576260279</v>
      </c>
      <c r="S33">
        <f>(Q33-486*$D$5-(486*2)*$S$5)/1458</f>
        <v>4.9632119341564293E-2</v>
      </c>
    </row>
    <row r="34" spans="1:25" x14ac:dyDescent="0.2">
      <c r="Q34">
        <f>Q33/1458</f>
        <v>-4.291769547325103</v>
      </c>
    </row>
    <row r="36" spans="1:25" x14ac:dyDescent="0.2">
      <c r="Q36">
        <v>-6303.4835652700003</v>
      </c>
      <c r="S36">
        <f>(Q36-486*$D$3-(486*2)*$S$3)/1458</f>
        <v>5.801560860195841E-2</v>
      </c>
      <c r="U36">
        <f>1458*0.05 + 486*D3+972*S3</f>
        <v>-6315.170322611656</v>
      </c>
    </row>
    <row r="38" spans="1:25" x14ac:dyDescent="0.2">
      <c r="A38" s="9">
        <v>100</v>
      </c>
      <c r="B38" s="9"/>
      <c r="C38" s="9"/>
      <c r="D38" s="9"/>
      <c r="E38" s="9"/>
      <c r="F38" s="9"/>
      <c r="G38" s="9">
        <f>G39-128*-0.33-128*0.08</f>
        <v>10.300000000005641</v>
      </c>
      <c r="H38" s="9"/>
      <c r="I38" s="9"/>
      <c r="J38" s="9"/>
      <c r="K38" s="9"/>
      <c r="L38" s="9"/>
      <c r="M38" s="9"/>
      <c r="N38" s="9"/>
    </row>
    <row r="39" spans="1:25" x14ac:dyDescent="0.2">
      <c r="A39" s="10" t="s">
        <v>32</v>
      </c>
      <c r="B39">
        <v>99.886300000000006</v>
      </c>
      <c r="C39">
        <v>-33071.699999999997</v>
      </c>
      <c r="D39">
        <f>C39/7680</f>
        <v>-4.3062109374999995</v>
      </c>
      <c r="E39">
        <f>C39-3840*$H$13-1920*$L$4-1920*$L$11</f>
        <v>-2347.5781249999955</v>
      </c>
      <c r="F39">
        <f>E39/7680</f>
        <v>-0.30567423502604107</v>
      </c>
      <c r="G39">
        <f>(E39-$W$13*3840)</f>
        <v>-21.699999999994361</v>
      </c>
      <c r="H39">
        <f>C39-3840*$H$13-$W$12*3840</f>
        <v>-21.699999999993452</v>
      </c>
      <c r="I39">
        <f>2*(22.763*22.763)</f>
        <v>1036.308338</v>
      </c>
      <c r="J39">
        <f>H39/I39</f>
        <v>-2.0939713793939822E-2</v>
      </c>
      <c r="K39">
        <f t="shared" ref="K39:K44" si="10">G39/I39</f>
        <v>-2.09397137939407E-2</v>
      </c>
      <c r="L39">
        <f t="shared" ref="L39:L44" si="11">K39*16.02</f>
        <v>-0.33545421497893002</v>
      </c>
      <c r="M39" t="s">
        <v>210</v>
      </c>
    </row>
    <row r="40" spans="1:25" x14ac:dyDescent="0.2">
      <c r="A40" s="10" t="s">
        <v>87</v>
      </c>
      <c r="B40">
        <v>99.874600000000001</v>
      </c>
      <c r="C40">
        <v>-24799.7</v>
      </c>
      <c r="D40">
        <f>C40/5760</f>
        <v>-4.3055034722222221</v>
      </c>
      <c r="E40">
        <f>C40-2880*$H$13-1440*$L$4-1440*$L$11</f>
        <v>-1756.6085937500002</v>
      </c>
      <c r="F40">
        <f>E40/5760</f>
        <v>-0.30496676974826392</v>
      </c>
      <c r="G40">
        <f>(E40-$W$13*2880)</f>
        <v>-12.199999999999363</v>
      </c>
      <c r="H40">
        <f>(E40-$W$13*2880)/5760</f>
        <v>-2.1180555555554452E-3</v>
      </c>
      <c r="I40">
        <f>2*(17.0722*17.0722)</f>
        <v>582.92002567999987</v>
      </c>
      <c r="J40">
        <f t="shared" ref="J40:J44" si="12">H40/I40</f>
        <v>-3.6335268342936881E-6</v>
      </c>
      <c r="K40">
        <f>G40/I40</f>
        <v>-2.0929114565531641E-2</v>
      </c>
      <c r="L40">
        <f t="shared" si="11"/>
        <v>-0.3352844153398169</v>
      </c>
      <c r="M40" t="s">
        <v>219</v>
      </c>
      <c r="N40">
        <f>AVERAGE(L39:L41)</f>
        <v>-0.335695853729232</v>
      </c>
    </row>
    <row r="41" spans="1:25" x14ac:dyDescent="0.2">
      <c r="A41" s="10" t="s">
        <v>89</v>
      </c>
      <c r="B41">
        <v>99.763599999999997</v>
      </c>
      <c r="C41">
        <v>-33755.199999999997</v>
      </c>
      <c r="D41">
        <f>C41/7840</f>
        <v>-4.3055102040816324</v>
      </c>
      <c r="E41">
        <f>C41-3920*$H$13-1960*$L$4-1960*$L$11</f>
        <v>-2390.9922526041619</v>
      </c>
      <c r="F41">
        <f>E41/7840</f>
        <v>-0.30497350160767372</v>
      </c>
      <c r="G41">
        <f>(E41-$W$13*3920)</f>
        <v>-16.658333333327391</v>
      </c>
      <c r="H41">
        <f>(E41-$W$13*3920)/7840</f>
        <v>-2.1247874149652284E-3</v>
      </c>
      <c r="I41">
        <f>2*(19.9176*19.9176)</f>
        <v>793.42157952000002</v>
      </c>
      <c r="J41">
        <f t="shared" si="12"/>
        <v>-2.6780055771241702E-6</v>
      </c>
      <c r="K41">
        <f>G41/I41</f>
        <v>-2.0995563724653495E-2</v>
      </c>
      <c r="L41">
        <f t="shared" si="11"/>
        <v>-0.33634893086894896</v>
      </c>
      <c r="M41" t="s">
        <v>231</v>
      </c>
      <c r="N41">
        <f>STDEV(L39:L41)</f>
        <v>5.7191808170090172E-4</v>
      </c>
      <c r="W41">
        <v>100</v>
      </c>
      <c r="X41">
        <v>110</v>
      </c>
      <c r="Y41">
        <v>111</v>
      </c>
    </row>
    <row r="42" spans="1:25" x14ac:dyDescent="0.2">
      <c r="A42" s="10" t="s">
        <v>32</v>
      </c>
      <c r="B42" t="s">
        <v>268</v>
      </c>
      <c r="C42">
        <v>-33035.800000000003</v>
      </c>
      <c r="D42">
        <f>C42/7680</f>
        <v>-4.3015364583333335</v>
      </c>
      <c r="E42">
        <f>C42-3840*$H$13-1920*$L$4-1920*$L$11</f>
        <v>-2311.6781250000013</v>
      </c>
      <c r="F42">
        <f>E42/7680</f>
        <v>-0.30099975585937516</v>
      </c>
      <c r="G42">
        <f>(E42-$W$13*3840)</f>
        <v>14.199999999999818</v>
      </c>
      <c r="H42">
        <f>C42-3840*$H$13-$W$12*3840</f>
        <v>14.200000000000728</v>
      </c>
      <c r="I42">
        <f>2*(22.763*22.763)</f>
        <v>1036.308338</v>
      </c>
      <c r="J42">
        <f t="shared" si="12"/>
        <v>1.370248552414979E-2</v>
      </c>
      <c r="K42">
        <f>G42/I42</f>
        <v>1.3702485524148912E-2</v>
      </c>
      <c r="L42">
        <f t="shared" si="11"/>
        <v>0.21951381809686557</v>
      </c>
      <c r="M42" t="s">
        <v>210</v>
      </c>
      <c r="V42">
        <v>100</v>
      </c>
      <c r="W42">
        <v>-0.335695853729232</v>
      </c>
      <c r="X42">
        <v>-0.51030472505327451</v>
      </c>
      <c r="Y42">
        <v>-0.38514627552731068</v>
      </c>
    </row>
    <row r="43" spans="1:25" x14ac:dyDescent="0.2">
      <c r="A43" s="10" t="s">
        <v>87</v>
      </c>
      <c r="B43" t="s">
        <v>268</v>
      </c>
      <c r="C43">
        <v>-24779.599999999999</v>
      </c>
      <c r="D43">
        <f>C43/5760</f>
        <v>-4.3020138888888884</v>
      </c>
      <c r="E43">
        <f>C43-2880*$H$13-1440*$L$4-1440*$L$11</f>
        <v>-1736.508593749998</v>
      </c>
      <c r="F43">
        <f>E43/5760</f>
        <v>-0.30147718641493021</v>
      </c>
      <c r="G43">
        <f>(E43-$W$13*2880)</f>
        <v>7.9000000000028194</v>
      </c>
      <c r="H43">
        <f>(E43-$W$13*2880)/5760</f>
        <v>1.3715277777782673E-3</v>
      </c>
      <c r="I43">
        <f>2*(17.0722*17.0722)</f>
        <v>582.92002567999987</v>
      </c>
      <c r="J43">
        <f t="shared" si="12"/>
        <v>2.3528575402403177E-6</v>
      </c>
      <c r="K43">
        <f>G43/I43</f>
        <v>1.3552459431784229E-2</v>
      </c>
      <c r="L43">
        <f t="shared" si="11"/>
        <v>0.21711040009718335</v>
      </c>
      <c r="M43" t="s">
        <v>219</v>
      </c>
      <c r="N43" s="11">
        <f>AVERAGE(L42:L44)</f>
        <v>0.21783651560115702</v>
      </c>
    </row>
    <row r="44" spans="1:25" x14ac:dyDescent="0.2">
      <c r="A44" s="10" t="s">
        <v>89</v>
      </c>
      <c r="B44" t="s">
        <v>268</v>
      </c>
      <c r="C44">
        <v>-33727.800000000003</v>
      </c>
      <c r="D44">
        <f>C44/7840</f>
        <v>-4.3020153061224491</v>
      </c>
      <c r="E44">
        <f>C44-3920*$H$13-1960*$L$4-1960*$L$11</f>
        <v>-2363.5922526041677</v>
      </c>
      <c r="F44">
        <f>E44/7840</f>
        <v>-0.30147860364849077</v>
      </c>
      <c r="G44">
        <f>(E44-$W$13*3920)</f>
        <v>10.741666666666788</v>
      </c>
      <c r="H44">
        <f>(E44-$W$13*3920)/7840</f>
        <v>1.3701105442177025E-3</v>
      </c>
      <c r="I44">
        <f>2*(19.9176*19.9176)</f>
        <v>793.42157952000002</v>
      </c>
      <c r="J44">
        <f t="shared" si="12"/>
        <v>1.7268380134638948E-6</v>
      </c>
      <c r="K44">
        <f t="shared" si="10"/>
        <v>1.3538410025556936E-2</v>
      </c>
      <c r="L44">
        <f t="shared" si="11"/>
        <v>0.21688532860942211</v>
      </c>
      <c r="M44" t="s">
        <v>231</v>
      </c>
      <c r="N44" s="11">
        <f>STDEV(L42:L44)</f>
        <v>1.4569392712921784E-3</v>
      </c>
    </row>
    <row r="46" spans="1:25" x14ac:dyDescent="0.2">
      <c r="A46">
        <v>300</v>
      </c>
    </row>
    <row r="47" spans="1:25" x14ac:dyDescent="0.2">
      <c r="A47" s="10" t="s">
        <v>32</v>
      </c>
      <c r="B47">
        <v>299.14699999999999</v>
      </c>
      <c r="C47">
        <v>-32864.199999999997</v>
      </c>
      <c r="D47">
        <f>C47/7680</f>
        <v>-4.2791927083333325</v>
      </c>
      <c r="E47">
        <f>C47-3840*$H$17-1920*$L$5-1920*$L$12</f>
        <v>-2346.4843749999955</v>
      </c>
      <c r="F47">
        <f>E47/7680</f>
        <v>-0.30553181966145776</v>
      </c>
      <c r="G47">
        <f>(E47-$W$17*3840)</f>
        <v>-21.799999999996544</v>
      </c>
      <c r="H47">
        <f>(E47-$W$17*3840)/7680</f>
        <v>-2.8385416666662166E-3</v>
      </c>
      <c r="I47">
        <f>2*(22.8086*22.8086)</f>
        <v>1040.4644679199998</v>
      </c>
      <c r="J47">
        <f t="shared" ref="J47:J52" si="13">H47/I47</f>
        <v>-2.7281485857376426E-6</v>
      </c>
      <c r="K47">
        <f t="shared" ref="K47:K52" si="14">G47/I47</f>
        <v>-2.0952181138465097E-2</v>
      </c>
      <c r="L47">
        <f t="shared" ref="L47:L52" si="15">K47*16.02</f>
        <v>-0.33565394183821085</v>
      </c>
      <c r="M47" t="s">
        <v>210</v>
      </c>
      <c r="V47">
        <v>300</v>
      </c>
      <c r="W47">
        <v>-0.32840499463550699</v>
      </c>
      <c r="X47">
        <v>-0.49180659393280091</v>
      </c>
      <c r="Y47">
        <v>-0.38396765703212643</v>
      </c>
    </row>
    <row r="48" spans="1:25" x14ac:dyDescent="0.2">
      <c r="A48" s="10" t="s">
        <v>102</v>
      </c>
      <c r="B48">
        <v>298.63499999999999</v>
      </c>
      <c r="C48">
        <v>-32864.699999999997</v>
      </c>
      <c r="D48">
        <f>C48/7680</f>
        <v>-4.2792578125</v>
      </c>
      <c r="E48">
        <f>C48-3840*$H$17-1920*$L$5-1920*$L$12</f>
        <v>-2346.9843749999955</v>
      </c>
      <c r="F48">
        <f>E48/7680</f>
        <v>-0.30559692382812442</v>
      </c>
      <c r="G48">
        <f>(E48-$W$17*3840)</f>
        <v>-22.299999999996544</v>
      </c>
      <c r="H48">
        <f>(E48-$W$17*3840)/7680</f>
        <v>-2.9036458333328834E-3</v>
      </c>
      <c r="I48">
        <f>2*(22.8086*22.8086)</f>
        <v>1040.4644679199998</v>
      </c>
      <c r="J48">
        <f t="shared" si="13"/>
        <v>-2.790720801006865E-6</v>
      </c>
      <c r="K48">
        <f t="shared" si="14"/>
        <v>-2.1432735751732723E-2</v>
      </c>
      <c r="L48">
        <f t="shared" si="15"/>
        <v>-0.34335242674275823</v>
      </c>
      <c r="M48" t="s">
        <v>210</v>
      </c>
      <c r="V48">
        <v>500</v>
      </c>
      <c r="W48">
        <v>-0.36088694030699092</v>
      </c>
      <c r="X48">
        <v>-0.49643302411909646</v>
      </c>
      <c r="Y48">
        <v>-0.38559650533783957</v>
      </c>
    </row>
    <row r="49" spans="1:14" x14ac:dyDescent="0.2">
      <c r="A49" s="10" t="s">
        <v>87</v>
      </c>
      <c r="B49">
        <v>299.54300000000001</v>
      </c>
      <c r="C49">
        <v>-24643.599999999999</v>
      </c>
      <c r="D49">
        <f>C49/5760</f>
        <v>-4.2784027777777771</v>
      </c>
      <c r="E49">
        <f>C49-2880*$H$17-1440*$L$5-1440*$L$12</f>
        <v>-1755.3132812499962</v>
      </c>
      <c r="F49">
        <f>E49/5760</f>
        <v>-0.30474188910590211</v>
      </c>
      <c r="G49">
        <f>(E49-$W$17*2880)</f>
        <v>-11.799999999996999</v>
      </c>
      <c r="H49">
        <f>(E49-$W$17*2880)/5760</f>
        <v>-2.04861111111059E-3</v>
      </c>
      <c r="I49">
        <f>2*(17.1064*17.1064)</f>
        <v>585.25784192000003</v>
      </c>
      <c r="J49">
        <f t="shared" si="13"/>
        <v>-3.5003565341216196E-6</v>
      </c>
      <c r="K49">
        <f t="shared" si="14"/>
        <v>-2.0162053636540528E-2</v>
      </c>
      <c r="L49">
        <f t="shared" si="15"/>
        <v>-0.32299609925737927</v>
      </c>
      <c r="M49" t="s">
        <v>219</v>
      </c>
    </row>
    <row r="50" spans="1:14" x14ac:dyDescent="0.2">
      <c r="A50" s="10" t="s">
        <v>248</v>
      </c>
      <c r="B50">
        <v>299.80500000000001</v>
      </c>
      <c r="C50">
        <v>-24643.4</v>
      </c>
      <c r="D50">
        <f>C50/5760</f>
        <v>-4.2783680555555561</v>
      </c>
      <c r="E50">
        <f>C50-2880*$H$17-1440*$L$5-1440*$L$12</f>
        <v>-1755.1132812499991</v>
      </c>
      <c r="F50">
        <f>E50/5760</f>
        <v>-0.30470716688368038</v>
      </c>
      <c r="G50">
        <f>(E50-$W$17*2880)</f>
        <v>-11.599999999999909</v>
      </c>
      <c r="H50">
        <f>(E50-$W$17*2880)/5760</f>
        <v>-2.0138888888888732E-3</v>
      </c>
      <c r="I50">
        <f>2*(17.1064*17.1064)</f>
        <v>585.25784192000003</v>
      </c>
      <c r="J50">
        <f t="shared" si="13"/>
        <v>-3.4410284572729491E-6</v>
      </c>
      <c r="K50">
        <f t="shared" si="14"/>
        <v>-1.9820323913892185E-2</v>
      </c>
      <c r="L50">
        <f t="shared" si="15"/>
        <v>-0.31752158910055278</v>
      </c>
      <c r="M50" t="s">
        <v>219</v>
      </c>
    </row>
    <row r="51" spans="1:14" x14ac:dyDescent="0.2">
      <c r="A51" s="10" t="s">
        <v>89</v>
      </c>
      <c r="B51">
        <v>299.65199999999999</v>
      </c>
      <c r="C51">
        <v>-33542.6</v>
      </c>
      <c r="D51">
        <f>C51/7840</f>
        <v>-4.2783928571428573</v>
      </c>
      <c r="E51">
        <f>C51-3920*$H$17-1960*$L$5-1960*$L$12</f>
        <v>-2389.0986328124964</v>
      </c>
      <c r="F51">
        <f>E51/7840</f>
        <v>-0.30473196847098166</v>
      </c>
      <c r="G51">
        <f>(E51-$W$17*3920)</f>
        <v>-15.983333333330847</v>
      </c>
      <c r="H51">
        <f>(E51-$W$17*3920)/7840</f>
        <v>-2.038690476190159E-3</v>
      </c>
      <c r="I51">
        <f>2*(19.9575*19.9575)</f>
        <v>796.60361249999994</v>
      </c>
      <c r="J51">
        <f t="shared" si="13"/>
        <v>-2.5592282588225886E-6</v>
      </c>
      <c r="K51">
        <f t="shared" si="14"/>
        <v>-2.0064349549169098E-2</v>
      </c>
      <c r="L51">
        <f t="shared" si="15"/>
        <v>-0.32143087977768892</v>
      </c>
      <c r="M51" t="s">
        <v>231</v>
      </c>
    </row>
    <row r="52" spans="1:14" x14ac:dyDescent="0.2">
      <c r="A52" s="10" t="s">
        <v>96</v>
      </c>
      <c r="B52">
        <v>299.25</v>
      </c>
      <c r="C52">
        <v>-33543</v>
      </c>
      <c r="D52">
        <f>C52/7840</f>
        <v>-4.2784438775510205</v>
      </c>
      <c r="E52">
        <f>C52-3920*$H$17-1960*$L$5-1960*$L$12</f>
        <v>-2389.4986328124978</v>
      </c>
      <c r="F52">
        <f>E52/7840</f>
        <v>-0.30478298887914512</v>
      </c>
      <c r="G52">
        <f>(E52-$W$17*3920)</f>
        <v>-16.383333333332303</v>
      </c>
      <c r="H52">
        <f>(E52-$W$17*3920)/7840</f>
        <v>-2.0897108843536101E-3</v>
      </c>
      <c r="I52">
        <f>2*(19.9575*19.9575)</f>
        <v>796.60361249999994</v>
      </c>
      <c r="J52">
        <f t="shared" si="13"/>
        <v>-2.6232756813585382E-6</v>
      </c>
      <c r="K52">
        <f t="shared" si="14"/>
        <v>-2.0566481341850937E-2</v>
      </c>
      <c r="L52">
        <f t="shared" si="15"/>
        <v>-0.32947503109645199</v>
      </c>
      <c r="M52" t="s">
        <v>231</v>
      </c>
      <c r="N52">
        <f>AVERAGE(L47:L52)</f>
        <v>-0.32840499463550699</v>
      </c>
    </row>
    <row r="53" spans="1:14" x14ac:dyDescent="0.2">
      <c r="A53" s="10" t="s">
        <v>253</v>
      </c>
      <c r="B53">
        <v>299.81599999999997</v>
      </c>
      <c r="C53">
        <v>-32862.6</v>
      </c>
      <c r="D53">
        <f>C53/7680</f>
        <v>-4.2789843749999994</v>
      </c>
      <c r="E53">
        <f>D53-AVERAGE($D$47:$D$48)</f>
        <v>2.4088541666689167E-4</v>
      </c>
      <c r="F53">
        <f>C53-AVERAGE($C$47:$C$48)</f>
        <v>1.8499999999985448</v>
      </c>
      <c r="G53" t="s">
        <v>254</v>
      </c>
      <c r="H53">
        <v>299.45400000000001</v>
      </c>
      <c r="I53">
        <v>-32864.699999999997</v>
      </c>
      <c r="J53">
        <f>I53/7680</f>
        <v>-4.2792578125</v>
      </c>
      <c r="K53">
        <f>J53-AVERAGE($D$47:$D$48)</f>
        <v>-3.2552083333747817E-5</v>
      </c>
      <c r="L53">
        <f>I53-AVERAGE($C$47:$C$48)</f>
        <v>-0.25</v>
      </c>
      <c r="N53">
        <f>STDEV(L47:L52)</f>
        <v>9.730990530013554E-3</v>
      </c>
    </row>
    <row r="54" spans="1:14" x14ac:dyDescent="0.2">
      <c r="A54" s="10" t="s">
        <v>253</v>
      </c>
      <c r="B54">
        <v>299.22199999999998</v>
      </c>
      <c r="C54">
        <v>-32863.199999999997</v>
      </c>
      <c r="D54">
        <f>C54/7680</f>
        <v>-4.2790624999999993</v>
      </c>
      <c r="E54">
        <f t="shared" ref="E54:E57" si="16">D54-AVERAGE($D$47:$D$48)</f>
        <v>1.6276041666696273E-4</v>
      </c>
      <c r="F54">
        <f t="shared" ref="F54:F57" si="17">C54-AVERAGE($C$47:$C$48)</f>
        <v>1.25</v>
      </c>
      <c r="G54" t="s">
        <v>254</v>
      </c>
      <c r="H54">
        <v>299.904</v>
      </c>
      <c r="I54">
        <v>-32864.199999999997</v>
      </c>
      <c r="J54">
        <f>I54/7680</f>
        <v>-4.2791927083333325</v>
      </c>
      <c r="K54">
        <f t="shared" ref="K54:K57" si="18">J54-AVERAGE($D$47:$D$48)</f>
        <v>3.2552083333747817E-5</v>
      </c>
      <c r="L54">
        <f t="shared" ref="L54:L57" si="19">I54-AVERAGE($C$47:$C$48)</f>
        <v>0.25</v>
      </c>
    </row>
    <row r="55" spans="1:14" x14ac:dyDescent="0.2">
      <c r="A55" s="10" t="s">
        <v>253</v>
      </c>
      <c r="B55">
        <v>299.77600000000001</v>
      </c>
      <c r="C55">
        <v>-32862.699999999997</v>
      </c>
      <c r="D55">
        <f t="shared" ref="D55:D57" si="20">C55/7680</f>
        <v>-4.2789973958333327</v>
      </c>
      <c r="E55">
        <f t="shared" si="16"/>
        <v>2.2786458333357018E-4</v>
      </c>
      <c r="F55">
        <f t="shared" si="17"/>
        <v>1.75</v>
      </c>
      <c r="G55" t="s">
        <v>254</v>
      </c>
      <c r="H55">
        <v>300.24599999999998</v>
      </c>
      <c r="I55">
        <v>-32863.800000000003</v>
      </c>
      <c r="J55">
        <f t="shared" ref="J55:J57" si="21">I55/7680</f>
        <v>-4.2791406250000001</v>
      </c>
      <c r="K55">
        <f t="shared" si="18"/>
        <v>8.4635416666145602E-5</v>
      </c>
      <c r="L55">
        <f t="shared" si="19"/>
        <v>0.64999999999417923</v>
      </c>
    </row>
    <row r="56" spans="1:14" x14ac:dyDescent="0.2">
      <c r="A56" s="10" t="s">
        <v>253</v>
      </c>
      <c r="B56">
        <v>299.94299999999998</v>
      </c>
      <c r="C56">
        <v>-32862.5</v>
      </c>
      <c r="D56">
        <f t="shared" si="20"/>
        <v>-4.278971354166667</v>
      </c>
      <c r="E56">
        <f t="shared" si="16"/>
        <v>2.5390624999932498E-4</v>
      </c>
      <c r="F56">
        <f t="shared" si="17"/>
        <v>1.9499999999970896</v>
      </c>
      <c r="G56" t="s">
        <v>254</v>
      </c>
      <c r="H56">
        <v>300.07</v>
      </c>
      <c r="I56">
        <v>-32864</v>
      </c>
      <c r="J56">
        <f t="shared" si="21"/>
        <v>-4.2791666666666668</v>
      </c>
      <c r="K56">
        <f t="shared" si="18"/>
        <v>5.859374999950262E-5</v>
      </c>
      <c r="L56">
        <f t="shared" si="19"/>
        <v>0.44999999999708962</v>
      </c>
    </row>
    <row r="57" spans="1:14" x14ac:dyDescent="0.2">
      <c r="A57" s="10" t="s">
        <v>253</v>
      </c>
      <c r="B57">
        <v>299.30099999999999</v>
      </c>
      <c r="C57">
        <v>-32863.199999999997</v>
      </c>
      <c r="D57">
        <f t="shared" si="20"/>
        <v>-4.2790624999999993</v>
      </c>
      <c r="E57">
        <f t="shared" si="16"/>
        <v>1.6276041666696273E-4</v>
      </c>
      <c r="F57">
        <f t="shared" si="17"/>
        <v>1.25</v>
      </c>
      <c r="G57" t="s">
        <v>254</v>
      </c>
      <c r="H57">
        <v>298.964</v>
      </c>
      <c r="I57">
        <v>-32865.199999999997</v>
      </c>
      <c r="J57">
        <f t="shared" si="21"/>
        <v>-4.2793229166666666</v>
      </c>
      <c r="K57">
        <f t="shared" si="18"/>
        <v>-9.7656250000355271E-5</v>
      </c>
      <c r="L57">
        <f t="shared" si="19"/>
        <v>-0.75</v>
      </c>
    </row>
    <row r="58" spans="1:14" x14ac:dyDescent="0.2">
      <c r="A58" s="10" t="s">
        <v>255</v>
      </c>
      <c r="F58">
        <f>AVERAGE(F53:F57)</f>
        <v>1.6099999999991268</v>
      </c>
      <c r="G58" t="s">
        <v>256</v>
      </c>
      <c r="L58">
        <f>AVERAGE(L53:L57)</f>
        <v>6.9999999998253765E-2</v>
      </c>
    </row>
    <row r="59" spans="1:14" x14ac:dyDescent="0.2">
      <c r="F59">
        <f>STDEV(F53:F57)</f>
        <v>0.33615472627843679</v>
      </c>
      <c r="L59">
        <f>STDEV(L53:L57)</f>
        <v>0.56745043836246967</v>
      </c>
    </row>
    <row r="60" spans="1:14" x14ac:dyDescent="0.2">
      <c r="A60" t="s">
        <v>32</v>
      </c>
      <c r="B60" t="s">
        <v>268</v>
      </c>
      <c r="C60">
        <v>-32828.6</v>
      </c>
      <c r="D60">
        <f>C60/7680</f>
        <v>-4.2745572916666665</v>
      </c>
      <c r="E60">
        <f>C60-3840*$H$17-1920*$L$5-1920*$L$12</f>
        <v>-2310.8843749999969</v>
      </c>
      <c r="F60">
        <f>E60/7680</f>
        <v>-0.30089640299479126</v>
      </c>
      <c r="G60">
        <f>(E60-$W$17*3840)</f>
        <v>13.800000000002001</v>
      </c>
      <c r="H60">
        <f>(E60-$W$17*3840)/7680</f>
        <v>1.7968750000002605E-3</v>
      </c>
      <c r="I60">
        <f>2*(22.8086*22.8086)</f>
        <v>1040.4644679199998</v>
      </c>
      <c r="J60">
        <f t="shared" ref="J60:J62" si="22">H60/I60</f>
        <v>1.7269931414307751E-6</v>
      </c>
      <c r="K60">
        <f t="shared" ref="K60:K62" si="23">G60/I60</f>
        <v>1.3263307326188354E-2</v>
      </c>
      <c r="L60">
        <f t="shared" ref="L60:L62" si="24">K60*16.02</f>
        <v>0.21247818336553742</v>
      </c>
      <c r="M60" t="s">
        <v>210</v>
      </c>
    </row>
    <row r="61" spans="1:14" x14ac:dyDescent="0.2">
      <c r="A61" t="s">
        <v>87</v>
      </c>
      <c r="B61" t="s">
        <v>268</v>
      </c>
      <c r="C61">
        <v>-24623.5</v>
      </c>
      <c r="D61">
        <f>C61/5760</f>
        <v>-4.2749131944444443</v>
      </c>
      <c r="E61">
        <f>C61-2880*$H$17-1440*$L$5-1440*$L$12</f>
        <v>-1735.2132812499976</v>
      </c>
      <c r="F61">
        <f>E61/5760</f>
        <v>-0.30125230577256901</v>
      </c>
      <c r="G61">
        <f>(E61-$W$17*2880)</f>
        <v>8.3000000000015461</v>
      </c>
      <c r="H61">
        <f>(E61-$W$17*2880)/5760</f>
        <v>1.4409722222224906E-3</v>
      </c>
      <c r="I61">
        <f>2*(17.1064*17.1064)</f>
        <v>585.25784192000003</v>
      </c>
      <c r="J61">
        <f t="shared" si="22"/>
        <v>2.4621151892561225E-6</v>
      </c>
      <c r="K61">
        <f t="shared" si="23"/>
        <v>1.4181783490115264E-2</v>
      </c>
      <c r="L61">
        <f t="shared" si="24"/>
        <v>0.22719217151164653</v>
      </c>
      <c r="M61" t="s">
        <v>219</v>
      </c>
      <c r="N61" s="11">
        <f>AVERAGE(L60:L62)</f>
        <v>0.22375829275414841</v>
      </c>
    </row>
    <row r="62" spans="1:14" x14ac:dyDescent="0.2">
      <c r="A62" t="s">
        <v>89</v>
      </c>
      <c r="B62" t="s">
        <v>268</v>
      </c>
      <c r="C62">
        <v>-33515.1</v>
      </c>
      <c r="D62">
        <f>C62/7840</f>
        <v>-4.2748852040816328</v>
      </c>
      <c r="E62">
        <f>C62-3920*$H$17-1960*$L$5-1960*$L$12</f>
        <v>-2361.5986328124964</v>
      </c>
      <c r="F62">
        <f>E62/7840</f>
        <v>-0.30122431540975719</v>
      </c>
      <c r="G62">
        <f>(E62-$W$17*3920)</f>
        <v>11.516666666669153</v>
      </c>
      <c r="H62">
        <f>(E62-$W$17*3920)/7840</f>
        <v>1.4689625850343307E-3</v>
      </c>
      <c r="I62">
        <f>2*(19.9575*19.9575)</f>
        <v>796.60361249999994</v>
      </c>
      <c r="J62">
        <f t="shared" si="22"/>
        <v>1.8440320405078892E-6</v>
      </c>
      <c r="K62">
        <f>G62/I62</f>
        <v>1.4457211197581851E-2</v>
      </c>
      <c r="L62">
        <f>K62*16.02</f>
        <v>0.23160452338526125</v>
      </c>
      <c r="M62" t="s">
        <v>231</v>
      </c>
      <c r="N62" s="11">
        <f>STDEV(L60:L62)</f>
        <v>1.0014882082601871E-2</v>
      </c>
    </row>
    <row r="65" spans="1:14" x14ac:dyDescent="0.2">
      <c r="A65">
        <v>500</v>
      </c>
    </row>
    <row r="66" spans="1:14" x14ac:dyDescent="0.2">
      <c r="A66" s="10" t="s">
        <v>32</v>
      </c>
      <c r="B66">
        <v>498.65</v>
      </c>
      <c r="C66">
        <v>-32650.2</v>
      </c>
      <c r="D66">
        <f>C66/7680</f>
        <v>-4.2513281249999997</v>
      </c>
      <c r="E66">
        <f>C66-3840*$H$21-1920*$L$6-1920*$L$13</f>
        <v>-2346.3406250000025</v>
      </c>
      <c r="F66">
        <f>E66/7680</f>
        <v>-0.305513102213542</v>
      </c>
      <c r="G66">
        <f>(E66-$W$21*3840)</f>
        <v>-23.500000000001819</v>
      </c>
      <c r="H66">
        <f>(E66-$W$21*3840)/7680</f>
        <v>-3.0598958333335701E-3</v>
      </c>
      <c r="I66">
        <f>2*(22.8622*22.8622)</f>
        <v>1045.3603776800001</v>
      </c>
      <c r="J66">
        <f t="shared" ref="J66:J71" si="25">H66/I66</f>
        <v>-2.9271205401188915E-6</v>
      </c>
      <c r="K66">
        <f t="shared" ref="K66:K71" si="26">G66/I66</f>
        <v>-2.2480285748113088E-2</v>
      </c>
      <c r="L66">
        <f t="shared" ref="L66:L71" si="27">K66*16.02</f>
        <v>-0.36013417768477168</v>
      </c>
      <c r="M66" t="s">
        <v>210</v>
      </c>
    </row>
    <row r="67" spans="1:14" x14ac:dyDescent="0.2">
      <c r="A67" s="10" t="s">
        <v>102</v>
      </c>
      <c r="B67">
        <v>498.91300000000001</v>
      </c>
      <c r="C67">
        <v>-32650</v>
      </c>
      <c r="D67">
        <f>C67/7680</f>
        <v>-4.251302083333333</v>
      </c>
      <c r="E67">
        <f>C67-3840*$H$21-1920*$L$6-1920*$L$13</f>
        <v>-2346.1406250000018</v>
      </c>
      <c r="F67">
        <f>E67/7680</f>
        <v>-0.30548706054687524</v>
      </c>
      <c r="G67">
        <f>(E67-$W$21*3840)</f>
        <v>-23.300000000001091</v>
      </c>
      <c r="H67">
        <f>(E67-$W$21*3840)/7680</f>
        <v>-3.0338541666668087E-3</v>
      </c>
      <c r="I67">
        <f>2*(22.8622*22.8622)</f>
        <v>1045.3603776800001</v>
      </c>
      <c r="J67">
        <f t="shared" si="25"/>
        <v>-2.9022088759475783E-6</v>
      </c>
      <c r="K67">
        <f t="shared" si="26"/>
        <v>-2.2288964167277402E-2</v>
      </c>
      <c r="L67">
        <f t="shared" si="27"/>
        <v>-0.35706920595978398</v>
      </c>
      <c r="M67" t="s">
        <v>210</v>
      </c>
    </row>
    <row r="68" spans="1:14" x14ac:dyDescent="0.2">
      <c r="A68" s="10" t="s">
        <v>87</v>
      </c>
      <c r="B68">
        <v>499.125</v>
      </c>
      <c r="C68">
        <v>-24483</v>
      </c>
      <c r="D68">
        <f>C68/5760</f>
        <v>-4.2505208333333337</v>
      </c>
      <c r="E68">
        <f>C68-2880*$H$21-1440*$L$6-1440*$L$13</f>
        <v>-1755.1054687500018</v>
      </c>
      <c r="F68">
        <f>E68/5760</f>
        <v>-0.30470581054687529</v>
      </c>
      <c r="G68">
        <f>(E68-$W$21*2880)</f>
        <v>-12.975000000001046</v>
      </c>
      <c r="H68">
        <f>(E68-$W$21*2880)/5760</f>
        <v>-2.2526041666668484E-3</v>
      </c>
      <c r="I68">
        <f>2*(17.1466*17.1466)</f>
        <v>588.0117831199999</v>
      </c>
      <c r="J68">
        <f t="shared" si="25"/>
        <v>-3.8308826988372486E-6</v>
      </c>
      <c r="K68">
        <f t="shared" si="26"/>
        <v>-2.2065884345302555E-2</v>
      </c>
      <c r="L68">
        <f t="shared" si="27"/>
        <v>-0.35349546721174691</v>
      </c>
      <c r="M68" t="s">
        <v>219</v>
      </c>
    </row>
    <row r="69" spans="1:14" x14ac:dyDescent="0.2">
      <c r="A69" s="10" t="s">
        <v>248</v>
      </c>
      <c r="B69">
        <v>498.95499999999998</v>
      </c>
      <c r="C69">
        <v>-24483.200000000001</v>
      </c>
      <c r="D69">
        <f>C69/5760</f>
        <v>-4.2505555555555556</v>
      </c>
      <c r="E69">
        <f>C69-2880*$H$21-1440*$L$6-1440*$L$13</f>
        <v>-1755.3054687500025</v>
      </c>
      <c r="F69">
        <f>E69/5760</f>
        <v>-0.30474053276909768</v>
      </c>
      <c r="G69">
        <f>(E69-$W$21*2880)</f>
        <v>-13.175000000001774</v>
      </c>
      <c r="H69">
        <f>(E69-$W$21*2880)/5760</f>
        <v>-2.287326388889197E-3</v>
      </c>
      <c r="I69">
        <f>2*(17.1466*17.1466)</f>
        <v>588.0117831199999</v>
      </c>
      <c r="J69">
        <f t="shared" si="25"/>
        <v>-3.8899329138484383E-6</v>
      </c>
      <c r="K69">
        <f t="shared" si="26"/>
        <v>-2.2406013583767002E-2</v>
      </c>
      <c r="L69">
        <f t="shared" si="27"/>
        <v>-0.35894433761194738</v>
      </c>
      <c r="M69" t="s">
        <v>219</v>
      </c>
    </row>
    <row r="70" spans="1:14" x14ac:dyDescent="0.2">
      <c r="A70" s="10" t="s">
        <v>89</v>
      </c>
      <c r="B70">
        <v>498.40600000000001</v>
      </c>
      <c r="C70">
        <v>-33324.9</v>
      </c>
      <c r="D70">
        <f>C70/7840</f>
        <v>-4.2506250000000003</v>
      </c>
      <c r="E70">
        <f>C70-3920*$H$21-1960*$L$6-1960*$L$13</f>
        <v>-2389.7102213541702</v>
      </c>
      <c r="F70">
        <f>E70/7840</f>
        <v>-0.30480997721354214</v>
      </c>
      <c r="G70">
        <f>(E70-$W$21*3920)</f>
        <v>-18.477083333335941</v>
      </c>
      <c r="H70">
        <f>(E70-$W$21*3920)/7840</f>
        <v>-2.3567708333336657E-3</v>
      </c>
      <c r="I70">
        <f>2*(20.0044*20.0044)</f>
        <v>800.35203872</v>
      </c>
      <c r="J70">
        <f t="shared" si="25"/>
        <v>-2.944667745337215E-6</v>
      </c>
      <c r="K70">
        <f t="shared" si="26"/>
        <v>-2.3086195123443766E-2</v>
      </c>
      <c r="L70">
        <f t="shared" si="27"/>
        <v>-0.3698408458775691</v>
      </c>
      <c r="M70" t="s">
        <v>231</v>
      </c>
    </row>
    <row r="71" spans="1:14" x14ac:dyDescent="0.2">
      <c r="A71" s="10" t="s">
        <v>96</v>
      </c>
      <c r="B71">
        <v>498.62200000000001</v>
      </c>
      <c r="C71">
        <v>-33324.699999999997</v>
      </c>
      <c r="D71">
        <f>C71/7840</f>
        <v>-4.2505994897959178</v>
      </c>
      <c r="E71">
        <f>C71-3920*$H$21-1960*$L$6-1960*$L$13</f>
        <v>-2389.5102213541659</v>
      </c>
      <c r="F71">
        <f>E71/7840</f>
        <v>-0.30478446700945994</v>
      </c>
      <c r="G71">
        <f>(E71-$W$21*3920)</f>
        <v>-18.277083333331575</v>
      </c>
      <c r="H71">
        <f>(E71-$W$21*3920)/7840</f>
        <v>-2.3312606292514764E-3</v>
      </c>
      <c r="I71">
        <f>2*(20.0044*20.0044)</f>
        <v>800.35203872</v>
      </c>
      <c r="J71">
        <f t="shared" si="25"/>
        <v>-2.912794016217979E-6</v>
      </c>
      <c r="K71">
        <f t="shared" si="26"/>
        <v>-2.2836305087148956E-2</v>
      </c>
      <c r="L71">
        <f t="shared" si="27"/>
        <v>-0.36583760749612626</v>
      </c>
      <c r="M71" t="s">
        <v>231</v>
      </c>
      <c r="N71">
        <f>AVERAGE(L66:L71)</f>
        <v>-0.36088694030699092</v>
      </c>
    </row>
    <row r="72" spans="1:14" x14ac:dyDescent="0.2">
      <c r="A72" s="10" t="s">
        <v>253</v>
      </c>
      <c r="B72">
        <v>498.27499999999998</v>
      </c>
      <c r="C72">
        <v>-32649.8</v>
      </c>
      <c r="D72">
        <f>C72/7680</f>
        <v>-4.2512760416666664</v>
      </c>
      <c r="E72">
        <f>D72-AVERAGE($D$66:$D$67)</f>
        <v>3.9062499999964473E-5</v>
      </c>
      <c r="F72">
        <f>C72-AVERAGE($C$66:$C$67)</f>
        <v>0.2999999999992724</v>
      </c>
      <c r="G72" t="s">
        <v>254</v>
      </c>
      <c r="H72">
        <v>498.21</v>
      </c>
      <c r="I72">
        <v>-32651.5</v>
      </c>
      <c r="J72">
        <f>I72/7680</f>
        <v>-4.2514973958333337</v>
      </c>
      <c r="K72">
        <f t="shared" ref="K72:K75" si="28">J72-AVERAGE($D$66:$D$67)</f>
        <v>-1.8229166666738905E-4</v>
      </c>
      <c r="L72">
        <f>I72-AVERAGE(C66:C67)</f>
        <v>-1.4000000000014552</v>
      </c>
      <c r="N72">
        <f>STDEV(L66:L71)</f>
        <v>5.9704414819035413E-3</v>
      </c>
    </row>
    <row r="73" spans="1:14" x14ac:dyDescent="0.2">
      <c r="A73" s="10" t="s">
        <v>253</v>
      </c>
      <c r="B73">
        <v>499.351</v>
      </c>
      <c r="C73">
        <v>-32648.7</v>
      </c>
      <c r="D73">
        <f>C73/7680</f>
        <v>-4.2511328124999999</v>
      </c>
      <c r="E73">
        <f t="shared" ref="E73:E75" si="29">D73-AVERAGE($D$66:$D$67)</f>
        <v>1.8229166666650087E-4</v>
      </c>
      <c r="F73">
        <f>C73-AVERAGE($C$66:$C$67)</f>
        <v>1.3999999999978172</v>
      </c>
      <c r="G73" t="s">
        <v>254</v>
      </c>
      <c r="H73">
        <v>498.27499999999998</v>
      </c>
      <c r="I73">
        <v>-32651.5</v>
      </c>
      <c r="J73">
        <f>I73/7680</f>
        <v>-4.2514973958333337</v>
      </c>
      <c r="K73">
        <f t="shared" si="28"/>
        <v>-1.8229166666738905E-4</v>
      </c>
      <c r="L73">
        <f>I73-AVERAGE(C66:C67)</f>
        <v>-1.4000000000014552</v>
      </c>
    </row>
    <row r="74" spans="1:14" x14ac:dyDescent="0.2">
      <c r="A74" s="10" t="s">
        <v>253</v>
      </c>
      <c r="B74">
        <v>498.76400000000001</v>
      </c>
      <c r="C74">
        <v>-32649.3</v>
      </c>
      <c r="D74">
        <f t="shared" ref="D74:D75" si="30">C74/7680</f>
        <v>-4.2512109374999998</v>
      </c>
      <c r="E74">
        <f t="shared" si="29"/>
        <v>1.0416666666657193E-4</v>
      </c>
      <c r="F74">
        <f>C74-AVERAGE($C$66:$C$67)</f>
        <v>0.7999999999992724</v>
      </c>
      <c r="G74" t="s">
        <v>254</v>
      </c>
      <c r="H74">
        <v>499.12200000000001</v>
      </c>
      <c r="I74">
        <v>-32650.6</v>
      </c>
      <c r="J74">
        <f t="shared" ref="J74:J75" si="31">I74/7680</f>
        <v>-4.251380208333333</v>
      </c>
      <c r="K74">
        <f t="shared" si="28"/>
        <v>-6.5104166666607455E-5</v>
      </c>
      <c r="L74">
        <f>I74-AVERAGE($C$66:$C$67)</f>
        <v>-0.5</v>
      </c>
    </row>
    <row r="75" spans="1:14" x14ac:dyDescent="0.2">
      <c r="A75" s="10" t="s">
        <v>253</v>
      </c>
      <c r="B75">
        <v>499.339</v>
      </c>
      <c r="C75">
        <v>-32648.6</v>
      </c>
      <c r="D75">
        <f t="shared" si="30"/>
        <v>-4.2511197916666665</v>
      </c>
      <c r="E75">
        <f t="shared" si="29"/>
        <v>1.9531249999982236E-4</v>
      </c>
      <c r="F75">
        <f>C75-AVERAGE($C$66:$C$67)</f>
        <v>1.5</v>
      </c>
      <c r="G75" t="s">
        <v>254</v>
      </c>
      <c r="H75">
        <v>499.05200000000002</v>
      </c>
      <c r="I75">
        <v>-32650.6</v>
      </c>
      <c r="J75">
        <f t="shared" si="31"/>
        <v>-4.251380208333333</v>
      </c>
      <c r="K75">
        <f t="shared" si="28"/>
        <v>-6.5104166666607455E-5</v>
      </c>
      <c r="L75">
        <f>I75-AVERAGE($C$66:$C$67)</f>
        <v>-0.5</v>
      </c>
    </row>
    <row r="76" spans="1:14" x14ac:dyDescent="0.2">
      <c r="A76" s="10" t="s">
        <v>253</v>
      </c>
      <c r="B76">
        <v>498.81599999999997</v>
      </c>
      <c r="C76">
        <v>-32649.200000000001</v>
      </c>
      <c r="D76">
        <f t="shared" ref="D76:D79" si="32">C76/7680</f>
        <v>-4.2511979166666665</v>
      </c>
      <c r="E76">
        <f t="shared" ref="E76:E79" si="33">D76-AVERAGE($D$66:$D$67)</f>
        <v>1.1718749999989342E-4</v>
      </c>
      <c r="F76">
        <f t="shared" ref="F76:F79" si="34">C76-AVERAGE($C$66:$C$67)</f>
        <v>0.89999999999781721</v>
      </c>
      <c r="G76" t="s">
        <v>254</v>
      </c>
      <c r="H76">
        <v>499.66199999999998</v>
      </c>
      <c r="I76">
        <v>-32650</v>
      </c>
      <c r="J76">
        <f t="shared" ref="J76:J79" si="35">I76/7680</f>
        <v>-4.251302083333333</v>
      </c>
      <c r="K76">
        <f t="shared" ref="K76:K79" si="36">J76-AVERAGE($D$66:$D$67)</f>
        <v>1.3020833333321491E-5</v>
      </c>
      <c r="L76">
        <f t="shared" ref="L76:L79" si="37">I76-AVERAGE($C$66:$C$67)</f>
        <v>9.9999999998544808E-2</v>
      </c>
    </row>
    <row r="77" spans="1:14" x14ac:dyDescent="0.2">
      <c r="A77" s="10" t="s">
        <v>253</v>
      </c>
      <c r="B77">
        <v>498.82900000000001</v>
      </c>
      <c r="C77">
        <v>-32649.200000000001</v>
      </c>
      <c r="D77">
        <f t="shared" si="32"/>
        <v>-4.2511979166666665</v>
      </c>
      <c r="E77">
        <f t="shared" si="33"/>
        <v>1.1718749999989342E-4</v>
      </c>
      <c r="F77">
        <f t="shared" si="34"/>
        <v>0.89999999999781721</v>
      </c>
      <c r="G77" t="s">
        <v>254</v>
      </c>
      <c r="H77">
        <v>498.25200000000001</v>
      </c>
      <c r="I77">
        <v>-32651.4</v>
      </c>
      <c r="J77">
        <f t="shared" si="35"/>
        <v>-4.2514843750000004</v>
      </c>
      <c r="K77">
        <f t="shared" si="36"/>
        <v>-1.6927083333406756E-4</v>
      </c>
      <c r="L77">
        <f t="shared" si="37"/>
        <v>-1.3000000000029104</v>
      </c>
    </row>
    <row r="78" spans="1:14" x14ac:dyDescent="0.2">
      <c r="A78" s="10" t="s">
        <v>253</v>
      </c>
      <c r="B78">
        <v>498.33499999999998</v>
      </c>
      <c r="C78">
        <v>-32649.7</v>
      </c>
      <c r="D78">
        <f t="shared" si="32"/>
        <v>-4.2512630208333331</v>
      </c>
      <c r="E78">
        <f t="shared" si="33"/>
        <v>5.2083333333285964E-5</v>
      </c>
      <c r="F78">
        <f t="shared" si="34"/>
        <v>0.39999999999781721</v>
      </c>
      <c r="G78" t="s">
        <v>254</v>
      </c>
      <c r="H78">
        <v>498.11200000000002</v>
      </c>
      <c r="I78">
        <v>-32651.7</v>
      </c>
      <c r="J78">
        <f t="shared" si="35"/>
        <v>-4.2515234375000004</v>
      </c>
      <c r="K78">
        <f t="shared" si="36"/>
        <v>-2.0833333333403203E-4</v>
      </c>
      <c r="L78">
        <f t="shared" si="37"/>
        <v>-1.6000000000021828</v>
      </c>
    </row>
    <row r="79" spans="1:14" x14ac:dyDescent="0.2">
      <c r="A79" s="10" t="s">
        <v>253</v>
      </c>
      <c r="B79">
        <v>498.75599999999997</v>
      </c>
      <c r="C79">
        <v>-32649.200000000001</v>
      </c>
      <c r="D79">
        <f t="shared" si="32"/>
        <v>-4.2511979166666665</v>
      </c>
      <c r="E79">
        <f t="shared" si="33"/>
        <v>1.1718749999989342E-4</v>
      </c>
      <c r="F79">
        <f t="shared" si="34"/>
        <v>0.89999999999781721</v>
      </c>
      <c r="G79" t="s">
        <v>254</v>
      </c>
      <c r="H79">
        <v>498.77</v>
      </c>
      <c r="I79">
        <v>-32650.9</v>
      </c>
      <c r="J79">
        <f t="shared" si="35"/>
        <v>-4.2514192708333338</v>
      </c>
      <c r="K79">
        <f t="shared" si="36"/>
        <v>-1.0416666666746011E-4</v>
      </c>
      <c r="L79">
        <f t="shared" si="37"/>
        <v>-0.80000000000291038</v>
      </c>
    </row>
    <row r="80" spans="1:14" x14ac:dyDescent="0.2">
      <c r="A80" s="10" t="s">
        <v>255</v>
      </c>
      <c r="F80">
        <f>AVERAGE(F72:F75)</f>
        <v>0.99999999999909051</v>
      </c>
      <c r="G80" t="s">
        <v>256</v>
      </c>
      <c r="L80">
        <f>AVERAGE(L72:L75)</f>
        <v>-0.9500000000007276</v>
      </c>
    </row>
    <row r="81" spans="1:14" x14ac:dyDescent="0.2">
      <c r="A81">
        <v>800</v>
      </c>
      <c r="F81">
        <f>STDEV(F72:F75)</f>
        <v>0.55976185412475887</v>
      </c>
      <c r="L81">
        <f>STDEV(L72:L75)</f>
        <v>0.51961524227150335</v>
      </c>
    </row>
    <row r="82" spans="1:14" x14ac:dyDescent="0.2">
      <c r="A82" s="10" t="s">
        <v>32</v>
      </c>
      <c r="B82">
        <v>797.39499999999998</v>
      </c>
      <c r="C82">
        <v>-32318.3</v>
      </c>
      <c r="D82">
        <f>C82/7680</f>
        <v>-4.2081119791666666</v>
      </c>
      <c r="E82">
        <f>C82-3840*$H$25-1920*$L$7-1920*$L$14</f>
        <v>-2351.0781250000018</v>
      </c>
      <c r="F82">
        <f>E82/7680</f>
        <v>-0.30612996419270855</v>
      </c>
      <c r="G82">
        <f>(E82-$W$25*3840)</f>
        <v>-24.275000000001455</v>
      </c>
      <c r="H82">
        <f>(E82-$W$25*3840)/7680</f>
        <v>-3.1608072916668563E-3</v>
      </c>
      <c r="I82">
        <f>2*(22.9514*22.9514)</f>
        <v>1053.5335239199999</v>
      </c>
      <c r="J82">
        <f t="shared" ref="J82:J87" si="38">H82/I82</f>
        <v>-3.0001962157844656E-6</v>
      </c>
      <c r="K82">
        <f t="shared" ref="K82:K87" si="39">G82/I82</f>
        <v>-2.3041506937224693E-2</v>
      </c>
      <c r="L82">
        <f t="shared" ref="L82:L87" si="40">K82*16.02</f>
        <v>-0.36912494113433958</v>
      </c>
      <c r="M82" t="s">
        <v>210</v>
      </c>
    </row>
    <row r="83" spans="1:14" x14ac:dyDescent="0.2">
      <c r="A83" s="10" t="s">
        <v>102</v>
      </c>
      <c r="B83">
        <v>796.92200000000003</v>
      </c>
      <c r="C83">
        <v>-32318.799999999999</v>
      </c>
      <c r="D83">
        <f>C83/7680</f>
        <v>-4.2081770833333332</v>
      </c>
      <c r="E83">
        <f>C83-3840*$H$25-1920*$L$7-1920*$L$14</f>
        <v>-2351.5781250000018</v>
      </c>
      <c r="F83">
        <f>E83/7680</f>
        <v>-0.30619506835937521</v>
      </c>
      <c r="G83">
        <f>(E83-$W$25*3840)</f>
        <v>-24.775000000001455</v>
      </c>
      <c r="H83">
        <f>(E83-$W$25*3840)/7680</f>
        <v>-3.2259114583335228E-3</v>
      </c>
      <c r="I83">
        <f>2*(22.9514*22.9514)</f>
        <v>1053.5335239199999</v>
      </c>
      <c r="J83">
        <f t="shared" si="38"/>
        <v>-3.0619922243485081E-6</v>
      </c>
      <c r="K83">
        <f t="shared" si="39"/>
        <v>-2.3516100282996544E-2</v>
      </c>
      <c r="L83">
        <f t="shared" si="40"/>
        <v>-0.37672792653360465</v>
      </c>
      <c r="M83" t="s">
        <v>210</v>
      </c>
    </row>
    <row r="84" spans="1:14" x14ac:dyDescent="0.2">
      <c r="A84" s="10" t="s">
        <v>87</v>
      </c>
      <c r="B84">
        <v>797.51700000000005</v>
      </c>
      <c r="C84">
        <v>-24234.3</v>
      </c>
      <c r="D84">
        <f>C84/5760</f>
        <v>-4.2073437499999997</v>
      </c>
      <c r="E84">
        <f>C84-2880*$H$25-1440*$L$7-1440*$L$14</f>
        <v>-1758.8835937499998</v>
      </c>
      <c r="F84">
        <f>E84/5760</f>
        <v>-0.30536173502604164</v>
      </c>
      <c r="G84">
        <f>(E84-$W$25*2880)</f>
        <v>-13.781249999999545</v>
      </c>
      <c r="H84">
        <f>(E84-$W$25*2880)/5760</f>
        <v>-2.3925781249999212E-3</v>
      </c>
      <c r="I84">
        <f>2*(17.2135*17.2135)</f>
        <v>592.60916450000002</v>
      </c>
      <c r="J84">
        <f t="shared" si="38"/>
        <v>-4.0373626807114982E-6</v>
      </c>
      <c r="K84">
        <f t="shared" si="39"/>
        <v>-2.3255209040898228E-2</v>
      </c>
      <c r="L84">
        <f t="shared" si="40"/>
        <v>-0.37254844883518962</v>
      </c>
      <c r="M84" t="s">
        <v>219</v>
      </c>
    </row>
    <row r="85" spans="1:14" x14ac:dyDescent="0.2">
      <c r="A85" s="10" t="s">
        <v>248</v>
      </c>
      <c r="B85">
        <v>799.38099999999997</v>
      </c>
      <c r="C85">
        <v>-24232.799999999999</v>
      </c>
      <c r="D85">
        <f>C85/5760</f>
        <v>-4.2070833333333333</v>
      </c>
      <c r="E85">
        <f>C85-2880*$H$25-1440*$L$7-1440*$L$14</f>
        <v>-1757.3835937499998</v>
      </c>
      <c r="F85">
        <f>E85/5760</f>
        <v>-0.30510131835937498</v>
      </c>
      <c r="G85">
        <f>(E85-$W$25*2880)</f>
        <v>-12.281249999999545</v>
      </c>
      <c r="H85">
        <f>(E85-$W$25*2880)/5760</f>
        <v>-2.1321614583332542E-3</v>
      </c>
      <c r="I85">
        <f>2*(17.2135*17.2135)</f>
        <v>592.60916450000002</v>
      </c>
      <c r="J85">
        <f t="shared" si="38"/>
        <v>-3.5979218447156737E-6</v>
      </c>
      <c r="K85">
        <f t="shared" si="39"/>
        <v>-2.0724029825562283E-2</v>
      </c>
      <c r="L85">
        <f t="shared" si="40"/>
        <v>-0.33199895780550776</v>
      </c>
      <c r="M85" t="s">
        <v>219</v>
      </c>
    </row>
    <row r="86" spans="1:14" x14ac:dyDescent="0.2">
      <c r="A86" s="10" t="s">
        <v>89</v>
      </c>
      <c r="B86">
        <v>796.572</v>
      </c>
      <c r="C86">
        <v>-32986.699999999997</v>
      </c>
      <c r="D86">
        <f>C86/7840</f>
        <v>-4.2074872448979592</v>
      </c>
      <c r="E86">
        <f>C86-3920*$H$25-1960*$L$7-1960*$L$14</f>
        <v>-2395.1610026041635</v>
      </c>
      <c r="F86">
        <f>E86/7840</f>
        <v>-0.30550522992400042</v>
      </c>
      <c r="G86">
        <f>(E86-$W$25*3920)</f>
        <v>-19.882812499996362</v>
      </c>
      <c r="H86">
        <f>(E86-$W$25*3920)/7840</f>
        <v>-2.5360730229587198E-3</v>
      </c>
      <c r="I86">
        <f>2*(20.0824*20.0824)</f>
        <v>806.60557951999999</v>
      </c>
      <c r="J86">
        <f t="shared" si="38"/>
        <v>-3.1441302755033039E-6</v>
      </c>
      <c r="K86">
        <f t="shared" si="39"/>
        <v>-2.4649981359945901E-2</v>
      </c>
      <c r="L86">
        <f t="shared" si="40"/>
        <v>-0.39489270138633331</v>
      </c>
      <c r="M86" t="s">
        <v>231</v>
      </c>
    </row>
    <row r="87" spans="1:14" x14ac:dyDescent="0.2">
      <c r="A87" s="10" t="s">
        <v>96</v>
      </c>
      <c r="B87">
        <v>797.00199999999995</v>
      </c>
      <c r="C87">
        <v>-32986.199999999997</v>
      </c>
      <c r="D87">
        <f>C87/7840</f>
        <v>-4.2074234693877548</v>
      </c>
      <c r="E87">
        <f>C87-3920*$H$25-1960*$L$7-1960*$L$14</f>
        <v>-2394.6610026041635</v>
      </c>
      <c r="F87">
        <f>E87/7840</f>
        <v>-0.30544145441379639</v>
      </c>
      <c r="G87">
        <f>(E87-$W$25*3920)</f>
        <v>-19.382812499996362</v>
      </c>
      <c r="H87">
        <f>(E87-$W$25*3920)/7840</f>
        <v>-2.4722975127546378E-3</v>
      </c>
      <c r="I87">
        <f>2*(20.0824*20.0824)</f>
        <v>806.60557951999999</v>
      </c>
      <c r="J87">
        <f t="shared" si="38"/>
        <v>-3.0650637381232455E-6</v>
      </c>
      <c r="K87">
        <f t="shared" si="39"/>
        <v>-2.4030099706886247E-2</v>
      </c>
      <c r="L87">
        <f t="shared" si="40"/>
        <v>-0.38496219730431769</v>
      </c>
      <c r="M87" t="s">
        <v>231</v>
      </c>
      <c r="N87">
        <f>AVERAGE(L82:L87)</f>
        <v>-0.37170919549988213</v>
      </c>
    </row>
    <row r="88" spans="1:14" x14ac:dyDescent="0.2">
      <c r="A88" s="10" t="s">
        <v>253</v>
      </c>
      <c r="B88">
        <v>798.68399999999997</v>
      </c>
      <c r="C88">
        <v>-32316</v>
      </c>
      <c r="D88">
        <f>C88/7680</f>
        <v>-4.2078125000000002</v>
      </c>
      <c r="E88">
        <f>D88-AVERAGE($D$82:$D$83)</f>
        <v>3.3203124999925393E-4</v>
      </c>
      <c r="F88">
        <f t="shared" ref="F88:F95" si="41">C88-AVERAGE($C$82:$C$83)</f>
        <v>2.5499999999992724</v>
      </c>
      <c r="G88" t="s">
        <v>254</v>
      </c>
      <c r="H88">
        <v>798.09400000000005</v>
      </c>
      <c r="I88">
        <v>-32318.400000000001</v>
      </c>
      <c r="J88">
        <f>I88/7680</f>
        <v>-4.2081249999999999</v>
      </c>
      <c r="K88">
        <f t="shared" ref="K88:K89" si="42">J88-AVERAGE($D$82:$D$83)</f>
        <v>1.9531249999538147E-5</v>
      </c>
      <c r="L88">
        <f>I88-AVERAGE($C$82:$C$83)</f>
        <v>0.14999999999781721</v>
      </c>
      <c r="N88">
        <f>STDEV(L82:L87)</f>
        <v>2.1552681307599294E-2</v>
      </c>
    </row>
    <row r="89" spans="1:14" x14ac:dyDescent="0.2">
      <c r="A89" s="10" t="s">
        <v>253</v>
      </c>
      <c r="B89">
        <v>798.48900000000003</v>
      </c>
      <c r="C89">
        <v>-32316.9</v>
      </c>
      <c r="D89">
        <f>C89/7680</f>
        <v>-4.2079296875000001</v>
      </c>
      <c r="E89">
        <f t="shared" ref="E89:E95" si="43">D89-AVERAGE($D$82:$D$83)</f>
        <v>2.1484374999936051E-4</v>
      </c>
      <c r="F89">
        <f t="shared" si="41"/>
        <v>1.6499999999978172</v>
      </c>
      <c r="G89" t="s">
        <v>254</v>
      </c>
      <c r="H89">
        <v>798.56799999999998</v>
      </c>
      <c r="I89">
        <v>-32317.8</v>
      </c>
      <c r="J89">
        <f>I89/7680</f>
        <v>-4.208046875</v>
      </c>
      <c r="K89">
        <f t="shared" si="42"/>
        <v>9.7656249999467093E-5</v>
      </c>
      <c r="L89">
        <f>I89-AVERAGE($C$82:$C$83)</f>
        <v>0.75</v>
      </c>
    </row>
    <row r="90" spans="1:14" x14ac:dyDescent="0.2">
      <c r="A90" s="10" t="s">
        <v>253</v>
      </c>
      <c r="B90">
        <v>798.56299999999999</v>
      </c>
      <c r="C90">
        <v>-32316</v>
      </c>
      <c r="D90">
        <f t="shared" ref="D90:D91" si="44">C90/7680</f>
        <v>-4.2078125000000002</v>
      </c>
      <c r="E90">
        <f t="shared" si="43"/>
        <v>3.3203124999925393E-4</v>
      </c>
      <c r="F90">
        <f t="shared" si="41"/>
        <v>2.5499999999992724</v>
      </c>
      <c r="G90" t="s">
        <v>254</v>
      </c>
      <c r="H90">
        <v>797.79700000000003</v>
      </c>
      <c r="I90">
        <v>-32318.5</v>
      </c>
      <c r="J90">
        <f t="shared" ref="J90:J91" si="45">I90/7680</f>
        <v>-4.2081380208333332</v>
      </c>
      <c r="K90">
        <f>J90-AVERAGE($D$82:$D$83)</f>
        <v>6.5104166662166563E-6</v>
      </c>
      <c r="L90">
        <f>I90-AVERAGE($C$82:$C$83)</f>
        <v>4.9999999999272404E-2</v>
      </c>
    </row>
    <row r="91" spans="1:14" x14ac:dyDescent="0.2">
      <c r="A91" s="10" t="s">
        <v>253</v>
      </c>
      <c r="B91">
        <v>797.31200000000001</v>
      </c>
      <c r="C91">
        <v>-32317.3</v>
      </c>
      <c r="D91">
        <f t="shared" si="44"/>
        <v>-4.2079817708333334</v>
      </c>
      <c r="E91">
        <f t="shared" si="43"/>
        <v>1.6276041666607455E-4</v>
      </c>
      <c r="F91">
        <f t="shared" si="41"/>
        <v>1.25</v>
      </c>
      <c r="G91" t="s">
        <v>254</v>
      </c>
      <c r="H91">
        <v>797.72699999999998</v>
      </c>
      <c r="I91">
        <v>-32318.7</v>
      </c>
      <c r="J91">
        <f t="shared" si="45"/>
        <v>-4.2081640624999999</v>
      </c>
      <c r="K91">
        <f>J91-AVERAGE($D$82:$D$83)</f>
        <v>-1.9531250000426326E-5</v>
      </c>
      <c r="L91">
        <f>I91-AVERAGE($C$82:$C$83)</f>
        <v>-0.15000000000145519</v>
      </c>
    </row>
    <row r="92" spans="1:14" x14ac:dyDescent="0.2">
      <c r="A92" s="10" t="s">
        <v>253</v>
      </c>
      <c r="B92">
        <v>798.89300000000003</v>
      </c>
      <c r="C92">
        <v>-32315.599999999999</v>
      </c>
      <c r="D92">
        <f t="shared" ref="D92:D95" si="46">C92/7680</f>
        <v>-4.2077604166666669</v>
      </c>
      <c r="E92">
        <f t="shared" si="43"/>
        <v>3.8411458333253989E-4</v>
      </c>
      <c r="F92">
        <f t="shared" si="41"/>
        <v>2.9500000000007276</v>
      </c>
      <c r="G92" t="s">
        <v>254</v>
      </c>
      <c r="H92">
        <v>797.74300000000005</v>
      </c>
      <c r="I92">
        <v>-32318.7</v>
      </c>
      <c r="J92">
        <f t="shared" ref="J92:J95" si="47">I92/7680</f>
        <v>-4.2081640624999999</v>
      </c>
      <c r="K92">
        <f t="shared" ref="K92:K95" si="48">J92-AVERAGE($D$82:$D$83)</f>
        <v>-1.9531250000426326E-5</v>
      </c>
      <c r="L92">
        <f t="shared" ref="L92:L95" si="49">I92-AVERAGE($C$82:$C$83)</f>
        <v>-0.15000000000145519</v>
      </c>
    </row>
    <row r="93" spans="1:14" x14ac:dyDescent="0.2">
      <c r="A93" s="10" t="s">
        <v>253</v>
      </c>
      <c r="B93">
        <v>798.63699999999994</v>
      </c>
      <c r="C93">
        <v>-32316</v>
      </c>
      <c r="D93">
        <f t="shared" si="46"/>
        <v>-4.2078125000000002</v>
      </c>
      <c r="E93">
        <f t="shared" si="43"/>
        <v>3.3203124999925393E-4</v>
      </c>
      <c r="F93">
        <f t="shared" si="41"/>
        <v>2.5499999999992724</v>
      </c>
      <c r="G93" t="s">
        <v>254</v>
      </c>
      <c r="H93">
        <v>798.75400000000002</v>
      </c>
      <c r="I93">
        <v>-32317.5</v>
      </c>
      <c r="J93">
        <f t="shared" si="47"/>
        <v>-4.2080078125</v>
      </c>
      <c r="K93">
        <f t="shared" si="48"/>
        <v>1.3671874999943157E-4</v>
      </c>
      <c r="L93">
        <f t="shared" si="49"/>
        <v>1.0499999999992724</v>
      </c>
    </row>
    <row r="94" spans="1:14" x14ac:dyDescent="0.2">
      <c r="A94" s="10" t="s">
        <v>253</v>
      </c>
      <c r="B94">
        <v>796.73099999999999</v>
      </c>
      <c r="C94">
        <v>-32318</v>
      </c>
      <c r="D94">
        <f t="shared" si="46"/>
        <v>-4.2080729166666666</v>
      </c>
      <c r="E94">
        <f t="shared" si="43"/>
        <v>7.1614583332824111E-5</v>
      </c>
      <c r="F94">
        <f t="shared" si="41"/>
        <v>0.5499999999992724</v>
      </c>
      <c r="G94" t="s">
        <v>254</v>
      </c>
      <c r="H94">
        <v>796.91600000000005</v>
      </c>
      <c r="I94">
        <v>-32319.5</v>
      </c>
      <c r="J94">
        <f t="shared" si="47"/>
        <v>-4.2082682291666664</v>
      </c>
      <c r="K94">
        <f t="shared" si="48"/>
        <v>-1.2369791666699825E-4</v>
      </c>
      <c r="L94">
        <f t="shared" si="49"/>
        <v>-0.9500000000007276</v>
      </c>
    </row>
    <row r="95" spans="1:14" x14ac:dyDescent="0.2">
      <c r="A95" s="10" t="s">
        <v>253</v>
      </c>
      <c r="B95">
        <v>798.61500000000001</v>
      </c>
      <c r="C95">
        <v>-32316</v>
      </c>
      <c r="D95">
        <f t="shared" si="46"/>
        <v>-4.2078125000000002</v>
      </c>
      <c r="E95">
        <f t="shared" si="43"/>
        <v>3.3203124999925393E-4</v>
      </c>
      <c r="F95">
        <f t="shared" si="41"/>
        <v>2.5499999999992724</v>
      </c>
      <c r="G95" t="s">
        <v>254</v>
      </c>
      <c r="H95">
        <v>798.44899999999996</v>
      </c>
      <c r="I95">
        <v>-32317.9</v>
      </c>
      <c r="J95">
        <f t="shared" si="47"/>
        <v>-4.2080598958333333</v>
      </c>
      <c r="K95">
        <f t="shared" si="48"/>
        <v>8.4635416666145602E-5</v>
      </c>
      <c r="L95">
        <f t="shared" si="49"/>
        <v>0.64999999999781721</v>
      </c>
    </row>
    <row r="96" spans="1:14" x14ac:dyDescent="0.2">
      <c r="A96" s="10" t="s">
        <v>255</v>
      </c>
      <c r="F96">
        <f>AVERAGE(F88:F95)</f>
        <v>2.0749999999993634</v>
      </c>
      <c r="G96" t="s">
        <v>256</v>
      </c>
      <c r="L96">
        <f>AVERAGE(L88:L95)</f>
        <v>0.17499999999881766</v>
      </c>
    </row>
    <row r="97" spans="1:22" x14ac:dyDescent="0.2">
      <c r="F97">
        <f>STDEV(F88:F95)</f>
        <v>0.8328093590803346</v>
      </c>
      <c r="L97">
        <f>STDEV(L88:L95)</f>
        <v>0.63414734655513982</v>
      </c>
      <c r="U97" t="s">
        <v>268</v>
      </c>
    </row>
    <row r="98" spans="1:22" x14ac:dyDescent="0.2">
      <c r="A98">
        <v>1000</v>
      </c>
      <c r="O98" t="s">
        <v>270</v>
      </c>
      <c r="P98" t="s">
        <v>257</v>
      </c>
      <c r="Q98" t="s">
        <v>258</v>
      </c>
      <c r="R98" s="11" t="s">
        <v>259</v>
      </c>
      <c r="S98" s="11" t="s">
        <v>260</v>
      </c>
      <c r="T98" s="11" t="s">
        <v>261</v>
      </c>
      <c r="U98" s="11" t="s">
        <v>261</v>
      </c>
    </row>
    <row r="99" spans="1:22" x14ac:dyDescent="0.2">
      <c r="A99" s="10" t="s">
        <v>32</v>
      </c>
      <c r="B99">
        <v>996.10799999999995</v>
      </c>
      <c r="C99">
        <v>-32086.7</v>
      </c>
      <c r="D99">
        <f>C99/7680</f>
        <v>-4.1779557291666665</v>
      </c>
      <c r="E99">
        <f>C99-3840*$H$29-1920*$L$8-1920*$L$15</f>
        <v>-2360.487500000002</v>
      </c>
      <c r="F99">
        <f>E99/7680</f>
        <v>-0.3073551432291669</v>
      </c>
      <c r="G99">
        <f>(E99-$W$29*3840)</f>
        <v>-23.725000000002183</v>
      </c>
      <c r="H99">
        <f>(E99-$W$29*3840)/7680</f>
        <v>-3.0891927083336176E-3</v>
      </c>
      <c r="I99">
        <f>2*(23.017*23.017)</f>
        <v>1059.564578</v>
      </c>
      <c r="J99">
        <f t="shared" ref="J99:J109" si="50">H99/I99</f>
        <v>-2.9155303720747993E-6</v>
      </c>
      <c r="K99">
        <f t="shared" ref="K99:K109" si="51">G99/I99</f>
        <v>-2.2391273257534459E-2</v>
      </c>
      <c r="L99">
        <f t="shared" ref="L99:L109" si="52">K99*16.02</f>
        <v>-0.35870819758570199</v>
      </c>
      <c r="M99" t="s">
        <v>210</v>
      </c>
      <c r="O99">
        <v>-0.3390529538823337</v>
      </c>
      <c r="P99">
        <v>-32085.4</v>
      </c>
      <c r="Q99">
        <v>-32086.7</v>
      </c>
      <c r="R99" s="11">
        <v>-32085.4</v>
      </c>
      <c r="S99" s="11">
        <v>-32086.6</v>
      </c>
      <c r="T99" s="11">
        <v>-32085</v>
      </c>
      <c r="U99">
        <v>-32048.3</v>
      </c>
    </row>
    <row r="100" spans="1:22" x14ac:dyDescent="0.2">
      <c r="A100" s="10" t="s">
        <v>104</v>
      </c>
      <c r="B100">
        <v>998.98800000000006</v>
      </c>
      <c r="C100">
        <v>-32083.4</v>
      </c>
      <c r="D100">
        <f>C100/7680</f>
        <v>-4.1775260416666669</v>
      </c>
      <c r="E100">
        <f>C100-3840*$H$29-1920*$L$8-1920*$L$15</f>
        <v>-2357.1874999999991</v>
      </c>
      <c r="F100">
        <f>E100/7680</f>
        <v>-0.30692545572916657</v>
      </c>
      <c r="G100">
        <f>(E100-$W$29*3840)</f>
        <v>-20.424999999999272</v>
      </c>
      <c r="H100">
        <f>(E100-$W$29*3840)/7680</f>
        <v>-2.6595052083332386E-3</v>
      </c>
      <c r="I100">
        <f>2*(23.017*23.017)</f>
        <v>1059.564578</v>
      </c>
      <c r="J100">
        <f t="shared" si="50"/>
        <v>-2.5099982233770357E-6</v>
      </c>
      <c r="K100">
        <f t="shared" si="51"/>
        <v>-1.9276786355535636E-2</v>
      </c>
      <c r="L100">
        <f t="shared" si="52"/>
        <v>-0.30881411741568088</v>
      </c>
      <c r="M100" t="s">
        <v>210</v>
      </c>
      <c r="O100">
        <v>-0.33300518658898115</v>
      </c>
      <c r="P100">
        <v>-32085</v>
      </c>
      <c r="Q100">
        <v>-32083.4</v>
      </c>
      <c r="R100" s="11">
        <v>-32086.3</v>
      </c>
      <c r="S100" s="11">
        <v>-32086.2</v>
      </c>
      <c r="T100" s="11">
        <v>-32085.9</v>
      </c>
      <c r="U100">
        <v>-32047.1</v>
      </c>
    </row>
    <row r="101" spans="1:22" x14ac:dyDescent="0.2">
      <c r="A101" s="10" t="s">
        <v>109</v>
      </c>
      <c r="B101">
        <v>997.649</v>
      </c>
      <c r="C101">
        <v>-32084.799999999999</v>
      </c>
      <c r="D101">
        <f>C101/7680</f>
        <v>-4.1777083333333334</v>
      </c>
      <c r="E101">
        <f>C101-3840*$H$29-1920*$L$8-1920*$L$15</f>
        <v>-2358.5875000000005</v>
      </c>
      <c r="F101">
        <f>E101/7680</f>
        <v>-0.30710774739583341</v>
      </c>
      <c r="G101">
        <f>(E101-$W$29*3840)</f>
        <v>-21.825000000000728</v>
      </c>
      <c r="H101">
        <f>(E101-$W$29*3840)/7680</f>
        <v>-2.8417968750000947E-3</v>
      </c>
      <c r="I101">
        <f>2*(23.017*23.017)</f>
        <v>1059.564578</v>
      </c>
      <c r="J101">
        <f t="shared" si="50"/>
        <v>-2.6820421652488412E-6</v>
      </c>
      <c r="K101">
        <f t="shared" si="51"/>
        <v>-2.0598083829111102E-2</v>
      </c>
      <c r="L101">
        <f t="shared" si="52"/>
        <v>-0.32998130294235983</v>
      </c>
      <c r="M101" t="s">
        <v>210</v>
      </c>
      <c r="O101">
        <v>-0.36173208123232331</v>
      </c>
      <c r="P101">
        <v>-32086.9</v>
      </c>
      <c r="Q101">
        <v>-32084.799999999999</v>
      </c>
      <c r="R101" s="11">
        <v>-32084.7</v>
      </c>
      <c r="S101" s="11">
        <v>-32086.6</v>
      </c>
      <c r="T101" s="11">
        <v>-32086.6</v>
      </c>
      <c r="U101">
        <v>-32048.5</v>
      </c>
    </row>
    <row r="102" spans="1:22" x14ac:dyDescent="0.2">
      <c r="A102" s="10" t="s">
        <v>111</v>
      </c>
      <c r="B102">
        <v>997.99300000000005</v>
      </c>
      <c r="C102">
        <v>-32084.5</v>
      </c>
      <c r="D102">
        <f>C102/7680</f>
        <v>-4.1776692708333334</v>
      </c>
      <c r="E102">
        <f>C102-3840*$H$29-1920*$L$8-1920*$L$15</f>
        <v>-2358.2874999999976</v>
      </c>
      <c r="F102">
        <f>E102/7680</f>
        <v>-0.307068684895833</v>
      </c>
      <c r="G102">
        <f>(E102-$W$29*3840)</f>
        <v>-21.524999999997817</v>
      </c>
      <c r="H102">
        <f>(E102-$W$29*3840)/7680</f>
        <v>-2.8027343749997156E-3</v>
      </c>
      <c r="I102">
        <f>2*(23.017*23.017)</f>
        <v>1059.564578</v>
      </c>
      <c r="J102">
        <f t="shared" ref="J102" si="53">H102/I102</f>
        <v>-2.645175606275992E-6</v>
      </c>
      <c r="K102">
        <f t="shared" ref="K102" si="54">G102/I102</f>
        <v>-2.0314948656199622E-2</v>
      </c>
      <c r="L102">
        <f t="shared" ref="L102" si="55">K102*16.02</f>
        <v>-0.32544547747231795</v>
      </c>
      <c r="M102" t="s">
        <v>210</v>
      </c>
      <c r="O102">
        <v>-0.3345171284122917</v>
      </c>
      <c r="P102">
        <v>-32085.1</v>
      </c>
      <c r="Q102">
        <v>-32084.5</v>
      </c>
      <c r="R102" s="11">
        <v>-32086.1</v>
      </c>
      <c r="S102" s="11">
        <v>-32083.5</v>
      </c>
      <c r="T102" s="11">
        <v>-32085.3</v>
      </c>
      <c r="U102">
        <v>-32048.7</v>
      </c>
    </row>
    <row r="103" spans="1:22" x14ac:dyDescent="0.2">
      <c r="A103" s="10" t="s">
        <v>123</v>
      </c>
      <c r="B103">
        <v>997.68200000000002</v>
      </c>
      <c r="C103">
        <v>-32085</v>
      </c>
      <c r="D103">
        <f>C103/7680</f>
        <v>-4.177734375</v>
      </c>
      <c r="E103">
        <f>C103-3840*$H$29-1920*$L$8-1920*$L$15</f>
        <v>-2358.7874999999976</v>
      </c>
      <c r="F103">
        <f>E103/7680</f>
        <v>-0.30713378906249972</v>
      </c>
      <c r="G103">
        <f>(E103-$W$29*3840)</f>
        <v>-22.024999999997817</v>
      </c>
      <c r="H103">
        <f>(E103-$W$29*3840)/7680</f>
        <v>-2.8678385416663825E-3</v>
      </c>
      <c r="I103">
        <f>2*(23.017*23.017)</f>
        <v>1059.564578</v>
      </c>
      <c r="J103">
        <f t="shared" ref="J103" si="56">H103/I103</f>
        <v>-2.7066198712301446E-6</v>
      </c>
      <c r="K103">
        <f t="shared" ref="K103" si="57">G103/I103</f>
        <v>-2.0786840611047512E-2</v>
      </c>
      <c r="L103">
        <f t="shared" ref="L103" si="58">K103*16.02</f>
        <v>-0.33300518658898115</v>
      </c>
      <c r="M103" t="s">
        <v>210</v>
      </c>
      <c r="O103">
        <v>-0.33602907023571243</v>
      </c>
      <c r="P103">
        <v>-32085.200000000001</v>
      </c>
      <c r="Q103">
        <v>-32085</v>
      </c>
      <c r="R103" s="11">
        <v>-32086.1</v>
      </c>
      <c r="S103" s="11">
        <v>-32085.9</v>
      </c>
      <c r="T103" s="11">
        <v>-32085.8</v>
      </c>
      <c r="U103">
        <v>-32048.400000000001</v>
      </c>
    </row>
    <row r="104" spans="1:22" x14ac:dyDescent="0.2">
      <c r="A104" s="10" t="s">
        <v>87</v>
      </c>
      <c r="B104">
        <v>995.91899999999998</v>
      </c>
      <c r="C104">
        <v>-24061</v>
      </c>
      <c r="D104">
        <f>C104/5760</f>
        <v>-4.1772569444444443</v>
      </c>
      <c r="E104">
        <f>C104-2880*$H$29-1440*$L$8-1440*$L$15</f>
        <v>-1766.3406250000007</v>
      </c>
      <c r="F104">
        <f>E104/5760</f>
        <v>-0.30665635850694456</v>
      </c>
      <c r="G104">
        <f>(E104-$W$29*2880)</f>
        <v>-13.768750000000864</v>
      </c>
      <c r="H104">
        <f>(E104-$W$29*2880)/5760</f>
        <v>-2.390407986111261E-3</v>
      </c>
      <c r="I104">
        <f>2*(17.2628*17.2628)</f>
        <v>596.00852767999993</v>
      </c>
      <c r="J104">
        <f t="shared" si="50"/>
        <v>-4.0106942687818109E-6</v>
      </c>
      <c r="K104">
        <f t="shared" si="51"/>
        <v>-2.3101598988183231E-2</v>
      </c>
      <c r="L104">
        <f t="shared" si="52"/>
        <v>-0.37008761579069532</v>
      </c>
      <c r="M104" t="s">
        <v>219</v>
      </c>
      <c r="R104" s="11"/>
      <c r="S104" s="11"/>
      <c r="T104" s="11"/>
    </row>
    <row r="105" spans="1:22" x14ac:dyDescent="0.2">
      <c r="A105" s="10" t="s">
        <v>248</v>
      </c>
      <c r="B105">
        <v>998.30600000000004</v>
      </c>
      <c r="C105">
        <v>-24058.9</v>
      </c>
      <c r="D105">
        <f>C105/5760</f>
        <v>-4.1768923611111113</v>
      </c>
      <c r="E105">
        <f>C105-2880*$H$29-1440*$L$8-1440*$L$15</f>
        <v>-1764.2406250000022</v>
      </c>
      <c r="F105">
        <f>E105/5760</f>
        <v>-0.3062917751736115</v>
      </c>
      <c r="G105">
        <f>(E105-$W$29*2880)</f>
        <v>-11.668750000002319</v>
      </c>
      <c r="H105">
        <f>(E105-$W$29*2880)/5760</f>
        <v>-2.0258246527781803E-3</v>
      </c>
      <c r="I105">
        <f>2*(17.2628*17.2628)</f>
        <v>596.00852767999993</v>
      </c>
      <c r="J105">
        <f t="shared" si="50"/>
        <v>-3.3989860189816882E-6</v>
      </c>
      <c r="K105">
        <f t="shared" si="51"/>
        <v>-1.9578159469334524E-2</v>
      </c>
      <c r="L105">
        <f t="shared" si="52"/>
        <v>-0.31364211469873904</v>
      </c>
      <c r="M105" t="s">
        <v>219</v>
      </c>
      <c r="O105">
        <f t="shared" ref="O105:S105" si="59">AVERAGE(O99:O103)</f>
        <v>-0.34086728407032846</v>
      </c>
      <c r="P105">
        <f t="shared" si="59"/>
        <v>-32085.52</v>
      </c>
      <c r="Q105">
        <f t="shared" si="59"/>
        <v>-32084.880000000005</v>
      </c>
      <c r="R105" s="11">
        <f t="shared" si="59"/>
        <v>-32085.72</v>
      </c>
      <c r="S105" s="11">
        <f t="shared" si="59"/>
        <v>-32085.759999999998</v>
      </c>
      <c r="T105" s="11">
        <f>AVERAGE(T99:T103)</f>
        <v>-32085.72</v>
      </c>
      <c r="U105" s="11">
        <f>AVERAGE(U99:U103)</f>
        <v>-32048.2</v>
      </c>
    </row>
    <row r="106" spans="1:22" x14ac:dyDescent="0.2">
      <c r="A106" s="10" t="s">
        <v>252</v>
      </c>
      <c r="B106">
        <v>996.66700000000003</v>
      </c>
      <c r="C106">
        <v>-24060.400000000001</v>
      </c>
      <c r="D106">
        <f>C106/5760</f>
        <v>-4.1771527777777777</v>
      </c>
      <c r="E106">
        <f>C106-2880*$H$29-1440*$L$8-1440*$L$15</f>
        <v>-1765.7406250000022</v>
      </c>
      <c r="F106">
        <f>E106/5760</f>
        <v>-0.30655219184027815</v>
      </c>
      <c r="G106">
        <f>(E106-$W$29*2880)</f>
        <v>-13.168750000002319</v>
      </c>
      <c r="H106">
        <f>(E106-$W$29*2880)/5760</f>
        <v>-2.2862413194448469E-3</v>
      </c>
      <c r="I106">
        <f>2*(17.2628*17.2628)</f>
        <v>596.00852767999993</v>
      </c>
      <c r="J106">
        <f t="shared" si="50"/>
        <v>-3.8359204831249355E-6</v>
      </c>
      <c r="K106">
        <f t="shared" si="51"/>
        <v>-2.209490198279963E-2</v>
      </c>
      <c r="L106">
        <f t="shared" si="52"/>
        <v>-0.35396032976445008</v>
      </c>
      <c r="M106" t="s">
        <v>219</v>
      </c>
      <c r="O106">
        <f t="shared" ref="O106:U106" si="60">STDEV(O99:O103)</f>
        <v>1.1876204375127934E-2</v>
      </c>
      <c r="P106">
        <f t="shared" si="60"/>
        <v>0.78549347546692327</v>
      </c>
      <c r="Q106">
        <f t="shared" si="60"/>
        <v>1.1903780911960762</v>
      </c>
      <c r="R106" s="11">
        <f t="shared" si="60"/>
        <v>0.66483080554275764</v>
      </c>
      <c r="S106" s="11">
        <f>STDEV(S99:S103)</f>
        <v>1.297304898626009</v>
      </c>
      <c r="T106" s="11">
        <f t="shared" si="60"/>
        <v>0.61400325732003602</v>
      </c>
      <c r="U106" s="11">
        <f t="shared" si="60"/>
        <v>0.63245553203453875</v>
      </c>
      <c r="V106" s="11"/>
    </row>
    <row r="107" spans="1:22" x14ac:dyDescent="0.2">
      <c r="A107" s="10" t="s">
        <v>89</v>
      </c>
      <c r="B107">
        <v>995.346</v>
      </c>
      <c r="C107">
        <v>-32750.3</v>
      </c>
      <c r="D107">
        <f>C107/7840</f>
        <v>-4.1773341836734694</v>
      </c>
      <c r="E107">
        <f>C107-3920*$H$29-1960*$L$8-1960*$L$15</f>
        <v>-2404.7914062499967</v>
      </c>
      <c r="F107">
        <f>E107/7840</f>
        <v>-0.30673359773596898</v>
      </c>
      <c r="G107">
        <f>(E107-$W$29*3920)</f>
        <v>-19.346354166663332</v>
      </c>
      <c r="H107">
        <f>(E107-$W$29*3920)/7840</f>
        <v>-2.4676472151356293E-3</v>
      </c>
      <c r="I107">
        <f>2*(20.1399*20.1399)</f>
        <v>811.2311440200001</v>
      </c>
      <c r="J107">
        <f t="shared" si="50"/>
        <v>-3.041854634558744E-6</v>
      </c>
      <c r="K107">
        <f t="shared" si="51"/>
        <v>-2.3848140334940551E-2</v>
      </c>
      <c r="L107">
        <f t="shared" si="52"/>
        <v>-0.38204720816574761</v>
      </c>
      <c r="M107" t="s">
        <v>231</v>
      </c>
    </row>
    <row r="108" spans="1:22" x14ac:dyDescent="0.2">
      <c r="A108" s="10" t="s">
        <v>96</v>
      </c>
      <c r="B108">
        <v>995.17899999999997</v>
      </c>
      <c r="C108">
        <v>-32750.5</v>
      </c>
      <c r="D108">
        <f>C108/7840</f>
        <v>-4.177359693877551</v>
      </c>
      <c r="E108">
        <f>C108-3920*$H$29-1960*$L$8-1960*$L$15</f>
        <v>-2404.9914062499975</v>
      </c>
      <c r="F108">
        <f>E108/7840</f>
        <v>-0.30675910794005068</v>
      </c>
      <c r="G108">
        <f>(E108-$W$29*3920)</f>
        <v>-19.546354166664059</v>
      </c>
      <c r="H108">
        <f>(E108-$W$29*3920)/7840</f>
        <v>-2.4931574192173546E-3</v>
      </c>
      <c r="I108">
        <f>2*(20.1399*20.1399)</f>
        <v>811.2311440200001</v>
      </c>
      <c r="J108">
        <f t="shared" si="50"/>
        <v>-3.0733009174952095E-6</v>
      </c>
      <c r="K108">
        <f t="shared" si="51"/>
        <v>-2.4094679193162442E-2</v>
      </c>
      <c r="L108">
        <f t="shared" si="52"/>
        <v>-0.38599676067446231</v>
      </c>
      <c r="M108" t="s">
        <v>231</v>
      </c>
      <c r="T108">
        <f>16.02*(T105-3840*$H$29-$W$28*3840)/$I$99</f>
        <v>-0.34389116771699368</v>
      </c>
      <c r="U108" s="11">
        <f>16.02*(U105-3840*$H$29-$W$28*3840)/$I$99</f>
        <v>0.22338940439736465</v>
      </c>
    </row>
    <row r="109" spans="1:22" x14ac:dyDescent="0.2">
      <c r="A109" s="10" t="s">
        <v>130</v>
      </c>
      <c r="B109">
        <v>997.60799999999995</v>
      </c>
      <c r="C109">
        <v>-32748</v>
      </c>
      <c r="D109">
        <f>C109/7840</f>
        <v>-4.1770408163265307</v>
      </c>
      <c r="E109">
        <f>C109-3920*$H$29-1960*$L$8-1960*$L$15</f>
        <v>-2402.4914062499975</v>
      </c>
      <c r="F109">
        <f>E109/7840</f>
        <v>-0.30644023038903029</v>
      </c>
      <c r="G109">
        <f>(E109-$W$29*3920)</f>
        <v>-17.046354166664059</v>
      </c>
      <c r="H109">
        <f>(E109-$W$29*3920)/7840</f>
        <v>-2.1742798681969465E-3</v>
      </c>
      <c r="I109">
        <f>2*(20.1399*20.1399)</f>
        <v>811.2311440200001</v>
      </c>
      <c r="J109">
        <f t="shared" si="50"/>
        <v>-2.6802223807908214E-6</v>
      </c>
      <c r="K109">
        <f t="shared" si="51"/>
        <v>-2.1012943465400041E-2</v>
      </c>
      <c r="L109">
        <f t="shared" si="52"/>
        <v>-0.33662735431570862</v>
      </c>
      <c r="M109" t="s">
        <v>231</v>
      </c>
      <c r="N109">
        <f>AVERAGE(L99:L109)</f>
        <v>-0.3453014241286223</v>
      </c>
      <c r="U109" s="11">
        <f>U106*16.02/$I$99</f>
        <v>9.5623597028111594E-3</v>
      </c>
    </row>
    <row r="110" spans="1:22" x14ac:dyDescent="0.2">
      <c r="A110" s="10" t="s">
        <v>253</v>
      </c>
      <c r="B110">
        <v>997.13499999999999</v>
      </c>
      <c r="C110">
        <v>-32086.5</v>
      </c>
      <c r="D110">
        <f>C110/7680</f>
        <v>-4.1779296874999998</v>
      </c>
      <c r="E110">
        <f>D110-AVERAGE($D$99:$D$103)</f>
        <v>-2.1093750000034106E-4</v>
      </c>
      <c r="F110">
        <f>C110-$T$105</f>
        <v>-0.77999999999883585</v>
      </c>
      <c r="G110" t="s">
        <v>264</v>
      </c>
      <c r="H110">
        <v>996.89200000000005</v>
      </c>
      <c r="I110">
        <v>-32085.9</v>
      </c>
      <c r="J110">
        <f>I110/7680</f>
        <v>-4.1778515624999999</v>
      </c>
      <c r="K110">
        <f>J110-AVERAGE($D$99:$D$103)</f>
        <v>-1.3281250000041211E-4</v>
      </c>
      <c r="L110">
        <f>I110-$T$105</f>
        <v>-0.18000000000029104</v>
      </c>
      <c r="N110">
        <f>STDEV(L99:L109)</f>
        <v>2.6579077635995173E-2</v>
      </c>
    </row>
    <row r="111" spans="1:22" x14ac:dyDescent="0.2">
      <c r="A111" s="10" t="s">
        <v>253</v>
      </c>
      <c r="B111">
        <v>997.13900000000001</v>
      </c>
      <c r="C111">
        <v>-32086.400000000001</v>
      </c>
      <c r="D111">
        <f>C111/7680</f>
        <v>-4.1779166666666665</v>
      </c>
      <c r="E111">
        <f t="shared" ref="E111:E116" si="61">D111-AVERAGE($D$99:$D$103)</f>
        <v>-1.9791666666701957E-4</v>
      </c>
      <c r="F111">
        <f t="shared" ref="F111:F113" si="62">C111-$T$105</f>
        <v>-0.68000000000029104</v>
      </c>
      <c r="G111" t="s">
        <v>264</v>
      </c>
      <c r="H111">
        <v>998.02499999999998</v>
      </c>
      <c r="I111">
        <v>-32084.6</v>
      </c>
      <c r="J111">
        <f>I111/7680</f>
        <v>-4.1776822916666667</v>
      </c>
      <c r="K111">
        <f t="shared" ref="K111:K117" si="63">J111-AVERAGE($D$99:$D$103)</f>
        <v>3.6458333332767268E-5</v>
      </c>
      <c r="L111">
        <f t="shared" ref="L111:L117" si="64">I111-$T$105</f>
        <v>1.1200000000026193</v>
      </c>
    </row>
    <row r="112" spans="1:22" x14ac:dyDescent="0.2">
      <c r="A112" s="10" t="s">
        <v>253</v>
      </c>
      <c r="B112">
        <v>996.99599999999998</v>
      </c>
      <c r="C112">
        <v>-32086.5</v>
      </c>
      <c r="D112">
        <f t="shared" ref="D112:D117" si="65">C112/7680</f>
        <v>-4.1779296874999998</v>
      </c>
      <c r="E112">
        <f t="shared" si="61"/>
        <v>-2.1093750000034106E-4</v>
      </c>
      <c r="F112">
        <f t="shared" si="62"/>
        <v>-0.77999999999883585</v>
      </c>
      <c r="G112" t="s">
        <v>264</v>
      </c>
      <c r="H112">
        <v>997.91200000000003</v>
      </c>
      <c r="I112">
        <v>-32084.7</v>
      </c>
      <c r="J112">
        <f t="shared" ref="J112:J117" si="66">I112/7680</f>
        <v>-4.1776953125</v>
      </c>
      <c r="K112">
        <f t="shared" si="63"/>
        <v>2.3437499999445777E-5</v>
      </c>
      <c r="L112">
        <f t="shared" si="64"/>
        <v>1.0200000000004366</v>
      </c>
    </row>
    <row r="113" spans="1:12" x14ac:dyDescent="0.2">
      <c r="A113" s="10" t="s">
        <v>253</v>
      </c>
      <c r="B113">
        <v>997.41499999999996</v>
      </c>
      <c r="C113">
        <v>-32086.1</v>
      </c>
      <c r="D113">
        <f t="shared" si="65"/>
        <v>-4.1778776041666665</v>
      </c>
      <c r="E113">
        <f t="shared" si="61"/>
        <v>-1.588541666670551E-4</v>
      </c>
      <c r="F113">
        <f t="shared" si="62"/>
        <v>-0.37999999999738066</v>
      </c>
      <c r="G113" t="s">
        <v>264</v>
      </c>
      <c r="H113">
        <v>997.53700000000003</v>
      </c>
      <c r="I113">
        <v>-32085.1</v>
      </c>
      <c r="J113">
        <f t="shared" si="66"/>
        <v>-4.1777473958333333</v>
      </c>
      <c r="K113">
        <f t="shared" si="63"/>
        <v>-2.8645833333840187E-5</v>
      </c>
      <c r="L113">
        <f t="shared" si="64"/>
        <v>0.62000000000261934</v>
      </c>
    </row>
    <row r="114" spans="1:12" x14ac:dyDescent="0.2">
      <c r="A114" s="10" t="s">
        <v>253</v>
      </c>
      <c r="B114">
        <v>996.90200000000004</v>
      </c>
      <c r="C114">
        <v>-32086.7</v>
      </c>
      <c r="D114">
        <f t="shared" si="65"/>
        <v>-4.1779557291666665</v>
      </c>
      <c r="E114">
        <f t="shared" si="61"/>
        <v>-2.3697916666698404E-4</v>
      </c>
      <c r="F114">
        <f>C114-$T$105</f>
        <v>-0.97999999999956344</v>
      </c>
      <c r="G114" t="s">
        <v>264</v>
      </c>
      <c r="H114">
        <v>996.82899999999995</v>
      </c>
      <c r="I114">
        <v>-32085.9</v>
      </c>
      <c r="J114">
        <f t="shared" si="66"/>
        <v>-4.1778515624999999</v>
      </c>
      <c r="K114">
        <f t="shared" si="63"/>
        <v>-1.3281250000041211E-4</v>
      </c>
      <c r="L114">
        <f t="shared" si="64"/>
        <v>-0.18000000000029104</v>
      </c>
    </row>
    <row r="115" spans="1:12" x14ac:dyDescent="0.2">
      <c r="A115" s="10" t="s">
        <v>253</v>
      </c>
      <c r="B115">
        <v>997.61900000000003</v>
      </c>
      <c r="C115">
        <v>-32085.8</v>
      </c>
      <c r="D115">
        <f t="shared" si="65"/>
        <v>-4.1778385416666666</v>
      </c>
      <c r="E115">
        <f t="shared" si="61"/>
        <v>-1.1979166666709062E-4</v>
      </c>
      <c r="F115">
        <f t="shared" ref="F115:F116" si="67">C115-$T$105</f>
        <v>-7.9999999998108251E-2</v>
      </c>
      <c r="G115" t="s">
        <v>264</v>
      </c>
      <c r="H115">
        <v>996.68299999999999</v>
      </c>
      <c r="I115">
        <v>-32086.1</v>
      </c>
      <c r="J115">
        <f t="shared" si="66"/>
        <v>-4.1778776041666665</v>
      </c>
      <c r="K115">
        <f t="shared" si="63"/>
        <v>-1.588541666670551E-4</v>
      </c>
      <c r="L115">
        <f t="shared" si="64"/>
        <v>-0.37999999999738066</v>
      </c>
    </row>
    <row r="116" spans="1:12" x14ac:dyDescent="0.2">
      <c r="A116" s="10" t="s">
        <v>253</v>
      </c>
      <c r="B116">
        <v>996.38199999999995</v>
      </c>
      <c r="C116">
        <v>-32087.3</v>
      </c>
      <c r="D116">
        <f t="shared" si="65"/>
        <v>-4.1780338541666664</v>
      </c>
      <c r="E116">
        <f t="shared" si="61"/>
        <v>-3.1510416666691299E-4</v>
      </c>
      <c r="F116">
        <f t="shared" si="67"/>
        <v>-1.5799999999981083</v>
      </c>
      <c r="G116" t="s">
        <v>264</v>
      </c>
      <c r="H116">
        <v>997.85699999999997</v>
      </c>
      <c r="I116">
        <v>-32084.7</v>
      </c>
      <c r="J116">
        <f t="shared" si="66"/>
        <v>-4.1776953125</v>
      </c>
      <c r="K116">
        <f t="shared" si="63"/>
        <v>2.3437499999445777E-5</v>
      </c>
      <c r="L116">
        <f t="shared" si="64"/>
        <v>1.0200000000004366</v>
      </c>
    </row>
    <row r="117" spans="1:12" x14ac:dyDescent="0.2">
      <c r="A117" s="10" t="s">
        <v>253</v>
      </c>
      <c r="B117">
        <v>996.94600000000003</v>
      </c>
      <c r="C117">
        <v>-32086.7</v>
      </c>
      <c r="D117">
        <f t="shared" si="65"/>
        <v>-4.1779557291666665</v>
      </c>
      <c r="E117">
        <f>D117-AVERAGE($D$99:$D$103)</f>
        <v>-2.3697916666698404E-4</v>
      </c>
      <c r="F117">
        <f>C117-$T$105</f>
        <v>-0.97999999999956344</v>
      </c>
      <c r="G117" t="s">
        <v>264</v>
      </c>
      <c r="H117">
        <v>997.59100000000001</v>
      </c>
      <c r="I117">
        <v>-32085</v>
      </c>
      <c r="J117">
        <f t="shared" si="66"/>
        <v>-4.177734375</v>
      </c>
      <c r="K117">
        <f t="shared" si="63"/>
        <v>-1.5625000000518696E-5</v>
      </c>
      <c r="L117">
        <f t="shared" si="64"/>
        <v>0.72000000000116415</v>
      </c>
    </row>
    <row r="118" spans="1:12" x14ac:dyDescent="0.2">
      <c r="A118" s="10" t="s">
        <v>262</v>
      </c>
      <c r="C118">
        <f>AVERAGE(C110:C117)</f>
        <v>-32086.5</v>
      </c>
      <c r="F118">
        <f>AVERAGE(F110:F117)</f>
        <v>-0.77999999999883585</v>
      </c>
      <c r="G118" t="s">
        <v>263</v>
      </c>
      <c r="I118">
        <f>AVERAGE(I110:I117)</f>
        <v>-32085.25</v>
      </c>
      <c r="L118">
        <f>AVERAGE(L110:L117)</f>
        <v>0.47000000000116415</v>
      </c>
    </row>
    <row r="119" spans="1:12" x14ac:dyDescent="0.2">
      <c r="F119">
        <f>STDEV(F110:F117)</f>
        <v>0.4440077219407837</v>
      </c>
      <c r="L119">
        <f>STDEV(L110:L117)</f>
        <v>0.61875450936331278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opLeftCell="A40" zoomScaleNormal="100" zoomScalePageLayoutView="75" workbookViewId="0">
      <selection activeCell="N62" sqref="N62"/>
    </sheetView>
  </sheetViews>
  <sheetFormatPr baseColWidth="10" defaultColWidth="10.6640625" defaultRowHeight="16" x14ac:dyDescent="0.2"/>
  <sheetData>
    <row r="1" spans="1:19" x14ac:dyDescent="0.2">
      <c r="K1" t="s">
        <v>196</v>
      </c>
      <c r="L1" t="s">
        <v>1</v>
      </c>
      <c r="M1" t="s">
        <v>2</v>
      </c>
    </row>
    <row r="2" spans="1:19" x14ac:dyDescent="0.2">
      <c r="A2" t="s">
        <v>138</v>
      </c>
      <c r="B2">
        <v>0</v>
      </c>
      <c r="C2">
        <v>0</v>
      </c>
      <c r="D2">
        <v>-8244.8712527099997</v>
      </c>
      <c r="E2">
        <f>D2/2000</f>
        <v>-4.1224356263550002</v>
      </c>
      <c r="F2">
        <v>23269.753000000001</v>
      </c>
      <c r="G2">
        <f>(F2^(1/3))/10</f>
        <v>2.8549417903874623</v>
      </c>
      <c r="J2" t="s">
        <v>138</v>
      </c>
      <c r="K2">
        <v>0</v>
      </c>
      <c r="L2">
        <v>-4619.1319000000003</v>
      </c>
      <c r="M2">
        <f>L2/1024</f>
        <v>-4.5108709960937503</v>
      </c>
      <c r="P2">
        <f>(L2-512*D23-512*D28)/1024</f>
        <v>-0.60587104420625049</v>
      </c>
    </row>
    <row r="3" spans="1:19" x14ac:dyDescent="0.2">
      <c r="A3" t="s">
        <v>136</v>
      </c>
      <c r="C3">
        <v>-16489.742505400001</v>
      </c>
      <c r="D3">
        <f>C3/4000</f>
        <v>-4.1224356263500006</v>
      </c>
      <c r="E3" s="5">
        <v>40.374972999999997</v>
      </c>
      <c r="F3" s="5">
        <v>40.374972999999997</v>
      </c>
      <c r="G3" s="5">
        <v>28.549416999999998</v>
      </c>
      <c r="I3" t="s">
        <v>137</v>
      </c>
      <c r="J3" t="s">
        <v>136</v>
      </c>
      <c r="K3">
        <v>0</v>
      </c>
      <c r="L3">
        <v>-18043.484066000001</v>
      </c>
      <c r="M3">
        <f>L3/4000</f>
        <v>-4.5108710165000003</v>
      </c>
      <c r="N3">
        <v>40.050387999999998</v>
      </c>
      <c r="O3">
        <v>40.050387999999998</v>
      </c>
      <c r="P3">
        <v>28.319901000000002</v>
      </c>
      <c r="Q3">
        <f>(L3-2000*D23-2000*D28)/4000</f>
        <v>-0.60587106461250029</v>
      </c>
    </row>
    <row r="4" spans="1:19" s="7" customFormat="1" x14ac:dyDescent="0.2">
      <c r="E4" s="8">
        <f>E3/SQRT(2)</f>
        <v>28.549417198523759</v>
      </c>
      <c r="F4" s="8">
        <f>F3/SQRT(2)</f>
        <v>28.549417198523759</v>
      </c>
      <c r="G4" s="8"/>
      <c r="J4" s="7" t="s">
        <v>200</v>
      </c>
      <c r="L4" s="7">
        <v>-36086.968132000002</v>
      </c>
      <c r="M4" s="7">
        <f>L4/8000</f>
        <v>-4.5108710165000003</v>
      </c>
      <c r="N4" s="8"/>
      <c r="O4" s="8"/>
      <c r="Q4" s="7">
        <f>(L4-4000*D23-4000*D28)/8000</f>
        <v>-0.60587106461250029</v>
      </c>
    </row>
    <row r="5" spans="1:19" x14ac:dyDescent="0.2">
      <c r="A5">
        <v>100</v>
      </c>
      <c r="B5">
        <v>100.13800000000001</v>
      </c>
      <c r="C5">
        <v>-8218.2199999999993</v>
      </c>
      <c r="D5">
        <v>-4.1091099999999994</v>
      </c>
      <c r="E5">
        <v>23264.9</v>
      </c>
      <c r="F5">
        <v>2.8547433067479986</v>
      </c>
      <c r="J5" t="s">
        <v>138</v>
      </c>
      <c r="K5">
        <v>100</v>
      </c>
      <c r="L5">
        <v>-8995.68</v>
      </c>
      <c r="M5">
        <f>L5/2000</f>
        <v>-4.4978400000000001</v>
      </c>
      <c r="N5">
        <v>22809.599999999999</v>
      </c>
      <c r="O5">
        <f>(N5^(1/3))/10</f>
        <v>2.8359978011220015</v>
      </c>
      <c r="P5">
        <f>(L5-1000*D24-1000*D29)/2000</f>
        <v>-0.60577701171875009</v>
      </c>
      <c r="S5" s="5">
        <f>(O5+F5)/2</f>
        <v>2.845370553935</v>
      </c>
    </row>
    <row r="6" spans="1:19" x14ac:dyDescent="0.2">
      <c r="A6">
        <v>300</v>
      </c>
      <c r="B6">
        <v>299.25299999999999</v>
      </c>
      <c r="C6">
        <v>-8162.73</v>
      </c>
      <c r="D6">
        <f>C6/2000</f>
        <v>-4.0813649999999999</v>
      </c>
      <c r="E6">
        <v>23352.400000000001</v>
      </c>
      <c r="F6">
        <f>(E6^(1/3))/10</f>
        <v>2.858317754894359</v>
      </c>
      <c r="J6" t="s">
        <v>138</v>
      </c>
      <c r="K6">
        <v>300</v>
      </c>
      <c r="L6">
        <v>-8942.84</v>
      </c>
      <c r="M6">
        <f t="shared" ref="M6:M7" si="0">L6/2000</f>
        <v>-4.4714200000000002</v>
      </c>
      <c r="N6">
        <v>22999.1</v>
      </c>
      <c r="O6">
        <f t="shared" ref="O6:O7" si="1">(N6^(1/3))/10</f>
        <v>2.8438298854505932</v>
      </c>
      <c r="P6">
        <f>(L6-1000*D25-1000*D30)/2000</f>
        <v>-0.60566072265625004</v>
      </c>
      <c r="S6" s="5">
        <f t="shared" ref="S6:S7" si="2">(O6+F6)/2</f>
        <v>2.8510738201724761</v>
      </c>
    </row>
    <row r="7" spans="1:19" x14ac:dyDescent="0.2">
      <c r="A7">
        <v>500</v>
      </c>
      <c r="B7">
        <v>499.68</v>
      </c>
      <c r="C7">
        <v>-8105.7</v>
      </c>
      <c r="D7">
        <f>C7/2000</f>
        <v>-4.0528500000000003</v>
      </c>
      <c r="E7">
        <v>23483.7</v>
      </c>
      <c r="F7">
        <f>(E7^(1/3))/10</f>
        <v>2.8636647561261053</v>
      </c>
      <c r="J7" t="s">
        <v>138</v>
      </c>
      <c r="K7">
        <v>500</v>
      </c>
      <c r="L7">
        <v>-8887.9599999999991</v>
      </c>
      <c r="M7" s="7">
        <f t="shared" si="0"/>
        <v>-4.4439799999999998</v>
      </c>
      <c r="N7" s="7">
        <v>23194.7</v>
      </c>
      <c r="O7" s="7">
        <f t="shared" si="1"/>
        <v>2.8518690930120454</v>
      </c>
      <c r="P7" s="7">
        <f>(L7-1000*D26-1000*D31)/2000</f>
        <v>-0.60530568359374959</v>
      </c>
      <c r="Q7" s="7"/>
      <c r="R7" s="7"/>
      <c r="S7" s="8">
        <f t="shared" si="2"/>
        <v>2.8577669245690753</v>
      </c>
    </row>
    <row r="8" spans="1:19" s="6" customFormat="1" x14ac:dyDescent="0.2">
      <c r="A8" s="6" t="s">
        <v>247</v>
      </c>
      <c r="B8" s="6">
        <v>100.16</v>
      </c>
      <c r="C8" s="6">
        <v>-31556.400000000001</v>
      </c>
      <c r="D8" s="6">
        <f t="shared" ref="D8:D19" si="3">C8/7680</f>
        <v>-4.1089062500000004</v>
      </c>
      <c r="E8" s="6">
        <v>2.84537</v>
      </c>
      <c r="G8" s="6" t="s">
        <v>210</v>
      </c>
      <c r="J8" s="6" t="s">
        <v>247</v>
      </c>
      <c r="K8" s="6">
        <v>99.3446</v>
      </c>
      <c r="L8" s="6">
        <v>-34540</v>
      </c>
      <c r="M8">
        <f>L8/7680</f>
        <v>-4.497395833333333</v>
      </c>
      <c r="N8"/>
      <c r="O8"/>
      <c r="P8">
        <f>(L8-3840*D$24-3840*D$29)/7680</f>
        <v>-0.60533284505208351</v>
      </c>
      <c r="Q8"/>
      <c r="R8"/>
      <c r="S8" s="5">
        <f t="shared" ref="S8" si="4">(O8+F8)/2</f>
        <v>0</v>
      </c>
    </row>
    <row r="9" spans="1:19" s="9" customFormat="1" x14ac:dyDescent="0.2">
      <c r="A9" s="9" t="s">
        <v>247</v>
      </c>
      <c r="B9" s="9">
        <v>100.19199999999999</v>
      </c>
      <c r="C9" s="9">
        <v>-31556.400000000001</v>
      </c>
      <c r="D9" s="9">
        <f t="shared" si="3"/>
        <v>-4.1089062500000004</v>
      </c>
      <c r="E9" s="9">
        <v>2.84537</v>
      </c>
      <c r="G9" s="9" t="s">
        <v>210</v>
      </c>
      <c r="J9" s="9" t="s">
        <v>247</v>
      </c>
      <c r="K9" s="9">
        <v>99.595100000000002</v>
      </c>
      <c r="L9" s="9">
        <v>-34539.800000000003</v>
      </c>
      <c r="M9">
        <f t="shared" ref="M9:M19" si="5">L9/7680</f>
        <v>-4.4973697916666673</v>
      </c>
      <c r="P9">
        <f t="shared" ref="P9:P11" si="6">(L9-3840*D$24-3840*D$29)/7680</f>
        <v>-0.6053068033854172</v>
      </c>
    </row>
    <row r="10" spans="1:19" s="9" customFormat="1" x14ac:dyDescent="0.2">
      <c r="A10" s="9" t="s">
        <v>247</v>
      </c>
      <c r="B10" s="9">
        <v>100.166</v>
      </c>
      <c r="C10" s="9">
        <v>-31556.400000000001</v>
      </c>
      <c r="D10" s="9">
        <f t="shared" si="3"/>
        <v>-4.1089062500000004</v>
      </c>
      <c r="E10" s="9">
        <v>2.84537</v>
      </c>
      <c r="G10" s="9" t="s">
        <v>210</v>
      </c>
      <c r="J10" s="9" t="s">
        <v>247</v>
      </c>
      <c r="K10" s="9">
        <v>99.492900000000006</v>
      </c>
      <c r="L10" s="9">
        <v>-34539.9</v>
      </c>
      <c r="M10">
        <f t="shared" si="5"/>
        <v>-4.4973828125000006</v>
      </c>
      <c r="P10">
        <f t="shared" si="6"/>
        <v>-0.6053198242187503</v>
      </c>
    </row>
    <row r="11" spans="1:19" s="9" customFormat="1" x14ac:dyDescent="0.2">
      <c r="A11" s="9" t="s">
        <v>247</v>
      </c>
      <c r="B11" s="9">
        <v>100.173</v>
      </c>
      <c r="C11" s="9">
        <v>-31556.400000000001</v>
      </c>
      <c r="D11" s="9">
        <f t="shared" si="3"/>
        <v>-4.1089062500000004</v>
      </c>
      <c r="E11" s="9">
        <v>2.84537</v>
      </c>
      <c r="G11" s="9" t="s">
        <v>210</v>
      </c>
      <c r="H11" s="9">
        <f>AVERAGE(D8:D11)</f>
        <v>-4.1089062500000004</v>
      </c>
      <c r="J11" s="9" t="s">
        <v>247</v>
      </c>
      <c r="K11" s="9">
        <v>99.607799999999997</v>
      </c>
      <c r="L11" s="9">
        <v>-34539.800000000003</v>
      </c>
      <c r="M11">
        <f t="shared" si="5"/>
        <v>-4.4973697916666673</v>
      </c>
      <c r="P11">
        <f t="shared" si="6"/>
        <v>-0.6053068033854172</v>
      </c>
      <c r="Q11" s="9">
        <f>AVERAGE(P8:P11)</f>
        <v>-0.60531656901041697</v>
      </c>
    </row>
    <row r="12" spans="1:19" s="9" customFormat="1" x14ac:dyDescent="0.2">
      <c r="A12" s="9" t="s">
        <v>247</v>
      </c>
      <c r="B12" s="9">
        <v>299.541</v>
      </c>
      <c r="C12" s="9">
        <v>-31346</v>
      </c>
      <c r="D12" s="9">
        <f t="shared" si="3"/>
        <v>-4.0815104166666663</v>
      </c>
      <c r="E12" s="9">
        <v>2.85107</v>
      </c>
      <c r="G12" s="9" t="s">
        <v>210</v>
      </c>
      <c r="J12" s="9" t="s">
        <v>247</v>
      </c>
      <c r="K12" s="9">
        <v>298.50599999999997</v>
      </c>
      <c r="L12" s="9">
        <v>-34335</v>
      </c>
      <c r="M12">
        <f t="shared" si="5"/>
        <v>-4.470703125</v>
      </c>
      <c r="P12">
        <f>(L12-3840*D$25-3840*D$30)/7680</f>
        <v>-0.60494384765624976</v>
      </c>
    </row>
    <row r="13" spans="1:19" x14ac:dyDescent="0.2">
      <c r="A13" s="9" t="s">
        <v>247</v>
      </c>
      <c r="B13" s="9">
        <v>300.55799999999999</v>
      </c>
      <c r="C13" s="9">
        <v>-31344.9</v>
      </c>
      <c r="D13" s="9">
        <f t="shared" si="3"/>
        <v>-4.0813671875000006</v>
      </c>
      <c r="E13" s="9">
        <v>2.85107</v>
      </c>
      <c r="F13" s="9"/>
      <c r="G13" s="9" t="s">
        <v>210</v>
      </c>
      <c r="J13" s="9" t="s">
        <v>247</v>
      </c>
      <c r="K13">
        <v>299.38099999999997</v>
      </c>
      <c r="L13">
        <v>-34334.1</v>
      </c>
      <c r="M13">
        <f t="shared" si="5"/>
        <v>-4.4705859375000001</v>
      </c>
      <c r="P13">
        <f t="shared" ref="P13:P15" si="7">(L13-3840*D$25-3840*D$30)/7680</f>
        <v>-0.60482666015624953</v>
      </c>
    </row>
    <row r="14" spans="1:19" x14ac:dyDescent="0.2">
      <c r="A14" s="9" t="s">
        <v>247</v>
      </c>
      <c r="B14" s="9">
        <v>299.73899999999998</v>
      </c>
      <c r="C14" s="9">
        <v>-31345.7</v>
      </c>
      <c r="D14" s="9">
        <f t="shared" si="3"/>
        <v>-4.0814713541666672</v>
      </c>
      <c r="E14" s="9">
        <v>2.85107</v>
      </c>
      <c r="F14" s="9"/>
      <c r="G14" s="9" t="s">
        <v>210</v>
      </c>
      <c r="J14" s="9" t="s">
        <v>247</v>
      </c>
      <c r="K14">
        <v>298.99900000000002</v>
      </c>
      <c r="L14">
        <v>-34334.5</v>
      </c>
      <c r="M14">
        <f t="shared" si="5"/>
        <v>-4.4706380208333334</v>
      </c>
      <c r="P14">
        <f t="shared" si="7"/>
        <v>-0.60487874348958315</v>
      </c>
    </row>
    <row r="15" spans="1:19" x14ac:dyDescent="0.2">
      <c r="A15" s="9" t="s">
        <v>247</v>
      </c>
      <c r="B15" s="9">
        <v>300.02600000000001</v>
      </c>
      <c r="C15" s="9">
        <v>-31345.5</v>
      </c>
      <c r="D15" s="9">
        <f t="shared" si="3"/>
        <v>-4.0814453124999996</v>
      </c>
      <c r="E15" s="9">
        <v>2.85107</v>
      </c>
      <c r="F15" s="9"/>
      <c r="G15" s="9" t="s">
        <v>210</v>
      </c>
      <c r="H15" s="9">
        <f>AVERAGE(D12:D15)</f>
        <v>-4.0814485677083336</v>
      </c>
      <c r="J15" s="9" t="s">
        <v>247</v>
      </c>
      <c r="K15">
        <v>298.59199999999998</v>
      </c>
      <c r="L15">
        <v>-34334.9</v>
      </c>
      <c r="M15">
        <f t="shared" si="5"/>
        <v>-4.4706901041666667</v>
      </c>
      <c r="P15">
        <f t="shared" si="7"/>
        <v>-0.60493082682291666</v>
      </c>
      <c r="Q15" s="9">
        <f>AVERAGE(P12:P15)</f>
        <v>-0.6048950195312498</v>
      </c>
    </row>
    <row r="16" spans="1:19" x14ac:dyDescent="0.2">
      <c r="A16" s="9" t="s">
        <v>247</v>
      </c>
      <c r="B16" s="9">
        <v>499.82400000000001</v>
      </c>
      <c r="C16" s="9">
        <v>-31129.200000000001</v>
      </c>
      <c r="D16" s="9">
        <f t="shared" si="3"/>
        <v>-4.0532812500000004</v>
      </c>
      <c r="E16" s="9">
        <v>2.8577699999999999</v>
      </c>
      <c r="F16" s="9"/>
      <c r="G16" s="9" t="s">
        <v>210</v>
      </c>
      <c r="J16" s="9" t="s">
        <v>247</v>
      </c>
      <c r="K16">
        <v>497.29</v>
      </c>
      <c r="L16">
        <v>-34123.4</v>
      </c>
      <c r="M16">
        <f t="shared" si="5"/>
        <v>-4.4431510416666669</v>
      </c>
      <c r="P16">
        <f>(L16-3840*D$26-3840*D$31)/7680</f>
        <v>-0.60447672526041696</v>
      </c>
    </row>
    <row r="17" spans="1:17" x14ac:dyDescent="0.2">
      <c r="A17" s="9" t="s">
        <v>247</v>
      </c>
      <c r="B17" s="9">
        <v>501.02699999999999</v>
      </c>
      <c r="C17" s="9">
        <v>-31127.9</v>
      </c>
      <c r="D17" s="9">
        <f t="shared" si="3"/>
        <v>-4.0531119791666672</v>
      </c>
      <c r="E17" s="9">
        <v>2.8577699999999999</v>
      </c>
      <c r="F17" s="9"/>
      <c r="G17" s="9" t="s">
        <v>210</v>
      </c>
      <c r="J17" s="9" t="s">
        <v>247</v>
      </c>
      <c r="K17">
        <v>498.26100000000002</v>
      </c>
      <c r="L17">
        <v>-34122.400000000001</v>
      </c>
      <c r="M17">
        <f t="shared" si="5"/>
        <v>-4.4430208333333336</v>
      </c>
      <c r="P17">
        <f t="shared" ref="P17:P19" si="8">(L17-3840*D$26-3840*D$31)/7680</f>
        <v>-0.60434651692708363</v>
      </c>
    </row>
    <row r="18" spans="1:17" x14ac:dyDescent="0.2">
      <c r="A18" s="9" t="s">
        <v>247</v>
      </c>
      <c r="B18" s="9">
        <v>499.72800000000001</v>
      </c>
      <c r="C18" s="9">
        <v>-31129.3</v>
      </c>
      <c r="D18" s="9">
        <f t="shared" si="3"/>
        <v>-4.0532942708333328</v>
      </c>
      <c r="E18" s="9">
        <v>2.8577699999999999</v>
      </c>
      <c r="F18" s="9"/>
      <c r="G18" s="9" t="s">
        <v>210</v>
      </c>
      <c r="J18" s="9" t="s">
        <v>247</v>
      </c>
      <c r="K18">
        <v>497.80399999999997</v>
      </c>
      <c r="L18">
        <v>-34122.9</v>
      </c>
      <c r="M18">
        <f t="shared" si="5"/>
        <v>-4.4430859375000002</v>
      </c>
      <c r="P18">
        <f t="shared" si="8"/>
        <v>-0.60441162109375024</v>
      </c>
    </row>
    <row r="19" spans="1:17" x14ac:dyDescent="0.2">
      <c r="A19" s="9" t="s">
        <v>247</v>
      </c>
      <c r="B19" s="9">
        <v>499.76499999999999</v>
      </c>
      <c r="C19" s="9">
        <v>-31129.3</v>
      </c>
      <c r="D19" s="9">
        <f t="shared" si="3"/>
        <v>-4.0532942708333328</v>
      </c>
      <c r="E19" s="9">
        <v>2.8577699999999999</v>
      </c>
      <c r="F19" s="9"/>
      <c r="G19" s="9" t="s">
        <v>210</v>
      </c>
      <c r="H19" s="9">
        <f>AVERAGE(D16:D19)</f>
        <v>-4.0532454427083335</v>
      </c>
      <c r="J19" s="9" t="s">
        <v>247</v>
      </c>
      <c r="K19">
        <v>498.6</v>
      </c>
      <c r="L19">
        <v>-34122</v>
      </c>
      <c r="M19">
        <f t="shared" si="5"/>
        <v>-4.4429687500000004</v>
      </c>
      <c r="P19">
        <f t="shared" si="8"/>
        <v>-0.60429443359375012</v>
      </c>
      <c r="Q19" s="9">
        <f>AVERAGE(P16:P19)</f>
        <v>-0.60438232421875027</v>
      </c>
    </row>
    <row r="22" spans="1:17" x14ac:dyDescent="0.2">
      <c r="A22" t="s">
        <v>7</v>
      </c>
      <c r="N22" s="5"/>
      <c r="O22" s="5"/>
    </row>
    <row r="23" spans="1:17" x14ac:dyDescent="0.2">
      <c r="A23">
        <v>0</v>
      </c>
      <c r="B23">
        <v>0</v>
      </c>
      <c r="C23">
        <v>-17799.9996637</v>
      </c>
      <c r="D23">
        <f>C23/4000</f>
        <v>-4.4499999159249999</v>
      </c>
      <c r="E23">
        <v>43618.855000000003</v>
      </c>
      <c r="F23">
        <f>(E23^(1/3))/10</f>
        <v>3.5201250117017246</v>
      </c>
      <c r="K23">
        <v>100</v>
      </c>
      <c r="L23">
        <v>-8995.68</v>
      </c>
      <c r="M23">
        <v>-4.4978400000000001</v>
      </c>
      <c r="N23">
        <v>22809.599999999999</v>
      </c>
      <c r="O23">
        <v>2.8359978011220015</v>
      </c>
      <c r="P23">
        <v>-0.60577701171875009</v>
      </c>
    </row>
    <row r="24" spans="1:17" x14ac:dyDescent="0.2">
      <c r="A24">
        <v>100</v>
      </c>
      <c r="B24">
        <v>99.838700000000003</v>
      </c>
      <c r="C24">
        <v>-9086.9</v>
      </c>
      <c r="D24">
        <f>C24/2048</f>
        <v>-4.4369628906249998</v>
      </c>
      <c r="E24">
        <v>22380.6</v>
      </c>
      <c r="F24">
        <f>(E24^(1/3))/8</f>
        <v>3.5226318282089975</v>
      </c>
    </row>
    <row r="25" spans="1:17" x14ac:dyDescent="0.2">
      <c r="A25">
        <v>300</v>
      </c>
      <c r="B25">
        <v>299.58100000000002</v>
      </c>
      <c r="C25">
        <v>-9032.2800000000007</v>
      </c>
      <c r="D25">
        <f t="shared" ref="D25:D26" si="9">C25/2048</f>
        <v>-4.4102929687500003</v>
      </c>
      <c r="E25">
        <v>22487.3</v>
      </c>
      <c r="F25">
        <f t="shared" ref="F25:F26" si="10">(E25^(1/3))/8</f>
        <v>3.528221030144949</v>
      </c>
    </row>
    <row r="26" spans="1:17" x14ac:dyDescent="0.2">
      <c r="A26">
        <v>500</v>
      </c>
      <c r="B26">
        <v>498.27199999999999</v>
      </c>
      <c r="C26">
        <v>-8976.0499999999993</v>
      </c>
      <c r="D26">
        <f t="shared" si="9"/>
        <v>-4.3828369140624996</v>
      </c>
      <c r="E26">
        <v>22603.599999999999</v>
      </c>
      <c r="F26">
        <f t="shared" si="10"/>
        <v>3.5342930018060605</v>
      </c>
    </row>
    <row r="27" spans="1:17" x14ac:dyDescent="0.2">
      <c r="A27" t="s">
        <v>8</v>
      </c>
      <c r="J27">
        <v>111</v>
      </c>
      <c r="K27">
        <v>0</v>
      </c>
      <c r="L27">
        <v>-34790.643201799998</v>
      </c>
      <c r="M27">
        <f>L27/7791</f>
        <v>-4.4654913620587857</v>
      </c>
      <c r="N27">
        <v>40.050387999999998</v>
      </c>
      <c r="O27">
        <v>40.050387999999998</v>
      </c>
      <c r="P27">
        <v>28.319901000000002</v>
      </c>
      <c r="Q27">
        <f>(L27-3851*D23-3940*D28)/7791</f>
        <v>-0.56671718308866958</v>
      </c>
    </row>
    <row r="28" spans="1:17" x14ac:dyDescent="0.2">
      <c r="A28">
        <v>0</v>
      </c>
      <c r="B28">
        <v>0</v>
      </c>
      <c r="C28">
        <v>-13439.999951399999</v>
      </c>
      <c r="D28">
        <f>C28/4000</f>
        <v>-3.3599999878499998</v>
      </c>
      <c r="E28">
        <v>66430.125</v>
      </c>
      <c r="F28">
        <f>(E28^(1/3))/10</f>
        <v>4.0499999999999989</v>
      </c>
    </row>
    <row r="29" spans="1:17" x14ac:dyDescent="0.2">
      <c r="A29">
        <v>100</v>
      </c>
      <c r="B29">
        <v>99.730699999999999</v>
      </c>
      <c r="C29">
        <v>-6854.99</v>
      </c>
      <c r="D29">
        <f>C29/2048</f>
        <v>-3.3471630859374999</v>
      </c>
      <c r="E29">
        <v>34116.699999999997</v>
      </c>
      <c r="F29">
        <f>(E29^(1/3))/8</f>
        <v>4.0541425821352464</v>
      </c>
    </row>
    <row r="30" spans="1:17" x14ac:dyDescent="0.2">
      <c r="A30">
        <v>300</v>
      </c>
      <c r="B30">
        <v>299.81200000000001</v>
      </c>
      <c r="C30">
        <v>-6801.87</v>
      </c>
      <c r="D30">
        <f t="shared" ref="D30:D31" si="11">C30/2048</f>
        <v>-3.3212255859374999</v>
      </c>
      <c r="E30">
        <v>34393.1</v>
      </c>
      <c r="F30">
        <f t="shared" ref="F30:F31" si="12">(E30^(1/3))/8</f>
        <v>4.0650615009453048</v>
      </c>
    </row>
    <row r="31" spans="1:17" x14ac:dyDescent="0.2">
      <c r="A31">
        <v>500</v>
      </c>
      <c r="B31">
        <v>495.89400000000001</v>
      </c>
      <c r="C31">
        <v>-6747.16</v>
      </c>
      <c r="D31">
        <f t="shared" si="11"/>
        <v>-3.2945117187499999</v>
      </c>
      <c r="E31">
        <v>34726.5</v>
      </c>
      <c r="F31">
        <f t="shared" si="12"/>
        <v>4.078154588678613</v>
      </c>
    </row>
    <row r="33" spans="1:14" x14ac:dyDescent="0.2">
      <c r="A33" t="s">
        <v>189</v>
      </c>
    </row>
    <row r="34" spans="1:14" x14ac:dyDescent="0.2">
      <c r="A34" s="4" t="s">
        <v>32</v>
      </c>
      <c r="B34" s="4"/>
      <c r="C34" s="4">
        <v>-86136</v>
      </c>
      <c r="D34" s="4">
        <f>C34/20000</f>
        <v>-4.3068</v>
      </c>
      <c r="E34" s="4">
        <f>C34-10000*$D$5-5000*$D$24-5000*$D$29</f>
        <v>-6124.2701171875087</v>
      </c>
      <c r="F34" s="4">
        <f>E34/20000</f>
        <v>-0.30621350585937546</v>
      </c>
      <c r="G34" s="4">
        <f>(E34-$P$23*10000)</f>
        <v>-66.500000000008185</v>
      </c>
      <c r="H34" s="4">
        <f>(E34-$P$23*10000)/20000</f>
        <v>-3.3250000000004092E-3</v>
      </c>
      <c r="I34" s="4">
        <f>2*(40.2981*40.2981)</f>
        <v>3247.8737272199996</v>
      </c>
      <c r="J34" s="4">
        <f>H34/I34</f>
        <v>-1.0237466968416981E-6</v>
      </c>
      <c r="K34" s="4">
        <f>G34/I34</f>
        <v>-2.0474933936833962E-2</v>
      </c>
      <c r="L34" s="4">
        <f>K34*16.02</f>
        <v>-0.32800844166808008</v>
      </c>
      <c r="M34" s="4" t="s">
        <v>86</v>
      </c>
      <c r="N34" s="4"/>
    </row>
    <row r="35" spans="1:14" x14ac:dyDescent="0.2">
      <c r="A35" s="4" t="s">
        <v>102</v>
      </c>
      <c r="B35" s="4"/>
      <c r="C35" s="4">
        <v>-86036.6</v>
      </c>
      <c r="D35" s="4">
        <f t="shared" ref="D35:D36" si="13">C35/20000</f>
        <v>-4.3018300000000007</v>
      </c>
      <c r="E35" s="4">
        <f>C35-10200*$D$5-4800*$D$24-5000*$D$29</f>
        <v>-6090.4406953125144</v>
      </c>
      <c r="F35" s="4">
        <f t="shared" ref="F35:F36" si="14">E35/20000</f>
        <v>-0.30452203476562573</v>
      </c>
      <c r="G35" s="4">
        <f>(E35-$P$23*9800)</f>
        <v>-153.82598046876319</v>
      </c>
      <c r="H35" s="4">
        <f>(E35-$P$23*98000)/20000</f>
        <v>2.6637853226562496</v>
      </c>
      <c r="I35" s="4">
        <f>2*(40.2974*40.2974)</f>
        <v>3247.7608935200005</v>
      </c>
      <c r="J35" s="4">
        <f t="shared" ref="J35:J36" si="15">H35/I35</f>
        <v>8.2019132873084621E-4</v>
      </c>
      <c r="K35" s="4">
        <f t="shared" ref="K35:K36" si="16">G35/I35</f>
        <v>-4.7363702412846945E-2</v>
      </c>
      <c r="L35" s="4">
        <f t="shared" ref="L35:L36" si="17">K35*16.02</f>
        <v>-0.75876651265380801</v>
      </c>
      <c r="M35" s="4" t="s">
        <v>197</v>
      </c>
      <c r="N35" s="4" t="s">
        <v>194</v>
      </c>
    </row>
    <row r="36" spans="1:14" x14ac:dyDescent="0.2">
      <c r="A36" s="4" t="s">
        <v>104</v>
      </c>
      <c r="B36" s="4"/>
      <c r="C36" s="4">
        <v>-86079.2</v>
      </c>
      <c r="D36" s="4">
        <f t="shared" si="13"/>
        <v>-4.30396</v>
      </c>
      <c r="E36" s="4">
        <f>C36-10200*$D$5-5000*$D$24-4800*$D$29</f>
        <v>-5915.0807343750057</v>
      </c>
      <c r="F36" s="4">
        <f t="shared" si="14"/>
        <v>-0.29575403671875028</v>
      </c>
      <c r="G36" s="4">
        <f>(E36-$P$23*9800)</f>
        <v>21.53398046874554</v>
      </c>
      <c r="H36" s="4">
        <f>(E36-$P$23*98000)/20000</f>
        <v>2.6725533207031251</v>
      </c>
      <c r="I36" s="4">
        <f>2*(40.3036*40.3036)</f>
        <v>3248.7603459200004</v>
      </c>
      <c r="J36" s="4">
        <f t="shared" si="15"/>
        <v>8.2263787910963869E-4</v>
      </c>
      <c r="K36" s="4">
        <f t="shared" si="16"/>
        <v>6.6283684162142895E-3</v>
      </c>
      <c r="L36" s="4">
        <f t="shared" si="17"/>
        <v>0.10618646202775292</v>
      </c>
      <c r="M36" s="4" t="s">
        <v>198</v>
      </c>
      <c r="N36" s="4" t="s">
        <v>195</v>
      </c>
    </row>
    <row r="37" spans="1:1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>
        <f>AVERAGE(L35:L36)</f>
        <v>-0.32629002531302753</v>
      </c>
      <c r="M37" s="4"/>
      <c r="N37" s="4"/>
    </row>
    <row r="38" spans="1:14" x14ac:dyDescent="0.2">
      <c r="A38" s="4" t="s">
        <v>87</v>
      </c>
      <c r="B38" s="4"/>
      <c r="C38" s="4">
        <v>-55126.8</v>
      </c>
      <c r="D38" s="4">
        <f>C38/12800</f>
        <v>-4.3067812500000002</v>
      </c>
      <c r="E38" s="4">
        <f>C38-6400*$D$5-3200*$D$24-3200*$D$29</f>
        <v>-3919.2928750000065</v>
      </c>
      <c r="F38" s="4">
        <f>E38/12800</f>
        <v>-0.3061947558593755</v>
      </c>
      <c r="G38" s="4">
        <f>(E38-$P$23*6400)</f>
        <v>-42.320000000006075</v>
      </c>
      <c r="H38" s="4">
        <f>(E38-$P$23*6400)/12800</f>
        <v>-3.3062500000004746E-3</v>
      </c>
      <c r="I38" s="4">
        <f>2*(32.2384*32.2384)</f>
        <v>2078.6288691199998</v>
      </c>
      <c r="J38" s="4">
        <f>H38/I38</f>
        <v>-1.5905917834193247E-6</v>
      </c>
      <c r="K38" s="4">
        <f>G38/I38</f>
        <v>-2.0359574827767356E-2</v>
      </c>
      <c r="L38" s="4">
        <f>K38*16.02</f>
        <v>-0.32616038874083303</v>
      </c>
      <c r="M38" s="4" t="s">
        <v>86</v>
      </c>
      <c r="N38" s="4"/>
    </row>
    <row r="39" spans="1:14" x14ac:dyDescent="0.2">
      <c r="A39" s="4" t="s">
        <v>89</v>
      </c>
      <c r="B39" s="4"/>
      <c r="C39" s="4">
        <v>-66143.5</v>
      </c>
      <c r="D39" s="4">
        <f>C39/15360</f>
        <v>-4.3062174479166666</v>
      </c>
      <c r="E39" s="4">
        <f>C39-7680*$D$5-3840*$D$24-3840*$D$29</f>
        <v>-4694.4914500000068</v>
      </c>
      <c r="F39" s="4">
        <f>E39/15360</f>
        <v>-0.3056309537760421</v>
      </c>
      <c r="G39" s="4">
        <f>(E39-$P$23*7680)</f>
        <v>-42.124000000006163</v>
      </c>
      <c r="H39" s="4">
        <f>(E39-$P$23*7680)/15360</f>
        <v>-2.7424479166670681E-3</v>
      </c>
      <c r="I39" s="4">
        <f>2*(32.2351*32.2351)</f>
        <v>2078.2033440200003</v>
      </c>
      <c r="J39" s="4">
        <f>H39/I39</f>
        <v>-1.319624436443345E-6</v>
      </c>
      <c r="K39" s="4">
        <f>G39/I39</f>
        <v>-2.0269431343769781E-2</v>
      </c>
      <c r="L39" s="4">
        <f>K39*16.02</f>
        <v>-0.32471629012719189</v>
      </c>
      <c r="M39" s="4" t="s">
        <v>199</v>
      </c>
      <c r="N39" s="4"/>
    </row>
    <row r="40" spans="1:1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t="s">
        <v>92</v>
      </c>
      <c r="C41">
        <v>-85034</v>
      </c>
      <c r="D41">
        <f>C41/19800</f>
        <v>-4.2946464646464646</v>
      </c>
      <c r="E41">
        <f>C41-9880*$D$5-4980*$D$24-4940*$D$29</f>
        <v>-5804.9323601562537</v>
      </c>
      <c r="F41">
        <f>E41/19800</f>
        <v>-0.29317840202809364</v>
      </c>
      <c r="G41">
        <f>(E41-$P$23*9920)</f>
        <v>204.37559609374694</v>
      </c>
      <c r="H41">
        <f>(E41-$P$23*9920)/19800</f>
        <v>1.0321999802714492E-2</v>
      </c>
      <c r="I41">
        <f>2*(40.1755*28.4029)</f>
        <v>2282.2014178999998</v>
      </c>
      <c r="J41">
        <f>H41/I41</f>
        <v>4.5228259529399586E-6</v>
      </c>
      <c r="K41">
        <f>G41/I41</f>
        <v>8.9551953868211187E-2</v>
      </c>
      <c r="L41">
        <f>K41*16.02</f>
        <v>1.4346223009687431</v>
      </c>
    </row>
    <row r="42" spans="1:14" x14ac:dyDescent="0.2">
      <c r="A42" t="s">
        <v>94</v>
      </c>
      <c r="C42">
        <v>-68254.899999999994</v>
      </c>
      <c r="D42">
        <f>C42/15880</f>
        <v>-4.2981675062972284</v>
      </c>
      <c r="E42">
        <f>C42-7940*$D$5-3980*$D$24-3960*$D$29</f>
        <v>-4714.688474999999</v>
      </c>
      <c r="F42">
        <f>E42/15880</f>
        <v>-0.29689474023929463</v>
      </c>
      <c r="G42">
        <f>(E42-$P$23*7940)</f>
        <v>95.180998046876994</v>
      </c>
      <c r="H42">
        <f>(E42-$P$23*7940)/15880</f>
        <v>5.9937656200804148E-3</v>
      </c>
      <c r="I42">
        <f>2*(40.1986*28.3987)</f>
        <v>2283.1759636400002</v>
      </c>
      <c r="J42">
        <f>H42/I42</f>
        <v>2.6251877715656796E-6</v>
      </c>
      <c r="K42">
        <f>G42/I42</f>
        <v>4.1687981812462992E-2</v>
      </c>
      <c r="L42">
        <f>K42*16.02</f>
        <v>0.66784146863565708</v>
      </c>
    </row>
    <row r="43" spans="1:14" x14ac:dyDescent="0.2">
      <c r="A43" s="2" t="s">
        <v>201</v>
      </c>
      <c r="C43">
        <v>-43555.199999999997</v>
      </c>
      <c r="D43">
        <f>C43/10136</f>
        <v>-4.2970797158642462</v>
      </c>
      <c r="E43">
        <f>C43-5064*$D$5-2544*$D$24-2528*$D$29</f>
        <v>-2997.4050850000003</v>
      </c>
      <c r="F43">
        <f>E43/10136</f>
        <v>-0.29571873372138913</v>
      </c>
      <c r="G43">
        <f>(E43-$P$23*5072)</f>
        <v>75.095918437500131</v>
      </c>
      <c r="H43">
        <f>(E43-$P$23*5072)/10136</f>
        <v>7.4088317321921995E-3</v>
      </c>
      <c r="I43">
        <f>2*(32.0888*22.7123)</f>
        <v>1457.6209044799998</v>
      </c>
      <c r="J43">
        <f>H43/I43</f>
        <v>5.0828248342358054E-6</v>
      </c>
      <c r="K43">
        <f>G43/I43</f>
        <v>5.1519512519814119E-2</v>
      </c>
      <c r="L43">
        <f>K43*16.02</f>
        <v>0.82534259056742221</v>
      </c>
    </row>
    <row r="44" spans="1:14" x14ac:dyDescent="0.2">
      <c r="A44" s="2" t="s">
        <v>97</v>
      </c>
      <c r="C44">
        <v>-68177</v>
      </c>
      <c r="D44">
        <f>C44/15880</f>
        <v>-4.2932619647355166</v>
      </c>
      <c r="E44">
        <f>C44-8140*$D$5-3880*$D$24-3860*$D$29</f>
        <v>-4593.3790726562547</v>
      </c>
      <c r="F44">
        <f>E44/15880</f>
        <v>-0.28925560910933595</v>
      </c>
      <c r="G44">
        <f>(E44-$P$23*7740)</f>
        <v>95.334998046871078</v>
      </c>
      <c r="H44">
        <f>(E44-$P$23*7740)/15880</f>
        <v>6.0034633530775235E-3</v>
      </c>
      <c r="I44">
        <f>2*(40.2018*28.4016)</f>
        <v>2283.5908857599998</v>
      </c>
      <c r="J44">
        <f>H44/I44</f>
        <v>2.6289574855609552E-6</v>
      </c>
      <c r="K44">
        <f>G44/I44</f>
        <v>4.174784487070797E-2</v>
      </c>
      <c r="L44">
        <f>K44*16.02</f>
        <v>0.66880047482874172</v>
      </c>
    </row>
    <row r="45" spans="1:14" x14ac:dyDescent="0.2">
      <c r="A45" s="2" t="s">
        <v>99</v>
      </c>
      <c r="C45">
        <v>-68099.100000000006</v>
      </c>
      <c r="D45">
        <f>C45/15880</f>
        <v>-4.2883564231738038</v>
      </c>
      <c r="E45">
        <f>C45-8340*$D$5-3780*$D$24-3760*$D$29</f>
        <v>-4472.0696703125104</v>
      </c>
      <c r="F45">
        <f>E45/15880</f>
        <v>-0.28161647797937722</v>
      </c>
      <c r="G45">
        <f>(E45-$P$23*7540)</f>
        <v>95.488998046865163</v>
      </c>
      <c r="H45">
        <f>(E45-$P$23*7540)/15880</f>
        <v>6.0131610860746322E-3</v>
      </c>
      <c r="I45">
        <f>2*(40.205*28.4043)</f>
        <v>2283.989763</v>
      </c>
      <c r="J45">
        <f>H45/I45</f>
        <v>2.6327443246402291E-6</v>
      </c>
      <c r="K45">
        <f>G45/I45</f>
        <v>4.1807979875286838E-2</v>
      </c>
      <c r="L45">
        <f>K45*16.02</f>
        <v>0.66976383760209512</v>
      </c>
    </row>
    <row r="46" spans="1:14" x14ac:dyDescent="0.2">
      <c r="A46" s="2"/>
    </row>
    <row r="47" spans="1:14" x14ac:dyDescent="0.2">
      <c r="A47" s="2" t="s">
        <v>191</v>
      </c>
      <c r="C47">
        <v>-63263.8</v>
      </c>
      <c r="D47">
        <f>C47/14720</f>
        <v>-4.2978125</v>
      </c>
      <c r="E47">
        <f>C47-7360*$D$5-3680*$D$24-3680*$D$29</f>
        <v>-4375.1668062500048</v>
      </c>
      <c r="F47">
        <f>E47/14720</f>
        <v>-0.29722600585937531</v>
      </c>
      <c r="G47">
        <f>(E47-$P$23*7360)</f>
        <v>83.351999999996224</v>
      </c>
      <c r="H47">
        <f>(E47-$P$23*7360)/14720</f>
        <v>5.6624999999997433E-3</v>
      </c>
      <c r="I47">
        <f>2*(32.0885*22.7122)</f>
        <v>1457.6008594000002</v>
      </c>
      <c r="J47">
        <f>H47/I47</f>
        <v>3.8848083571593305E-6</v>
      </c>
      <c r="K47">
        <f>G47/I47</f>
        <v>5.7184379017385351E-2</v>
      </c>
      <c r="L47">
        <f>K47*16.02</f>
        <v>0.91609375185851327</v>
      </c>
    </row>
    <row r="48" spans="1:14" x14ac:dyDescent="0.2">
      <c r="A48" s="2" t="s">
        <v>202</v>
      </c>
      <c r="C48">
        <v>-67336.3</v>
      </c>
      <c r="D48">
        <f>C48/15640</f>
        <v>-4.3053900255754476</v>
      </c>
      <c r="E48">
        <f>C48-7728*$D$5-3952*$D$24-3960*$D$29</f>
        <v>-4791.4547559375096</v>
      </c>
      <c r="F48">
        <f>E48/15640</f>
        <v>-0.30635899974024999</v>
      </c>
      <c r="G48">
        <f>(E48-$P$23*7912)</f>
        <v>1.4529607812410177</v>
      </c>
      <c r="H48">
        <f>(E48-$P$23*7912)/15640</f>
        <v>9.2900305705947422E-5</v>
      </c>
      <c r="I48">
        <f>2*(46.3135*22.7381)</f>
        <v>2106.1619886999997</v>
      </c>
      <c r="J48">
        <f>H48/I48</f>
        <v>4.410881318928792E-8</v>
      </c>
      <c r="K48">
        <f>G48/I48</f>
        <v>6.8986183828046311E-4</v>
      </c>
      <c r="L48">
        <f>K48*16.02</f>
        <v>1.1051586649253018E-2</v>
      </c>
    </row>
    <row r="49" spans="1:14" x14ac:dyDescent="0.2">
      <c r="A49" s="2"/>
    </row>
    <row r="50" spans="1:14" x14ac:dyDescent="0.2">
      <c r="A50" s="2" t="s">
        <v>203</v>
      </c>
      <c r="C50">
        <v>-68767.899999999994</v>
      </c>
      <c r="D50">
        <f>C50/16000</f>
        <v>-4.2979937499999998</v>
      </c>
      <c r="E50">
        <f>C50-8400*$D$5-3800*$D$24-3800*$D$29</f>
        <v>-4671.6972890624966</v>
      </c>
      <c r="F50">
        <f>E50/16000</f>
        <v>-0.29198108056640604</v>
      </c>
      <c r="G50">
        <f>(E50-$P$23*7600)</f>
        <v>-67.791999999995824</v>
      </c>
      <c r="H50">
        <f>(E50-$P$23*7600)/16000</f>
        <v>-4.2369999999997392E-3</v>
      </c>
      <c r="I50">
        <f>2*(40.2661*28.4349)</f>
        <v>2289.9250537799999</v>
      </c>
      <c r="J50">
        <f>H50/I50</f>
        <v>-1.8502788958117581E-6</v>
      </c>
      <c r="K50">
        <f>G50/I50</f>
        <v>-2.9604462332988128E-2</v>
      </c>
      <c r="L50">
        <f>K50*16.02</f>
        <v>-0.47426348657446982</v>
      </c>
    </row>
    <row r="51" spans="1:14" x14ac:dyDescent="0.2">
      <c r="A51" s="2" t="s">
        <v>206</v>
      </c>
      <c r="C51">
        <v>-68845.600000000006</v>
      </c>
      <c r="D51">
        <f>C51/16000</f>
        <v>-4.3028500000000003</v>
      </c>
      <c r="E51">
        <f>C51-8200*$D$5-3900*$D$24-3900*$D$29</f>
        <v>-4792.8066914062583</v>
      </c>
      <c r="F51">
        <f>E51/16000</f>
        <v>-0.29955041821289113</v>
      </c>
      <c r="G51">
        <f>(E51-$P$23*7800)</f>
        <v>-67.746000000007371</v>
      </c>
      <c r="H51">
        <f>(E51-$P$23*7800)/16000</f>
        <v>-4.2341250000004606E-3</v>
      </c>
      <c r="I51">
        <f>2*(40.2629*28.4323)</f>
        <v>2289.5337033400001</v>
      </c>
      <c r="J51">
        <f>H51/I51</f>
        <v>-1.8493394501350501E-6</v>
      </c>
      <c r="K51">
        <f>G51/I51</f>
        <v>-2.9589431202160801E-2</v>
      </c>
      <c r="L51">
        <f>K51*16.02</f>
        <v>-0.47402268785861601</v>
      </c>
    </row>
    <row r="52" spans="1:14" x14ac:dyDescent="0.2">
      <c r="A52" s="2" t="s">
        <v>204</v>
      </c>
      <c r="C52">
        <v>-68767.7</v>
      </c>
      <c r="D52">
        <f>C52/16000</f>
        <v>-4.2979812499999994</v>
      </c>
      <c r="E52">
        <f>C52-8400*$D$5-3800*$D$24-3800*$D$29</f>
        <v>-4671.4972890624995</v>
      </c>
      <c r="F52">
        <f>E52/16000</f>
        <v>-0.29196858056640623</v>
      </c>
      <c r="G52">
        <f>(E52-$P$23*7600)</f>
        <v>-67.591999999998734</v>
      </c>
      <c r="H52">
        <f>(E52-$P$23*7600)/16000</f>
        <v>-4.224499999999921E-3</v>
      </c>
      <c r="I52">
        <f>2*(40.266*28.435)</f>
        <v>2289.92742</v>
      </c>
      <c r="J52">
        <f>H52/I52</f>
        <v>-1.8448182955946793E-6</v>
      </c>
      <c r="K52">
        <f>G52/I52</f>
        <v>-2.9517092729514867E-2</v>
      </c>
      <c r="L52">
        <f>K52*16.02</f>
        <v>-0.47286382552682815</v>
      </c>
    </row>
    <row r="53" spans="1:14" x14ac:dyDescent="0.2">
      <c r="A53" s="2" t="s">
        <v>205</v>
      </c>
      <c r="C53">
        <v>-154728</v>
      </c>
      <c r="D53">
        <f>C53/36000</f>
        <v>-4.298</v>
      </c>
      <c r="E53">
        <f>C53-18900*$D$5-8550*$D$24-8550*$D$29</f>
        <v>-10511.543900390636</v>
      </c>
      <c r="F53">
        <f>E53/36000</f>
        <v>-0.29198733056640658</v>
      </c>
      <c r="G53">
        <f>(E53-$P$23*17100)</f>
        <v>-152.7570000000087</v>
      </c>
      <c r="H53">
        <f>(E53-$P$23*17100)/36000</f>
        <v>-4.2432500000002416E-3</v>
      </c>
      <c r="I53">
        <f>2*(60.3989*42.6526)</f>
        <v>5152.3402442799998</v>
      </c>
      <c r="J53">
        <f>H53/I53</f>
        <v>-8.2355780069280017E-7</v>
      </c>
      <c r="K53">
        <f>G53/I53</f>
        <v>-2.9648080824940807E-2</v>
      </c>
      <c r="L53">
        <f>K53*16.02</f>
        <v>-0.47496225481555171</v>
      </c>
    </row>
    <row r="54" spans="1:14" x14ac:dyDescent="0.2">
      <c r="A54" s="2" t="s">
        <v>207</v>
      </c>
      <c r="C54">
        <v>-87623.7</v>
      </c>
      <c r="D54">
        <f>C54/20400</f>
        <v>-4.2952794117647057</v>
      </c>
      <c r="E54">
        <f>C54-10800*$D$5-4800*$D$24-4800*$D$29</f>
        <v>-5881.5073125000054</v>
      </c>
      <c r="F54">
        <f>E54/20400</f>
        <v>-0.28830918198529437</v>
      </c>
      <c r="G54">
        <f>(E54-$P$23*9600)</f>
        <v>-66.048000000004322</v>
      </c>
      <c r="H54">
        <f>(E54-$P$23*9600)/20400</f>
        <v>-3.2376470588237412E-3</v>
      </c>
      <c r="I54">
        <f>2*(40.2601*28.4455)</f>
        <v>2290.4373491000001</v>
      </c>
      <c r="J54">
        <f>H54/I54</f>
        <v>-1.4135497135933168E-6</v>
      </c>
      <c r="K54">
        <f>G54/I54</f>
        <v>-2.8836414157303664E-2</v>
      </c>
      <c r="L54">
        <f>K54*16.02</f>
        <v>-0.46195935480000472</v>
      </c>
    </row>
    <row r="55" spans="1:14" x14ac:dyDescent="0.2">
      <c r="L55">
        <f>AVERAGE(L50:L54)</f>
        <v>-0.47161432191509406</v>
      </c>
    </row>
    <row r="56" spans="1:14" s="6" customFormat="1" x14ac:dyDescent="0.2">
      <c r="A56" s="6">
        <v>100</v>
      </c>
    </row>
    <row r="57" spans="1:14" x14ac:dyDescent="0.2">
      <c r="A57" s="10" t="s">
        <v>32</v>
      </c>
      <c r="B57">
        <v>99.871399999999994</v>
      </c>
      <c r="C57">
        <v>-66142.899999999994</v>
      </c>
      <c r="D57">
        <f>C57/15360</f>
        <v>-4.3061783854166666</v>
      </c>
      <c r="E57">
        <f>C57-7680*$H$11-3840*$D$24-3840*$D$29</f>
        <v>-4695.4562499999938</v>
      </c>
      <c r="F57">
        <f>E57/15360</f>
        <v>-0.30569376627604128</v>
      </c>
      <c r="G57">
        <f>(E57-$Q$11*7680)</f>
        <v>-46.624999999991815</v>
      </c>
      <c r="H57">
        <f>(E57-$Q$11*7680)/15360</f>
        <v>-3.0354817708328004E-3</v>
      </c>
      <c r="I57">
        <f>2*(32.1937*22.7857 )</f>
        <v>1467.1119801799998</v>
      </c>
      <c r="J57">
        <f t="shared" ref="J57:J62" si="18">H57/I57</f>
        <v>-2.0690184606497298E-6</v>
      </c>
      <c r="K57">
        <f t="shared" ref="K57:K62" si="19">G57/I57</f>
        <v>-3.1780123555579853E-2</v>
      </c>
      <c r="L57">
        <f t="shared" ref="L57:L62" si="20">K57*16.02</f>
        <v>-0.50911757936038926</v>
      </c>
      <c r="M57" t="s">
        <v>210</v>
      </c>
    </row>
    <row r="58" spans="1:14" x14ac:dyDescent="0.2">
      <c r="A58" s="10" t="s">
        <v>87</v>
      </c>
      <c r="B58">
        <v>99.790599999999998</v>
      </c>
      <c r="C58">
        <v>-49598.6</v>
      </c>
      <c r="D58">
        <f>C58/11520</f>
        <v>-4.3054340277777774</v>
      </c>
      <c r="E58">
        <f>C58-5760*$H$11-2880*$D$24-2880*$D$29</f>
        <v>-3513.017187499996</v>
      </c>
      <c r="F58">
        <f>E58/11520</f>
        <v>-0.30494940863715242</v>
      </c>
      <c r="G58">
        <f>(E58-$Q$11*5760)</f>
        <v>-26.39374999999427</v>
      </c>
      <c r="H58">
        <f>(E58-$Q$11*5760)/11520</f>
        <v>-2.2911241319439469E-3</v>
      </c>
      <c r="I58">
        <f>2*(24.1452*17.0893)</f>
        <v>825.24913272000003</v>
      </c>
      <c r="J58">
        <f t="shared" si="18"/>
        <v>-2.7762817809846834E-6</v>
      </c>
      <c r="K58">
        <f t="shared" si="19"/>
        <v>-3.1982766116943555E-2</v>
      </c>
      <c r="L58">
        <f t="shared" si="20"/>
        <v>-0.51236391319343577</v>
      </c>
      <c r="M58" t="s">
        <v>219</v>
      </c>
    </row>
    <row r="59" spans="1:14" x14ac:dyDescent="0.2">
      <c r="A59" s="10" t="s">
        <v>89</v>
      </c>
      <c r="B59">
        <v>99.871799999999993</v>
      </c>
      <c r="C59">
        <v>-67509</v>
      </c>
      <c r="D59">
        <f>C59/15680</f>
        <v>-4.3054209183673473</v>
      </c>
      <c r="E59">
        <f>C59-7840*$H$11-3920*$D$24-3920*$D$29</f>
        <v>-4781.4011718749953</v>
      </c>
      <c r="F59">
        <f>E59/15680</f>
        <v>-0.30493629922672166</v>
      </c>
      <c r="G59">
        <f>(E59-$Q$11*7840)</f>
        <v>-35.719270833325936</v>
      </c>
      <c r="H59">
        <f>(E59-$Q$11*7840)/15680</f>
        <v>-2.2780147215131336E-3</v>
      </c>
      <c r="I59">
        <f>2*(28.1694*19.9375)</f>
        <v>1123.254825</v>
      </c>
      <c r="J59">
        <f t="shared" si="18"/>
        <v>-2.0280480179670125E-6</v>
      </c>
      <c r="K59">
        <f t="shared" si="19"/>
        <v>-3.1799792921722761E-2</v>
      </c>
      <c r="L59">
        <f t="shared" si="20"/>
        <v>-0.50943268260599861</v>
      </c>
      <c r="M59" t="s">
        <v>231</v>
      </c>
      <c r="N59">
        <f>AVERAGE(L57:L59)</f>
        <v>-0.51030472505327451</v>
      </c>
    </row>
    <row r="60" spans="1:14" x14ac:dyDescent="0.2">
      <c r="A60" s="10" t="s">
        <v>32</v>
      </c>
      <c r="B60" t="s">
        <v>268</v>
      </c>
      <c r="C60">
        <v>-66088.2</v>
      </c>
      <c r="D60">
        <f>C60/15360</f>
        <v>-4.3026171875000001</v>
      </c>
      <c r="E60">
        <f>C60-7680*$H$11-3840*$D$24-3840*$D$29</f>
        <v>-4640.7562499999967</v>
      </c>
      <c r="F60">
        <f>E60/15360</f>
        <v>-0.3021325683593748</v>
      </c>
      <c r="G60">
        <f>(E60-$Q$11*7680)</f>
        <v>8.0750000000052751</v>
      </c>
      <c r="H60">
        <f>(E60-$Q$11*7680)/15360</f>
        <v>5.2571614583367681E-4</v>
      </c>
      <c r="I60">
        <f>2*(32.1937*22.7857 )</f>
        <v>1467.1119801799998</v>
      </c>
      <c r="J60">
        <f t="shared" si="18"/>
        <v>3.5833402830585349E-7</v>
      </c>
      <c r="K60">
        <f t="shared" si="19"/>
        <v>5.504010674777909E-3</v>
      </c>
      <c r="L60">
        <f t="shared" si="20"/>
        <v>8.8174251009942098E-2</v>
      </c>
      <c r="M60" t="s">
        <v>210</v>
      </c>
    </row>
    <row r="61" spans="1:14" x14ac:dyDescent="0.2">
      <c r="A61" s="10" t="s">
        <v>87</v>
      </c>
      <c r="B61" t="s">
        <v>268</v>
      </c>
      <c r="C61">
        <v>-49569.599999999999</v>
      </c>
      <c r="D61">
        <f>C61/11520</f>
        <v>-4.3029166666666665</v>
      </c>
      <c r="E61">
        <f>C61-5760*$H$11-2880*$D$24-2880*$D$29</f>
        <v>-3484.017187499996</v>
      </c>
      <c r="F61">
        <f>E61/11520</f>
        <v>-0.3024320475260413</v>
      </c>
      <c r="G61">
        <f>(E61-$Q$11*5760)</f>
        <v>2.6062500000057298</v>
      </c>
      <c r="H61">
        <f>(E61-$Q$11*5760)/11520</f>
        <v>2.2623697916716404E-4</v>
      </c>
      <c r="I61">
        <f>2*(24.1452*17.0893)</f>
        <v>825.24913272000003</v>
      </c>
      <c r="J61">
        <f t="shared" si="18"/>
        <v>2.7414385571238679E-7</v>
      </c>
      <c r="K61">
        <f t="shared" si="19"/>
        <v>3.158137217806696E-3</v>
      </c>
      <c r="L61">
        <f t="shared" si="20"/>
        <v>5.0593358229263266E-2</v>
      </c>
      <c r="M61" t="s">
        <v>219</v>
      </c>
    </row>
    <row r="62" spans="1:14" x14ac:dyDescent="0.2">
      <c r="A62" s="10" t="s">
        <v>89</v>
      </c>
      <c r="B62" t="s">
        <v>268</v>
      </c>
      <c r="C62">
        <v>-67469.5</v>
      </c>
      <c r="D62">
        <f>C62/15680</f>
        <v>-4.3029017857142859</v>
      </c>
      <c r="E62">
        <f>C62-7840*$H$11-3920*$D$24-3920*$D$29</f>
        <v>-4741.9011718749953</v>
      </c>
      <c r="F62">
        <f>E62/15680</f>
        <v>-0.30241716657366041</v>
      </c>
      <c r="G62">
        <f>(E62-$Q$11*7840)</f>
        <v>3.7807291666740639</v>
      </c>
      <c r="H62">
        <f>(E62-$Q$11*7840)/15680</f>
        <v>2.4111793154809081E-4</v>
      </c>
      <c r="I62">
        <f>2*(28.1694*19.9375)</f>
        <v>1123.254825</v>
      </c>
      <c r="J62">
        <f t="shared" si="18"/>
        <v>2.146600452378122E-7</v>
      </c>
      <c r="K62">
        <f t="shared" si="19"/>
        <v>3.3658695093288951E-3</v>
      </c>
      <c r="L62">
        <f t="shared" si="20"/>
        <v>5.3921229539448896E-2</v>
      </c>
      <c r="M62" t="s">
        <v>231</v>
      </c>
      <c r="N62" s="11">
        <f>AVERAGE(L60:L62)</f>
        <v>6.422961292621808E-2</v>
      </c>
    </row>
    <row r="63" spans="1:14" x14ac:dyDescent="0.2">
      <c r="A63">
        <v>300</v>
      </c>
    </row>
    <row r="64" spans="1:14" x14ac:dyDescent="0.2">
      <c r="A64" s="10" t="s">
        <v>32</v>
      </c>
      <c r="B64">
        <v>299.428</v>
      </c>
      <c r="C64">
        <v>-65725.899999999994</v>
      </c>
      <c r="D64">
        <f>C64/15360</f>
        <v>-4.2790299479166665</v>
      </c>
      <c r="E64">
        <f>C64-7680*$H$15-3840*$D$25-3840*$D$30</f>
        <v>-4691.3437499999909</v>
      </c>
      <c r="F64">
        <f>E64/15360</f>
        <v>-0.30542602539062441</v>
      </c>
      <c r="G64">
        <f>(E64-$Q$15*7680)</f>
        <v>-45.749999999992724</v>
      </c>
      <c r="H64">
        <f>(E64-$Q$15*7680)/15360</f>
        <v>-2.9785156249995262E-3</v>
      </c>
      <c r="I64">
        <f>2*(32.2581*22.8314)</f>
        <v>1472.9951686799998</v>
      </c>
      <c r="J64">
        <f t="shared" ref="J64:J69" si="21">H64/I64</f>
        <v>-2.0220810552071759E-6</v>
      </c>
      <c r="K64">
        <f t="shared" ref="K64:K69" si="22">G64/I64</f>
        <v>-3.1059165007982226E-2</v>
      </c>
      <c r="L64">
        <f t="shared" ref="L64:L69" si="23">K64*16.02</f>
        <v>-0.49756782342787526</v>
      </c>
      <c r="M64" t="s">
        <v>210</v>
      </c>
    </row>
    <row r="65" spans="1:14" x14ac:dyDescent="0.2">
      <c r="A65" s="10" t="s">
        <v>102</v>
      </c>
      <c r="B65">
        <v>299.61799999999999</v>
      </c>
      <c r="C65">
        <v>-65725.5</v>
      </c>
      <c r="D65">
        <f>C65/15360</f>
        <v>-4.2790039062499998</v>
      </c>
      <c r="E65">
        <f>C65-7680*$H$15-3840*$D$25-3840*$D$30</f>
        <v>-4690.9437499999967</v>
      </c>
      <c r="F65">
        <f>E65/15360</f>
        <v>-0.3053999837239581</v>
      </c>
      <c r="G65">
        <f>(E65-$Q$15*7680)</f>
        <v>-45.349999999998545</v>
      </c>
      <c r="H65">
        <f>(E65-$Q$15*7680)/15360</f>
        <v>-2.9524739583332384E-3</v>
      </c>
      <c r="I65">
        <f>2*(32.2581*22.8314)</f>
        <v>1472.9951686799998</v>
      </c>
      <c r="J65">
        <f t="shared" si="21"/>
        <v>-2.0044016580034331E-6</v>
      </c>
      <c r="K65">
        <f t="shared" si="22"/>
        <v>-3.0787609466932736E-2</v>
      </c>
      <c r="L65">
        <f t="shared" si="23"/>
        <v>-0.4932175036602624</v>
      </c>
      <c r="M65" t="s">
        <v>210</v>
      </c>
    </row>
    <row r="66" spans="1:14" x14ac:dyDescent="0.2">
      <c r="A66" s="10" t="s">
        <v>87</v>
      </c>
      <c r="B66">
        <v>299.13299999999998</v>
      </c>
      <c r="C66">
        <v>-49286.2</v>
      </c>
      <c r="D66">
        <f>C66/11520</f>
        <v>-4.2783159722222219</v>
      </c>
      <c r="E66">
        <f>C66-5760*$H$15-2880*$D$25-2880*$D$30</f>
        <v>-3510.2828124999924</v>
      </c>
      <c r="F66">
        <f>E66/11520</f>
        <v>-0.30471204969617988</v>
      </c>
      <c r="G66">
        <f>(E66-$Q$15*5760)</f>
        <v>-26.087499999993724</v>
      </c>
      <c r="H66">
        <f>(E66-$Q$15*5760)/11520</f>
        <v>-2.264539930555011E-3</v>
      </c>
      <c r="I66">
        <f>2*(24.1936*17.1235)</f>
        <v>828.55821920000005</v>
      </c>
      <c r="J66">
        <f t="shared" si="21"/>
        <v>-2.7331090055946799E-6</v>
      </c>
      <c r="K66">
        <f t="shared" si="22"/>
        <v>-3.1485415744450712E-2</v>
      </c>
      <c r="L66">
        <f t="shared" si="23"/>
        <v>-0.50439636022610035</v>
      </c>
      <c r="M66" t="s">
        <v>219</v>
      </c>
    </row>
    <row r="67" spans="1:14" x14ac:dyDescent="0.2">
      <c r="A67" s="10" t="s">
        <v>248</v>
      </c>
      <c r="B67">
        <v>299.786</v>
      </c>
      <c r="C67">
        <v>-49285.2</v>
      </c>
      <c r="D67">
        <f>C67/11520</f>
        <v>-4.2782291666666667</v>
      </c>
      <c r="E67">
        <f>C67-5760*$H$15-2880*$D$25-2880*$D$30</f>
        <v>-3509.2828124999924</v>
      </c>
      <c r="F67">
        <f>E67/11520</f>
        <v>-0.30462524414062436</v>
      </c>
      <c r="G67">
        <f>(E67-$Q$15*5760)</f>
        <v>-25.087499999993724</v>
      </c>
      <c r="H67">
        <f>(E67-$Q$15*5760)/11520</f>
        <v>-2.1777343749994553E-3</v>
      </c>
      <c r="I67">
        <f>2*(24.1936*17.1235)</f>
        <v>828.55821920000005</v>
      </c>
      <c r="J67">
        <f t="shared" si="21"/>
        <v>-2.6283420096926063E-6</v>
      </c>
      <c r="K67">
        <f t="shared" si="22"/>
        <v>-3.0278499951658825E-2</v>
      </c>
      <c r="L67">
        <f t="shared" si="23"/>
        <v>-0.48506156922557436</v>
      </c>
      <c r="M67" t="s">
        <v>219</v>
      </c>
    </row>
    <row r="68" spans="1:14" x14ac:dyDescent="0.2">
      <c r="A68" s="10" t="s">
        <v>89</v>
      </c>
      <c r="B68">
        <v>299.22399999999999</v>
      </c>
      <c r="C68">
        <v>-67082.3</v>
      </c>
      <c r="D68">
        <f>C68/15680</f>
        <v>-4.2782079081632656</v>
      </c>
      <c r="E68">
        <f>C68-7840*$H$15-3920*$D$25-3920*$D$30</f>
        <v>-4776.1904947916628</v>
      </c>
      <c r="F68">
        <f>E68/15680</f>
        <v>-0.30460398563722341</v>
      </c>
      <c r="G68">
        <f>(E68-$Q$15*7840)</f>
        <v>-33.813541666664605</v>
      </c>
      <c r="H68">
        <f>(E68-$Q$15*7840)/15680</f>
        <v>-2.1564758715985079E-3</v>
      </c>
      <c r="I68">
        <f>2*(28.2259*19.9774)</f>
        <v>1127.7601893199999</v>
      </c>
      <c r="J68">
        <f t="shared" si="21"/>
        <v>-1.9121759147206533E-6</v>
      </c>
      <c r="K68">
        <f t="shared" si="22"/>
        <v>-2.9982918342819846E-2</v>
      </c>
      <c r="L68">
        <f t="shared" si="23"/>
        <v>-0.48032635185197392</v>
      </c>
      <c r="M68" t="s">
        <v>231</v>
      </c>
    </row>
    <row r="69" spans="1:14" x14ac:dyDescent="0.2">
      <c r="A69" s="10" t="s">
        <v>96</v>
      </c>
      <c r="B69">
        <v>299.57499999999999</v>
      </c>
      <c r="C69">
        <v>-67083</v>
      </c>
      <c r="D69">
        <f>C69/15680</f>
        <v>-4.2782525510204081</v>
      </c>
      <c r="E69">
        <f>C69-7840*$H$15-3920*$D$25-3920*$D$30</f>
        <v>-4776.8904947916599</v>
      </c>
      <c r="F69">
        <f>E69/15680</f>
        <v>-0.30464862849436608</v>
      </c>
      <c r="G69">
        <f>(E69-$Q$15*7840)</f>
        <v>-34.513541666661695</v>
      </c>
      <c r="H69">
        <f>(E69-$Q$15*7840)/15680</f>
        <v>-2.2011187287411796E-3</v>
      </c>
      <c r="I69">
        <f>2*(28.2259*19.9774)</f>
        <v>1127.7601893199999</v>
      </c>
      <c r="J69">
        <f t="shared" si="21"/>
        <v>-1.9517613315188734E-6</v>
      </c>
      <c r="K69">
        <f t="shared" si="22"/>
        <v>-3.0603617678215931E-2</v>
      </c>
      <c r="L69">
        <f t="shared" si="23"/>
        <v>-0.4902699552050192</v>
      </c>
      <c r="M69" t="s">
        <v>231</v>
      </c>
      <c r="N69">
        <f>AVERAGE(L64:L69)</f>
        <v>-0.49180659393280091</v>
      </c>
    </row>
    <row r="70" spans="1:14" x14ac:dyDescent="0.2">
      <c r="A70">
        <v>500</v>
      </c>
    </row>
    <row r="71" spans="1:14" x14ac:dyDescent="0.2">
      <c r="A71" s="10" t="s">
        <v>32</v>
      </c>
      <c r="B71">
        <v>498.84100000000001</v>
      </c>
      <c r="C71">
        <v>-65297</v>
      </c>
      <c r="D71">
        <f>C71/15360</f>
        <v>-4.2511067708333332</v>
      </c>
      <c r="E71">
        <f>C71-7680*$H$19-3840*$D$26-3840*$D$31</f>
        <v>-4687.0562499999978</v>
      </c>
      <c r="F71">
        <f>E71/15360</f>
        <v>-0.3051468912760415</v>
      </c>
      <c r="G71">
        <f>(E71-$Q$19*7680)</f>
        <v>-45.399999999995998</v>
      </c>
      <c r="H71">
        <f>(E71-$Q$19*7680)/15360</f>
        <v>-2.9557291666664062E-3</v>
      </c>
      <c r="I71">
        <f>2*(32.334*22.885)</f>
        <v>1479.9271800000001</v>
      </c>
      <c r="J71">
        <f t="shared" ref="J71:J76" si="24">H71/I71</f>
        <v>-1.9972125700579444E-6</v>
      </c>
      <c r="K71">
        <f t="shared" ref="K71:K76" si="25">G71/I71</f>
        <v>-3.0677185076090022E-2</v>
      </c>
      <c r="L71">
        <f t="shared" ref="L71:L76" si="26">K71*16.02</f>
        <v>-0.49144850491896214</v>
      </c>
      <c r="M71" t="s">
        <v>210</v>
      </c>
    </row>
    <row r="72" spans="1:14" x14ac:dyDescent="0.2">
      <c r="A72" s="10" t="s">
        <v>102</v>
      </c>
      <c r="B72">
        <v>499.14800000000002</v>
      </c>
      <c r="C72">
        <v>-65296.3</v>
      </c>
      <c r="D72">
        <f>C72/15360</f>
        <v>-4.251061197916667</v>
      </c>
      <c r="E72">
        <f>C72-7680*$H$19-3840*$D$26-3840*$D$31</f>
        <v>-4686.3562500000007</v>
      </c>
      <c r="F72">
        <f>E72/15360</f>
        <v>-0.30510131835937504</v>
      </c>
      <c r="G72">
        <f>(E72-$Q$19*7680)</f>
        <v>-44.699999999998909</v>
      </c>
      <c r="H72">
        <f>(E72-$Q$19*7680)/15360</f>
        <v>-2.9101562499999289E-3</v>
      </c>
      <c r="I72">
        <f>2*(32.334*22.885)</f>
        <v>1479.9271800000001</v>
      </c>
      <c r="J72">
        <f t="shared" si="24"/>
        <v>-1.9664185436474846E-6</v>
      </c>
      <c r="K72">
        <f t="shared" si="25"/>
        <v>-3.0204188830425364E-2</v>
      </c>
      <c r="L72">
        <f t="shared" si="26"/>
        <v>-0.4838711050634143</v>
      </c>
      <c r="M72" t="s">
        <v>210</v>
      </c>
    </row>
    <row r="73" spans="1:14" x14ac:dyDescent="0.2">
      <c r="A73" s="10" t="s">
        <v>87</v>
      </c>
      <c r="B73">
        <v>497.80500000000001</v>
      </c>
      <c r="C73">
        <v>-48965.7</v>
      </c>
      <c r="D73">
        <f>C73/11520</f>
        <v>-4.2504947916666662</v>
      </c>
      <c r="E73">
        <f>C73-5760*$H$19-2880*$D$26-2880*$D$31</f>
        <v>-3508.2421874999964</v>
      </c>
      <c r="F73">
        <f>E73/11520</f>
        <v>-0.30453491210937467</v>
      </c>
      <c r="G73">
        <f>(E73-$Q$19*5760)</f>
        <v>-26.999999999994998</v>
      </c>
      <c r="H73">
        <f>(E73-$Q$19*5760)/11520</f>
        <v>-2.3437499999995658E-3</v>
      </c>
      <c r="I73">
        <f>2*(24.2505*17.1638)</f>
        <v>832.46146379999993</v>
      </c>
      <c r="J73">
        <f t="shared" si="24"/>
        <v>-2.8154456415326093E-6</v>
      </c>
      <c r="K73">
        <f t="shared" si="25"/>
        <v>-3.2433933790455657E-2</v>
      </c>
      <c r="L73">
        <f t="shared" si="26"/>
        <v>-0.51959161932309961</v>
      </c>
      <c r="M73" t="s">
        <v>219</v>
      </c>
    </row>
    <row r="74" spans="1:14" x14ac:dyDescent="0.2">
      <c r="A74" s="10" t="s">
        <v>248</v>
      </c>
      <c r="B74">
        <v>499.42700000000002</v>
      </c>
      <c r="C74">
        <v>-48963.5</v>
      </c>
      <c r="D74">
        <f>C74/11520</f>
        <v>-4.2503038194444445</v>
      </c>
      <c r="E74">
        <f>C74-5760*$H$19-2880*$D$26-2880*$D$31</f>
        <v>-3506.0421874999993</v>
      </c>
      <c r="F74">
        <f>E74/11520</f>
        <v>-0.30434393988715269</v>
      </c>
      <c r="G74">
        <f>(E74-$Q$19*5760)</f>
        <v>-24.799999999997908</v>
      </c>
      <c r="H74">
        <f>(E74-$Q$19*5760)/11520</f>
        <v>-2.1527777777775961E-3</v>
      </c>
      <c r="I74">
        <f>2*(24.2505*17.1638)</f>
        <v>832.46146379999993</v>
      </c>
      <c r="J74">
        <f t="shared" si="24"/>
        <v>-2.5860389596302131E-6</v>
      </c>
      <c r="K74">
        <f t="shared" si="25"/>
        <v>-2.9791168814940056E-2</v>
      </c>
      <c r="L74">
        <f t="shared" si="26"/>
        <v>-0.47725452441533966</v>
      </c>
      <c r="M74" t="s">
        <v>219</v>
      </c>
    </row>
    <row r="75" spans="1:14" x14ac:dyDescent="0.2">
      <c r="A75" s="10" t="s">
        <v>89</v>
      </c>
      <c r="B75">
        <v>498.14499999999998</v>
      </c>
      <c r="C75">
        <v>-66646.899999999994</v>
      </c>
      <c r="D75">
        <f>C75/15680</f>
        <v>-4.2504400510204077</v>
      </c>
      <c r="E75">
        <f>C75-7840*$H$19-3920*$D$26-3920*$D$31</f>
        <v>-4774.2490885416573</v>
      </c>
      <c r="F75">
        <f>E75/15680</f>
        <v>-0.3044801714631159</v>
      </c>
      <c r="G75">
        <f>(E75-$Q$19*7840)</f>
        <v>-35.89166666665551</v>
      </c>
      <c r="H75">
        <f>(E75-$Q$19*7840)/15680</f>
        <v>-2.2890093537407852E-3</v>
      </c>
      <c r="I75">
        <f>2*(28.2922*20.0244)</f>
        <v>1133.0686593600001</v>
      </c>
      <c r="J75">
        <f t="shared" si="24"/>
        <v>-2.0201859215077965E-6</v>
      </c>
      <c r="K75">
        <f t="shared" si="25"/>
        <v>-3.1676515249242247E-2</v>
      </c>
      <c r="L75">
        <f t="shared" si="26"/>
        <v>-0.50745777429286076</v>
      </c>
      <c r="M75" t="s">
        <v>231</v>
      </c>
    </row>
    <row r="76" spans="1:14" x14ac:dyDescent="0.2">
      <c r="A76" s="10" t="s">
        <v>96</v>
      </c>
      <c r="B76">
        <v>498.452</v>
      </c>
      <c r="C76">
        <v>-66646.3</v>
      </c>
      <c r="D76">
        <f>C76/15680</f>
        <v>-4.2504017857142857</v>
      </c>
      <c r="E76">
        <f>C76-7840*$H$19-3920*$D$26-3920*$D$31</f>
        <v>-4773.6490885416661</v>
      </c>
      <c r="F76">
        <f>E76/15680</f>
        <v>-0.30444190615699401</v>
      </c>
      <c r="G76">
        <f>(E76-$Q$19*7840)</f>
        <v>-35.291666666664241</v>
      </c>
      <c r="H76">
        <f>(E76-$Q$19*7840)/15680</f>
        <v>-2.250744047618893E-3</v>
      </c>
      <c r="I76">
        <f>2*(28.2922*20.0244)</f>
        <v>1133.0686593600001</v>
      </c>
      <c r="J76">
        <f t="shared" si="24"/>
        <v>-1.9864145292750382E-6</v>
      </c>
      <c r="K76">
        <f t="shared" si="25"/>
        <v>-3.1146979819032597E-2</v>
      </c>
      <c r="L76">
        <f t="shared" si="26"/>
        <v>-0.49897461670090221</v>
      </c>
      <c r="M76" t="s">
        <v>231</v>
      </c>
      <c r="N76">
        <f>AVERAGE(L71:L76)</f>
        <v>-0.49643302411909646</v>
      </c>
    </row>
    <row r="77" spans="1:14" x14ac:dyDescent="0.2">
      <c r="N77">
        <f>STDEV(L71:L76)</f>
        <v>1.5587093596778725E-2</v>
      </c>
    </row>
    <row r="78" spans="1:14" x14ac:dyDescent="0.2">
      <c r="A78" s="10" t="s">
        <v>32</v>
      </c>
      <c r="B78" t="s">
        <v>268</v>
      </c>
      <c r="C78">
        <v>-65246.5</v>
      </c>
      <c r="D78">
        <f>C78/15360</f>
        <v>-4.2478190104166664</v>
      </c>
      <c r="E78">
        <f>C78-7680*$H$19-3840*$D$26-3840*$D$31</f>
        <v>-4636.5562499999978</v>
      </c>
      <c r="F78">
        <f>E78/15360</f>
        <v>-0.30185913085937488</v>
      </c>
      <c r="G78">
        <f>(E78-$Q$19*7680)</f>
        <v>5.1000000000040018</v>
      </c>
      <c r="H78">
        <f>(E78-$Q$19*7680)/15360</f>
        <v>3.3203125000026056E-4</v>
      </c>
      <c r="I78">
        <f>2*(32.334*22.885)</f>
        <v>1479.9271800000001</v>
      </c>
      <c r="J78">
        <f t="shared" ref="J78" si="27">H78/I78</f>
        <v>2.2435647813445829E-7</v>
      </c>
      <c r="K78">
        <f t="shared" ref="K78" si="28">G78/I78</f>
        <v>3.4461155041452794E-3</v>
      </c>
      <c r="L78">
        <f t="shared" ref="L78" si="29">K78*16.02</f>
        <v>5.5206770376407373E-2</v>
      </c>
      <c r="M78" t="s">
        <v>210</v>
      </c>
    </row>
    <row r="79" spans="1:14" x14ac:dyDescent="0.2">
      <c r="A79" s="10" t="s">
        <v>104</v>
      </c>
      <c r="B79" t="s">
        <v>268</v>
      </c>
      <c r="C79">
        <v>-65242.5</v>
      </c>
      <c r="D79">
        <f>C79/15360</f>
        <v>-4.24755859375</v>
      </c>
      <c r="E79">
        <f>C79-7680*$H$19-3840*$D$26-3840*$D$31</f>
        <v>-4632.5562499999978</v>
      </c>
      <c r="F79">
        <f>E79/15360</f>
        <v>-0.30159871419270817</v>
      </c>
      <c r="G79">
        <f>(E79-$Q$19*7680)</f>
        <v>9.1000000000040018</v>
      </c>
      <c r="H79">
        <f>(E79-$Q$19*7680)/15360</f>
        <v>5.9244791666692722E-4</v>
      </c>
      <c r="I79">
        <f>2*(32.334*22.885)</f>
        <v>1479.9271800000001</v>
      </c>
      <c r="J79">
        <f t="shared" ref="J79:J82" si="30">H79/I79</f>
        <v>4.0032234333781691E-7</v>
      </c>
      <c r="K79">
        <f t="shared" ref="K79:K82" si="31">G79/I79</f>
        <v>6.1489511936688671E-3</v>
      </c>
      <c r="L79">
        <f t="shared" ref="L79:L82" si="32">K79*16.02</f>
        <v>9.8506198122575245E-2</v>
      </c>
      <c r="M79" t="s">
        <v>210</v>
      </c>
    </row>
    <row r="80" spans="1:14" x14ac:dyDescent="0.2">
      <c r="A80" s="10" t="s">
        <v>109</v>
      </c>
      <c r="B80" t="s">
        <v>268</v>
      </c>
      <c r="C80">
        <v>-65245.1</v>
      </c>
      <c r="D80">
        <f>C80/15360</f>
        <v>-4.2477278645833332</v>
      </c>
      <c r="E80">
        <f>C80-7680*$H$19-3840*$D$26-3840*$D$31</f>
        <v>-4635.1562499999964</v>
      </c>
      <c r="F80">
        <f>E80/15360</f>
        <v>-0.30176798502604141</v>
      </c>
      <c r="G80">
        <f>(E80-$Q$19*7680)</f>
        <v>6.500000000005457</v>
      </c>
      <c r="H80">
        <f>(E80-$Q$19*7680)/15360</f>
        <v>4.2317708333368859E-4</v>
      </c>
      <c r="I80">
        <f>2*(32.334*22.885)</f>
        <v>1479.9271800000001</v>
      </c>
      <c r="J80">
        <f t="shared" si="30"/>
        <v>2.859445309556978E-7</v>
      </c>
      <c r="K80">
        <f t="shared" si="31"/>
        <v>4.3921079954795184E-3</v>
      </c>
      <c r="L80">
        <f t="shared" si="32"/>
        <v>7.0361570087581884E-2</v>
      </c>
      <c r="M80" t="s">
        <v>210</v>
      </c>
    </row>
    <row r="81" spans="1:14" x14ac:dyDescent="0.2">
      <c r="A81" s="10" t="s">
        <v>111</v>
      </c>
      <c r="B81" t="s">
        <v>268</v>
      </c>
      <c r="C81">
        <v>-65245.3</v>
      </c>
      <c r="D81">
        <f>C81/15360</f>
        <v>-4.2477408854166665</v>
      </c>
      <c r="E81">
        <f>C81-7680*$H$19-3840*$D$26-3840*$D$31</f>
        <v>-4635.3562500000007</v>
      </c>
      <c r="F81">
        <f>E81/15360</f>
        <v>-0.30178100585937506</v>
      </c>
      <c r="G81">
        <f>(E81-$Q$19*7680)</f>
        <v>6.3000000000010914</v>
      </c>
      <c r="H81">
        <f>(E81-$Q$19*7680)/15360</f>
        <v>4.1015625000007105E-4</v>
      </c>
      <c r="I81">
        <f>2*(32.334*22.885)</f>
        <v>1479.9271800000001</v>
      </c>
      <c r="J81">
        <f t="shared" si="30"/>
        <v>2.7714623769533784E-7</v>
      </c>
      <c r="K81">
        <f t="shared" si="31"/>
        <v>4.2569662110003891E-3</v>
      </c>
      <c r="L81">
        <f t="shared" si="32"/>
        <v>6.8196598700226235E-2</v>
      </c>
      <c r="M81" t="s">
        <v>210</v>
      </c>
    </row>
    <row r="82" spans="1:14" x14ac:dyDescent="0.2">
      <c r="A82" s="10" t="s">
        <v>123</v>
      </c>
      <c r="B82" t="s">
        <v>268</v>
      </c>
      <c r="C82">
        <v>-65241.5</v>
      </c>
      <c r="D82">
        <f>C82/15360</f>
        <v>-4.2474934895833334</v>
      </c>
      <c r="E82">
        <f>C82-7680*$H$19-3840*$D$26-3840*$D$31</f>
        <v>-4631.5562499999978</v>
      </c>
      <c r="F82">
        <f>E82/15360</f>
        <v>-0.30153361002604151</v>
      </c>
      <c r="G82">
        <f>(E82-$Q$19*7680)</f>
        <v>10.100000000004002</v>
      </c>
      <c r="H82">
        <f>(E82-$Q$19*7680)/15360</f>
        <v>6.5755208333359387E-4</v>
      </c>
      <c r="I82">
        <f>2*(32.334*22.885)</f>
        <v>1479.9271800000001</v>
      </c>
      <c r="J82">
        <f t="shared" si="30"/>
        <v>4.4431380963865653E-7</v>
      </c>
      <c r="K82">
        <f t="shared" si="31"/>
        <v>6.8246601160497642E-3</v>
      </c>
      <c r="L82">
        <f t="shared" si="32"/>
        <v>0.10933105505911722</v>
      </c>
      <c r="M82" t="s">
        <v>210</v>
      </c>
      <c r="N82" s="11">
        <f>AVERAGE(L78:L82)</f>
        <v>8.0320438469181604E-2</v>
      </c>
    </row>
    <row r="83" spans="1:14" x14ac:dyDescent="0.2">
      <c r="N83">
        <f>STDEV(L78:L82)</f>
        <v>2.263404849092733E-2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opLeftCell="A38" zoomScale="90" zoomScaleNormal="90" zoomScalePageLayoutView="75" workbookViewId="0">
      <selection activeCell="N51" sqref="N51"/>
    </sheetView>
  </sheetViews>
  <sheetFormatPr baseColWidth="10" defaultColWidth="10.6640625" defaultRowHeight="16" x14ac:dyDescent="0.2"/>
  <sheetData>
    <row r="1" spans="1:19" x14ac:dyDescent="0.2">
      <c r="K1" t="s">
        <v>196</v>
      </c>
      <c r="L1" t="s">
        <v>1</v>
      </c>
      <c r="M1" t="s">
        <v>2</v>
      </c>
    </row>
    <row r="2" spans="1:19" x14ac:dyDescent="0.2">
      <c r="A2" t="s">
        <v>138</v>
      </c>
      <c r="B2">
        <v>0</v>
      </c>
      <c r="C2">
        <v>0</v>
      </c>
      <c r="D2">
        <v>-8244.8712527099997</v>
      </c>
      <c r="E2">
        <f>D2/2000</f>
        <v>-4.1224356263550002</v>
      </c>
      <c r="F2">
        <v>23269.753000000001</v>
      </c>
      <c r="G2">
        <f>(F2^(1/3))/10</f>
        <v>2.8549417903874623</v>
      </c>
      <c r="J2" t="s">
        <v>138</v>
      </c>
      <c r="K2">
        <v>0</v>
      </c>
      <c r="L2">
        <v>-4619.1319000000003</v>
      </c>
      <c r="M2">
        <f>L2/1024</f>
        <v>-4.5108709960937503</v>
      </c>
      <c r="P2">
        <f>(L2-512*D22-512*D27)/1024</f>
        <v>-0.60587104420625049</v>
      </c>
    </row>
    <row r="3" spans="1:19" x14ac:dyDescent="0.2">
      <c r="A3" t="s">
        <v>136</v>
      </c>
      <c r="C3">
        <v>-16489.742505400001</v>
      </c>
      <c r="D3">
        <f>C3/4000</f>
        <v>-4.1224356263500006</v>
      </c>
      <c r="E3" s="5">
        <v>40.374972999999997</v>
      </c>
      <c r="F3" s="5">
        <v>40.374972999999997</v>
      </c>
      <c r="G3" s="5">
        <v>28.549416999999998</v>
      </c>
      <c r="I3" t="s">
        <v>137</v>
      </c>
      <c r="S3" t="s">
        <v>221</v>
      </c>
    </row>
    <row r="4" spans="1:19" x14ac:dyDescent="0.2">
      <c r="E4" s="5">
        <f>E3/SQRT(2)</f>
        <v>28.549417198523759</v>
      </c>
      <c r="F4" s="5">
        <f>F3/SQRT(2)</f>
        <v>28.549417198523759</v>
      </c>
      <c r="G4" s="5"/>
      <c r="J4" t="s">
        <v>138</v>
      </c>
      <c r="K4">
        <v>100</v>
      </c>
      <c r="L4">
        <v>-8995.68</v>
      </c>
      <c r="M4">
        <f>L4/2000</f>
        <v>-4.4978400000000001</v>
      </c>
      <c r="N4">
        <v>22809.599999999999</v>
      </c>
      <c r="O4">
        <f>(N4^(1/3))/10</f>
        <v>2.8359978011220015</v>
      </c>
      <c r="P4">
        <f>(L4-1000*D23-1000*D28)/2000</f>
        <v>-0.60577701171875009</v>
      </c>
      <c r="S4" s="5">
        <f>(O4+F5)/2</f>
        <v>2.845370553935</v>
      </c>
    </row>
    <row r="5" spans="1:19" x14ac:dyDescent="0.2">
      <c r="A5">
        <v>100</v>
      </c>
      <c r="B5">
        <v>100.13800000000001</v>
      </c>
      <c r="C5">
        <v>-8218.2199999999993</v>
      </c>
      <c r="D5">
        <v>-4.1091099999999994</v>
      </c>
      <c r="E5">
        <v>23264.9</v>
      </c>
      <c r="F5">
        <v>2.8547433067479986</v>
      </c>
      <c r="J5" t="s">
        <v>138</v>
      </c>
      <c r="K5">
        <v>300</v>
      </c>
      <c r="L5">
        <v>-8942.84</v>
      </c>
      <c r="M5">
        <f t="shared" ref="M5:M6" si="0">L5/2000</f>
        <v>-4.4714200000000002</v>
      </c>
      <c r="N5">
        <v>22999.1</v>
      </c>
      <c r="O5">
        <f t="shared" ref="O5:O6" si="1">(N5^(1/3))/10</f>
        <v>2.8438298854505932</v>
      </c>
      <c r="P5">
        <f>(L5-1000*D24-1000*D29)/2000</f>
        <v>-0.60566072265625004</v>
      </c>
      <c r="S5" s="5">
        <f t="shared" ref="S5:S6" si="2">(O5+F6)/2</f>
        <v>2.8510738201724761</v>
      </c>
    </row>
    <row r="6" spans="1:19" x14ac:dyDescent="0.2">
      <c r="A6">
        <v>300</v>
      </c>
      <c r="B6">
        <v>299.25299999999999</v>
      </c>
      <c r="C6">
        <v>-8162.73</v>
      </c>
      <c r="D6">
        <f>C6/2000</f>
        <v>-4.0813649999999999</v>
      </c>
      <c r="E6">
        <v>23352.400000000001</v>
      </c>
      <c r="F6">
        <f>(E6^(1/3))/10</f>
        <v>2.858317754894359</v>
      </c>
      <c r="J6" t="s">
        <v>138</v>
      </c>
      <c r="K6">
        <v>500</v>
      </c>
      <c r="L6">
        <v>-8887.9599999999991</v>
      </c>
      <c r="M6">
        <f t="shared" si="0"/>
        <v>-4.4439799999999998</v>
      </c>
      <c r="N6">
        <v>23194.7</v>
      </c>
      <c r="O6">
        <f t="shared" si="1"/>
        <v>2.8518690930120454</v>
      </c>
      <c r="P6">
        <f>(L6-1000*D25-1000*D30)/2000</f>
        <v>-0.60530568359374959</v>
      </c>
      <c r="S6" s="5">
        <f t="shared" si="2"/>
        <v>2.8577669245690753</v>
      </c>
    </row>
    <row r="7" spans="1:19" x14ac:dyDescent="0.2">
      <c r="A7">
        <v>500</v>
      </c>
      <c r="B7">
        <v>499.68</v>
      </c>
      <c r="C7">
        <v>-8105.7</v>
      </c>
      <c r="D7">
        <f>C7/2000</f>
        <v>-4.0528500000000003</v>
      </c>
      <c r="E7">
        <v>23483.7</v>
      </c>
      <c r="F7">
        <f>(E7^(1/3))/10</f>
        <v>2.8636647561261053</v>
      </c>
    </row>
    <row r="8" spans="1:19" x14ac:dyDescent="0.2">
      <c r="J8" t="s">
        <v>222</v>
      </c>
      <c r="K8">
        <v>100</v>
      </c>
      <c r="L8">
        <v>-79333.899999999994</v>
      </c>
      <c r="M8">
        <f>L8/17640</f>
        <v>-4.4973866213151927</v>
      </c>
      <c r="N8">
        <v>2.83134</v>
      </c>
      <c r="O8">
        <v>2.84537</v>
      </c>
      <c r="Q8">
        <f>(L8-8820*D$23-8820*D$28)/17640</f>
        <v>-0.60532363303394254</v>
      </c>
      <c r="R8" t="s">
        <v>223</v>
      </c>
    </row>
    <row r="9" spans="1:19" x14ac:dyDescent="0.2">
      <c r="A9" t="s">
        <v>211</v>
      </c>
      <c r="B9">
        <v>100</v>
      </c>
      <c r="C9">
        <v>-72485.100000000006</v>
      </c>
      <c r="D9">
        <f>C9/17640</f>
        <v>-4.1091326530612244</v>
      </c>
      <c r="G9" t="s">
        <v>214</v>
      </c>
      <c r="J9" t="s">
        <v>222</v>
      </c>
      <c r="K9">
        <v>100</v>
      </c>
      <c r="L9">
        <v>-52888.9</v>
      </c>
      <c r="M9">
        <f>L9/11760</f>
        <v>-4.4973554421768709</v>
      </c>
      <c r="O9">
        <v>2.84537</v>
      </c>
      <c r="Q9">
        <f>(L9-5880*D$23-5880*D$28)/11760</f>
        <v>-0.60529245389562103</v>
      </c>
      <c r="R9" t="s">
        <v>224</v>
      </c>
    </row>
    <row r="10" spans="1:19" x14ac:dyDescent="0.2">
      <c r="A10" t="s">
        <v>222</v>
      </c>
      <c r="B10">
        <v>100</v>
      </c>
      <c r="C10">
        <v>-72481.100000000006</v>
      </c>
      <c r="D10">
        <f>C10/17640</f>
        <v>-4.1089058956916107</v>
      </c>
      <c r="E10">
        <v>2.84537</v>
      </c>
      <c r="F10">
        <v>2.8605700000000001</v>
      </c>
      <c r="G10" t="s">
        <v>214</v>
      </c>
      <c r="J10" t="s">
        <v>222</v>
      </c>
      <c r="K10">
        <v>100</v>
      </c>
      <c r="L10">
        <v>-77715</v>
      </c>
      <c r="M10">
        <f>L10/17280</f>
        <v>-4.497395833333333</v>
      </c>
      <c r="O10">
        <v>2.84537</v>
      </c>
      <c r="Q10">
        <f>(L10-8640*D$23-8640*D$28)/17280</f>
        <v>-0.60533284505208329</v>
      </c>
      <c r="R10" t="s">
        <v>225</v>
      </c>
      <c r="S10">
        <f>AVERAGE(Q8:Q10)</f>
        <v>-0.60531631066054892</v>
      </c>
    </row>
    <row r="11" spans="1:19" x14ac:dyDescent="0.2">
      <c r="A11" t="s">
        <v>222</v>
      </c>
      <c r="B11">
        <v>100</v>
      </c>
      <c r="C11">
        <v>-48320.6</v>
      </c>
      <c r="D11">
        <f>C11/11760</f>
        <v>-4.1088945578231293</v>
      </c>
      <c r="E11">
        <v>2.84537</v>
      </c>
      <c r="G11" t="s">
        <v>215</v>
      </c>
      <c r="J11" t="s">
        <v>222</v>
      </c>
      <c r="K11">
        <v>300</v>
      </c>
      <c r="L11">
        <v>-78863</v>
      </c>
      <c r="M11">
        <f>L11/17640</f>
        <v>-4.4706916099773242</v>
      </c>
      <c r="O11">
        <v>2.85107</v>
      </c>
      <c r="Q11">
        <f>(L11-8820*D$24-8820*D$29)/17640</f>
        <v>-0.60493233263357404</v>
      </c>
      <c r="R11" t="s">
        <v>223</v>
      </c>
    </row>
    <row r="12" spans="1:19" x14ac:dyDescent="0.2">
      <c r="A12" t="s">
        <v>222</v>
      </c>
      <c r="B12">
        <v>100</v>
      </c>
      <c r="C12">
        <v>-71001.7</v>
      </c>
      <c r="D12">
        <f>C12/17280</f>
        <v>-4.1088946759259262</v>
      </c>
      <c r="E12">
        <v>2.84537</v>
      </c>
      <c r="G12" t="s">
        <v>219</v>
      </c>
      <c r="H12">
        <f>AVERAGE(D10:D12)</f>
        <v>-4.108898376480222</v>
      </c>
      <c r="J12" t="s">
        <v>222</v>
      </c>
      <c r="K12">
        <v>300</v>
      </c>
      <c r="L12">
        <v>-52575.6</v>
      </c>
      <c r="M12">
        <f>L12/11760</f>
        <v>-4.4707142857142852</v>
      </c>
      <c r="O12">
        <v>2.85107</v>
      </c>
      <c r="Q12">
        <f>(L12-5880*D$24-5880*D$29)/11760</f>
        <v>-0.60495500837053529</v>
      </c>
      <c r="R12" t="s">
        <v>224</v>
      </c>
    </row>
    <row r="13" spans="1:19" x14ac:dyDescent="0.2">
      <c r="A13" t="s">
        <v>222</v>
      </c>
      <c r="B13">
        <v>300</v>
      </c>
      <c r="C13">
        <v>-71997.399999999994</v>
      </c>
      <c r="D13">
        <f>C13/17640</f>
        <v>-4.0814852607709744</v>
      </c>
      <c r="E13">
        <v>2.85107</v>
      </c>
      <c r="G13" t="s">
        <v>214</v>
      </c>
      <c r="J13" t="s">
        <v>222</v>
      </c>
      <c r="K13">
        <v>300</v>
      </c>
      <c r="L13">
        <v>-77252.7</v>
      </c>
      <c r="M13">
        <f>L13/17280</f>
        <v>-4.4706423611111106</v>
      </c>
      <c r="O13">
        <v>2.85107</v>
      </c>
      <c r="Q13">
        <f>(L13-8640*D$24-8640*D$29)/17280</f>
        <v>-0.604883083767361</v>
      </c>
      <c r="R13" t="s">
        <v>225</v>
      </c>
      <c r="S13">
        <f>AVERAGE(Q11:Q13)</f>
        <v>-0.60492347492382337</v>
      </c>
    </row>
    <row r="14" spans="1:19" x14ac:dyDescent="0.2">
      <c r="A14" t="s">
        <v>222</v>
      </c>
      <c r="B14">
        <v>300</v>
      </c>
      <c r="C14">
        <v>-47998.7</v>
      </c>
      <c r="D14">
        <f>C14/11760</f>
        <v>-4.0815221088435374</v>
      </c>
      <c r="E14">
        <v>2.85107</v>
      </c>
      <c r="G14" t="s">
        <v>215</v>
      </c>
      <c r="J14" t="s">
        <v>222</v>
      </c>
      <c r="K14">
        <v>500</v>
      </c>
      <c r="L14">
        <v>-78375.7</v>
      </c>
      <c r="M14">
        <f>L14/17640</f>
        <v>-4.443066893424036</v>
      </c>
      <c r="O14">
        <v>2.8577699999999999</v>
      </c>
      <c r="Q14">
        <f>(L14-8820*D$25-8820*D$30)/17640</f>
        <v>-0.60439257701778626</v>
      </c>
      <c r="R14" t="s">
        <v>223</v>
      </c>
    </row>
    <row r="15" spans="1:19" x14ac:dyDescent="0.2">
      <c r="A15" t="s">
        <v>222</v>
      </c>
      <c r="B15">
        <v>300</v>
      </c>
      <c r="C15">
        <v>-70525.899999999994</v>
      </c>
      <c r="D15">
        <f>C15/17280</f>
        <v>-4.0813599537037035</v>
      </c>
      <c r="E15">
        <v>2.85107</v>
      </c>
      <c r="G15" t="s">
        <v>219</v>
      </c>
      <c r="H15">
        <f>AVERAGE(D13:D15)</f>
        <v>-4.0814557744394051</v>
      </c>
      <c r="J15" t="s">
        <v>222</v>
      </c>
      <c r="K15">
        <v>500</v>
      </c>
      <c r="L15">
        <v>-52250.7</v>
      </c>
      <c r="M15">
        <f>L15/11760</f>
        <v>-4.4430867346938774</v>
      </c>
      <c r="O15">
        <v>2.8577699999999999</v>
      </c>
      <c r="Q15">
        <f>(L15-5880*D$25-5880*D$30)/11760</f>
        <v>-0.60441241828762771</v>
      </c>
      <c r="R15" t="s">
        <v>224</v>
      </c>
    </row>
    <row r="16" spans="1:19" x14ac:dyDescent="0.2">
      <c r="A16" t="s">
        <v>222</v>
      </c>
      <c r="B16">
        <v>500</v>
      </c>
      <c r="C16">
        <v>-71498.3</v>
      </c>
      <c r="D16">
        <f>C16/17640</f>
        <v>-4.0531916099773246</v>
      </c>
      <c r="E16">
        <v>2.8577699999999999</v>
      </c>
      <c r="G16" t="s">
        <v>214</v>
      </c>
      <c r="J16" t="s">
        <v>222</v>
      </c>
      <c r="K16">
        <v>500</v>
      </c>
      <c r="L16">
        <v>-76775.5</v>
      </c>
      <c r="M16">
        <f>L16/17280</f>
        <v>-4.4430266203703708</v>
      </c>
      <c r="O16">
        <v>2.8577699999999999</v>
      </c>
      <c r="Q16">
        <f>(L16-8640*D$25-8640*D$30)/17280</f>
        <v>-0.60435230396412043</v>
      </c>
      <c r="R16" t="s">
        <v>225</v>
      </c>
    </row>
    <row r="17" spans="1:19" x14ac:dyDescent="0.2">
      <c r="A17" t="s">
        <v>222</v>
      </c>
      <c r="B17">
        <v>500</v>
      </c>
      <c r="C17">
        <v>-47669.3</v>
      </c>
      <c r="D17">
        <f>C17/11760</f>
        <v>-4.0535119047619048</v>
      </c>
      <c r="E17">
        <v>2.8577699999999999</v>
      </c>
      <c r="G17" t="s">
        <v>215</v>
      </c>
      <c r="J17" t="s">
        <v>222</v>
      </c>
      <c r="K17">
        <v>500</v>
      </c>
      <c r="L17">
        <v>-57583.199999999997</v>
      </c>
      <c r="M17">
        <f>L17/12960</f>
        <v>-4.4431481481481478</v>
      </c>
      <c r="O17">
        <v>2.8577699999999999</v>
      </c>
      <c r="Q17">
        <f>(L17-6480*D$25-6480*D$30)/12960</f>
        <v>-0.60447383174189828</v>
      </c>
      <c r="R17" t="s">
        <v>228</v>
      </c>
    </row>
    <row r="18" spans="1:19" x14ac:dyDescent="0.2">
      <c r="A18" t="s">
        <v>222</v>
      </c>
      <c r="B18">
        <v>500</v>
      </c>
      <c r="C18">
        <v>-70039.5</v>
      </c>
      <c r="D18">
        <f>C18/17280</f>
        <v>-4.0532118055555557</v>
      </c>
      <c r="E18">
        <v>2.8577699999999999</v>
      </c>
      <c r="G18" t="s">
        <v>219</v>
      </c>
      <c r="J18" t="s">
        <v>222</v>
      </c>
      <c r="K18">
        <v>500</v>
      </c>
      <c r="L18">
        <v>-104501</v>
      </c>
      <c r="M18">
        <f>L18/23520</f>
        <v>-4.4430697278911566</v>
      </c>
      <c r="O18">
        <v>2.8577699999999999</v>
      </c>
      <c r="Q18">
        <f>(L18-11760*D$25-11760*D$30)/23520</f>
        <v>-0.60439541148490694</v>
      </c>
      <c r="R18" t="s">
        <v>229</v>
      </c>
      <c r="S18">
        <f>AVERAGE(Q14:Q18)</f>
        <v>-0.60440530849926799</v>
      </c>
    </row>
    <row r="19" spans="1:19" x14ac:dyDescent="0.2">
      <c r="A19" t="s">
        <v>222</v>
      </c>
      <c r="B19">
        <v>500</v>
      </c>
      <c r="C19">
        <v>-52531.6</v>
      </c>
      <c r="D19">
        <f>C19/12960</f>
        <v>-4.0533641975308639</v>
      </c>
      <c r="E19">
        <v>2.8577699999999999</v>
      </c>
      <c r="G19" t="s">
        <v>218</v>
      </c>
    </row>
    <row r="20" spans="1:19" x14ac:dyDescent="0.2">
      <c r="A20" t="s">
        <v>222</v>
      </c>
      <c r="B20">
        <v>500</v>
      </c>
      <c r="C20">
        <v>-95330.8</v>
      </c>
      <c r="D20">
        <f>C20/23520</f>
        <v>-4.0531802721088432</v>
      </c>
      <c r="E20">
        <v>2.8577699999999999</v>
      </c>
      <c r="G20" t="s">
        <v>231</v>
      </c>
      <c r="H20">
        <f>AVERAGE(D16:D20)</f>
        <v>-4.0532919579868985</v>
      </c>
    </row>
    <row r="21" spans="1:19" x14ac:dyDescent="0.2">
      <c r="A21" t="s">
        <v>7</v>
      </c>
      <c r="J21">
        <v>111</v>
      </c>
      <c r="K21">
        <v>0</v>
      </c>
      <c r="L21">
        <v>-34790.643201799998</v>
      </c>
      <c r="M21">
        <f>L21/7791</f>
        <v>-4.4654913620587857</v>
      </c>
      <c r="N21">
        <v>40.050387999999998</v>
      </c>
      <c r="O21">
        <v>40.050387999999998</v>
      </c>
      <c r="P21">
        <v>28.319901000000002</v>
      </c>
      <c r="Q21">
        <f>(L21-3851*D22-3940*D27)/7791</f>
        <v>-0.56671718308866958</v>
      </c>
    </row>
    <row r="22" spans="1:19" x14ac:dyDescent="0.2">
      <c r="A22">
        <v>0</v>
      </c>
      <c r="B22">
        <v>0</v>
      </c>
      <c r="C22">
        <v>-17799.9996637</v>
      </c>
      <c r="D22">
        <f>C22/4000</f>
        <v>-4.4499999159249999</v>
      </c>
      <c r="E22">
        <v>43618.855000000003</v>
      </c>
      <c r="F22">
        <f>(E22^(1/3))/10</f>
        <v>3.5201250117017246</v>
      </c>
      <c r="J22" t="s">
        <v>208</v>
      </c>
      <c r="K22">
        <v>0</v>
      </c>
      <c r="L22">
        <v>-4212.1760542900001</v>
      </c>
      <c r="M22">
        <f>L22/1808</f>
        <v>-2.3297433928595135</v>
      </c>
      <c r="N22" s="5"/>
      <c r="O22" s="5"/>
      <c r="Q22">
        <f>(L22-925*D$22-833*D$27)/1808</f>
        <v>1.4949966027763688</v>
      </c>
    </row>
    <row r="23" spans="1:19" x14ac:dyDescent="0.2">
      <c r="A23">
        <v>100</v>
      </c>
      <c r="B23">
        <v>99.838700000000003</v>
      </c>
      <c r="C23">
        <v>-9086.9</v>
      </c>
      <c r="D23">
        <f>C23/2048</f>
        <v>-4.4369628906249998</v>
      </c>
      <c r="E23">
        <v>22380.6</v>
      </c>
      <c r="F23">
        <f>(E23^(1/3))/8</f>
        <v>3.5226318282089975</v>
      </c>
      <c r="J23" t="s">
        <v>32</v>
      </c>
      <c r="K23">
        <v>100</v>
      </c>
      <c r="M23">
        <f>L23/7910</f>
        <v>0</v>
      </c>
      <c r="Q23">
        <f>(L23-3940*D$23-3970*D$28)/7910</f>
        <v>3.8899963641257109</v>
      </c>
      <c r="R23" t="s">
        <v>209</v>
      </c>
    </row>
    <row r="24" spans="1:19" x14ac:dyDescent="0.2">
      <c r="A24">
        <v>300</v>
      </c>
      <c r="B24">
        <v>299.58100000000002</v>
      </c>
      <c r="C24">
        <v>-9032.2800000000007</v>
      </c>
      <c r="D24">
        <f t="shared" ref="D24:D25" si="3">C24/2048</f>
        <v>-4.4102929687500003</v>
      </c>
      <c r="E24">
        <v>22487.3</v>
      </c>
      <c r="F24">
        <f t="shared" ref="F24:F25" si="4">(E24^(1/3))/8</f>
        <v>3.528221030144949</v>
      </c>
      <c r="J24" t="s">
        <v>87</v>
      </c>
      <c r="K24">
        <v>100</v>
      </c>
      <c r="L24">
        <v>-160814</v>
      </c>
      <c r="M24">
        <f>L24/35812</f>
        <v>-4.4905059756506196</v>
      </c>
      <c r="Q24">
        <f>(L24-17880*D$23-17932*D$28)/35812</f>
        <v>-0.59923419687796697</v>
      </c>
      <c r="R24" t="s">
        <v>213</v>
      </c>
    </row>
    <row r="25" spans="1:19" x14ac:dyDescent="0.2">
      <c r="A25">
        <v>500</v>
      </c>
      <c r="B25">
        <v>498.27199999999999</v>
      </c>
      <c r="C25">
        <v>-8976.0499999999993</v>
      </c>
      <c r="D25">
        <f t="shared" si="3"/>
        <v>-4.3828369140624996</v>
      </c>
      <c r="E25">
        <v>22603.599999999999</v>
      </c>
      <c r="F25">
        <f t="shared" si="4"/>
        <v>3.5342930018060605</v>
      </c>
      <c r="J25" t="s">
        <v>89</v>
      </c>
      <c r="K25">
        <v>100</v>
      </c>
      <c r="L25">
        <v>-68524.100000000006</v>
      </c>
      <c r="M25">
        <f>L25/15265</f>
        <v>-4.4889682279724861</v>
      </c>
      <c r="Q25">
        <f>(L25-7617*D$23-7648*D$28)/15265</f>
        <v>-0.59801181663015945</v>
      </c>
      <c r="R25" t="s">
        <v>212</v>
      </c>
    </row>
    <row r="26" spans="1:19" x14ac:dyDescent="0.2">
      <c r="A26" t="s">
        <v>8</v>
      </c>
      <c r="J26" t="s">
        <v>92</v>
      </c>
      <c r="K26">
        <v>100</v>
      </c>
      <c r="L26">
        <v>-102854</v>
      </c>
      <c r="M26">
        <f>L26/22908</f>
        <v>-4.4898725336127114</v>
      </c>
      <c r="Q26">
        <f>(L26-11438*D$23-11470*D$28)/22908</f>
        <v>-0.59857071159979591</v>
      </c>
      <c r="R26" t="s">
        <v>210</v>
      </c>
    </row>
    <row r="27" spans="1:19" x14ac:dyDescent="0.2">
      <c r="A27">
        <v>0</v>
      </c>
      <c r="B27">
        <v>0</v>
      </c>
      <c r="C27">
        <v>-13439.999951399999</v>
      </c>
      <c r="D27">
        <f>C27/4000</f>
        <v>-3.3599999878499998</v>
      </c>
      <c r="E27">
        <v>66430.125</v>
      </c>
      <c r="F27">
        <f>(E27^(1/3))/10</f>
        <v>4.0499999999999989</v>
      </c>
      <c r="J27" t="s">
        <v>94</v>
      </c>
      <c r="K27">
        <v>100</v>
      </c>
      <c r="L27">
        <v>-78713.399999999994</v>
      </c>
      <c r="M27">
        <f>L27/17533</f>
        <v>-4.4894427650715789</v>
      </c>
      <c r="Q27">
        <f>(L27-8755*D$23-8778*D$28)/17553</f>
        <v>-0.59741311025002819</v>
      </c>
      <c r="R27" t="s">
        <v>214</v>
      </c>
    </row>
    <row r="28" spans="1:19" x14ac:dyDescent="0.2">
      <c r="A28">
        <v>100</v>
      </c>
      <c r="B28">
        <v>99.730699999999999</v>
      </c>
      <c r="C28">
        <v>-6854.99</v>
      </c>
      <c r="D28">
        <f>C28/2048</f>
        <v>-3.3471630859374999</v>
      </c>
      <c r="E28">
        <v>34116.699999999997</v>
      </c>
      <c r="F28">
        <f>(E28^(1/3))/8</f>
        <v>4.0541425821352464</v>
      </c>
      <c r="J28" t="s">
        <v>97</v>
      </c>
      <c r="K28">
        <v>100</v>
      </c>
      <c r="L28">
        <v>-79343</v>
      </c>
      <c r="M28">
        <f>L28/17640</f>
        <v>-4.4979024943310657</v>
      </c>
      <c r="Q28">
        <f>(L28-8820*D$23-8820*D$28)/17640</f>
        <v>-0.60583950604981585</v>
      </c>
      <c r="R28" t="s">
        <v>214</v>
      </c>
    </row>
    <row r="29" spans="1:19" x14ac:dyDescent="0.2">
      <c r="A29">
        <v>300</v>
      </c>
      <c r="B29">
        <v>299.81200000000001</v>
      </c>
      <c r="C29">
        <v>-6801.87</v>
      </c>
      <c r="D29">
        <f t="shared" ref="D29:D30" si="5">C29/2048</f>
        <v>-3.3212255859374999</v>
      </c>
      <c r="E29">
        <v>34393.1</v>
      </c>
      <c r="F29">
        <f t="shared" ref="F29:F30" si="6">(E29^(1/3))/8</f>
        <v>4.0650615009453048</v>
      </c>
    </row>
    <row r="30" spans="1:19" x14ac:dyDescent="0.2">
      <c r="A30">
        <v>500</v>
      </c>
      <c r="B30">
        <v>495.89400000000001</v>
      </c>
      <c r="C30">
        <v>-6747.16</v>
      </c>
      <c r="D30">
        <f t="shared" si="5"/>
        <v>-3.2945117187499999</v>
      </c>
      <c r="E30">
        <v>34726.5</v>
      </c>
      <c r="F30">
        <f t="shared" si="6"/>
        <v>4.078154588678613</v>
      </c>
    </row>
    <row r="32" spans="1:19" x14ac:dyDescent="0.2">
      <c r="A32">
        <v>111</v>
      </c>
      <c r="Q32" t="s">
        <v>216</v>
      </c>
      <c r="R32" t="s">
        <v>217</v>
      </c>
    </row>
    <row r="33" spans="1:18" x14ac:dyDescent="0.2">
      <c r="A33" s="1" t="s">
        <v>32</v>
      </c>
      <c r="B33" s="1"/>
      <c r="C33" s="1">
        <v>-131734</v>
      </c>
      <c r="D33" s="1">
        <f>C33/30625</f>
        <v>-4.3015183673469384</v>
      </c>
      <c r="E33" s="1">
        <f>C33-15265*$D$10-7680*$D$23-7680*$D$28</f>
        <v>-9229.4640022675703</v>
      </c>
      <c r="F33" s="1">
        <f>E33/30625</f>
        <v>-0.30137025313526761</v>
      </c>
      <c r="G33" s="1">
        <f>(E33-$Q$25*15360)</f>
        <v>-44.002498828320313</v>
      </c>
      <c r="H33" s="1">
        <f>(E33-$Q$25*15360)/30625</f>
        <v>-1.4368162882716837E-3</v>
      </c>
      <c r="I33" s="1">
        <f>2*(32.1842*55.7428)</f>
        <v>3588.0748475199998</v>
      </c>
      <c r="J33" s="1">
        <f>H33/I33</f>
        <v>-4.0044211710488153E-7</v>
      </c>
      <c r="K33" s="1">
        <f>G33/I33</f>
        <v>-1.2263539836336997E-2</v>
      </c>
      <c r="L33" s="1">
        <f>K33*16.02</f>
        <v>-0.19646190817811868</v>
      </c>
      <c r="M33" s="1" t="s">
        <v>212</v>
      </c>
      <c r="P33">
        <v>100</v>
      </c>
      <c r="Q33">
        <v>-0.32678350088747526</v>
      </c>
      <c r="R33" t="s">
        <v>117</v>
      </c>
    </row>
    <row r="34" spans="1:18" x14ac:dyDescent="0.2">
      <c r="A34" s="1" t="s">
        <v>87</v>
      </c>
      <c r="B34" s="1"/>
      <c r="C34" s="1">
        <v>-197645</v>
      </c>
      <c r="D34" s="1">
        <f>C34/45953</f>
        <v>-4.3010249602855088</v>
      </c>
      <c r="E34" s="1">
        <f>C34-22913*$D$11-11520*$D$23-11520*$D$28</f>
        <v>-13824.767746598642</v>
      </c>
      <c r="F34" s="1">
        <f>E34/45953</f>
        <v>-0.30084581521551679</v>
      </c>
      <c r="G34" s="1">
        <f>(E34-$Q$26*23040)</f>
        <v>-33.698551339344704</v>
      </c>
      <c r="H34" s="1">
        <f>(E34-$Q$26*23040)/45953</f>
        <v>-7.3332647138042576E-4</v>
      </c>
      <c r="I34" s="1">
        <f>2*(32.1852*55.7442)</f>
        <v>3588.2764516800003</v>
      </c>
      <c r="J34" s="1">
        <f>H34/I34</f>
        <v>-2.0436732822998868E-7</v>
      </c>
      <c r="K34" s="1">
        <f>G34/I34</f>
        <v>-9.3912918341526701E-3</v>
      </c>
      <c r="L34" s="1">
        <f>K34*16.02</f>
        <v>-0.15044849518312578</v>
      </c>
      <c r="M34" s="1" t="s">
        <v>210</v>
      </c>
      <c r="P34">
        <v>110</v>
      </c>
      <c r="Q34">
        <v>-0.47161432191509406</v>
      </c>
      <c r="R34" t="s">
        <v>117</v>
      </c>
    </row>
    <row r="35" spans="1:18" x14ac:dyDescent="0.2">
      <c r="A35" s="1" t="s">
        <v>89</v>
      </c>
      <c r="B35" s="1"/>
      <c r="C35" s="1">
        <v>-308965</v>
      </c>
      <c r="D35" s="1">
        <f>C35/71821</f>
        <v>-4.3018754960248398</v>
      </c>
      <c r="E35" s="1">
        <f>C35-35821*$D$12-18000*$D$23-18000*$D$28</f>
        <v>-21666.016235532385</v>
      </c>
      <c r="F35" s="1">
        <f>E35/71821</f>
        <v>-0.30166686951633065</v>
      </c>
      <c r="G35" s="1">
        <f>(E35-$Q$24*36000)</f>
        <v>-93.585147925572528</v>
      </c>
      <c r="H35" s="1">
        <f>(E35-$Q$24*36000)/71821</f>
        <v>-1.3030332065213869E-3</v>
      </c>
      <c r="I35" s="1">
        <f>2*(40.2304*69.6826)</f>
        <v>5606.7177420799999</v>
      </c>
      <c r="J35" s="1">
        <f>H35/I35</f>
        <v>-2.3240570802088979E-7</v>
      </c>
      <c r="K35" s="1">
        <f>G35/I35</f>
        <v>-1.6691610355768324E-2</v>
      </c>
      <c r="L35" s="1">
        <f>K35*16.02</f>
        <v>-0.26739959789940854</v>
      </c>
      <c r="M35" s="1" t="s">
        <v>213</v>
      </c>
      <c r="P35">
        <v>111</v>
      </c>
      <c r="Q35">
        <v>-0.32780558539120008</v>
      </c>
      <c r="R35" t="s">
        <v>117</v>
      </c>
    </row>
    <row r="36" spans="1:18" x14ac:dyDescent="0.2">
      <c r="A36" s="1" t="s">
        <v>92</v>
      </c>
      <c r="B36" s="1"/>
      <c r="C36" s="1">
        <v>-151320</v>
      </c>
      <c r="D36" s="1">
        <f>C36/35180</f>
        <v>-4.3013075611142693</v>
      </c>
      <c r="E36" s="1">
        <f>C36-17540*$D$16-8820*$D$23-8820*$D$28</f>
        <v>-11571.028047716471</v>
      </c>
      <c r="F36" s="1">
        <f>E36/35180</f>
        <v>-0.32890926798511855</v>
      </c>
      <c r="G36" s="1">
        <f>(E36-$Q$27*17640)</f>
        <v>-1032.660782905974</v>
      </c>
      <c r="H36" s="1">
        <f>(E36-$Q$27*17640)/35180</f>
        <v>-2.9353632259976521E-2</v>
      </c>
      <c r="I36" s="1">
        <f>2*(28.1603*48.7734)</f>
        <v>2746.9471520400002</v>
      </c>
      <c r="J36" s="1">
        <f>H36/I36</f>
        <v>-1.0685910807631395E-5</v>
      </c>
      <c r="K36" s="1">
        <f>G36/I36</f>
        <v>-0.37593034221247251</v>
      </c>
      <c r="L36" s="1">
        <f>K36*16.02</f>
        <v>-6.0224040822438099</v>
      </c>
      <c r="M36" s="1" t="s">
        <v>214</v>
      </c>
    </row>
    <row r="38" spans="1:18" x14ac:dyDescent="0.2">
      <c r="A38" t="s">
        <v>94</v>
      </c>
      <c r="B38">
        <v>100</v>
      </c>
      <c r="C38">
        <v>-151881</v>
      </c>
      <c r="D38">
        <f>C38/35280</f>
        <v>-4.3050170068027214</v>
      </c>
      <c r="E38">
        <f>C38-17640*$D$5-8820*$D$23-8820*$D$28</f>
        <v>-10740.308486718764</v>
      </c>
      <c r="F38">
        <f>E38/35280</f>
        <v>-0.30443051266209648</v>
      </c>
      <c r="G38">
        <f>(E38-$P$4*17640)</f>
        <v>-54.402000000012777</v>
      </c>
      <c r="H38">
        <f>(E38-$P$4*17640)/35280</f>
        <v>-1.5420068027214506E-3</v>
      </c>
      <c r="I38">
        <f>2*(28.1537*48.7909)</f>
        <v>2747.2887226600001</v>
      </c>
      <c r="J38">
        <f t="shared" ref="J38:J47" si="7">H38/I38</f>
        <v>-5.6128312616099462E-7</v>
      </c>
      <c r="K38">
        <f t="shared" ref="K38:K47" si="8">G38/I38</f>
        <v>-1.9802068690959889E-2</v>
      </c>
      <c r="L38">
        <f t="shared" ref="L38:L47" si="9">K38*16.02</f>
        <v>-0.31722914042917744</v>
      </c>
      <c r="M38" t="s">
        <v>214</v>
      </c>
    </row>
    <row r="39" spans="1:18" x14ac:dyDescent="0.2">
      <c r="A39" s="2" t="s">
        <v>97</v>
      </c>
      <c r="B39">
        <v>100</v>
      </c>
      <c r="C39">
        <v>-198376</v>
      </c>
      <c r="D39">
        <f>C39/46080</f>
        <v>-4.3050347222222225</v>
      </c>
      <c r="E39">
        <f>C39-23040*$D$5-11520*$D$23-11520*$D$28</f>
        <v>-14028.974350000011</v>
      </c>
      <c r="F39">
        <f>E39/46080</f>
        <v>-0.30444822808159749</v>
      </c>
      <c r="G39">
        <f>(E39-$P$4*23040)</f>
        <v>-71.872000000008484</v>
      </c>
      <c r="H39">
        <f>(E39-$P$4*23040)/46080</f>
        <v>-1.5597222222224064E-3</v>
      </c>
      <c r="I39">
        <f>2*(32.1919*55.7578)</f>
        <v>3589.8990436399999</v>
      </c>
      <c r="J39">
        <f t="shared" si="7"/>
        <v>-4.3447523266306583E-7</v>
      </c>
      <c r="K39">
        <f t="shared" si="8"/>
        <v>-2.0020618721114072E-2</v>
      </c>
      <c r="L39">
        <f t="shared" si="9"/>
        <v>-0.32073031191224743</v>
      </c>
      <c r="M39" s="2" t="s">
        <v>210</v>
      </c>
    </row>
    <row r="40" spans="1:18" x14ac:dyDescent="0.2">
      <c r="A40" s="2" t="s">
        <v>99</v>
      </c>
      <c r="B40">
        <v>100</v>
      </c>
      <c r="C40">
        <v>-101277</v>
      </c>
      <c r="D40">
        <f>C40/23520</f>
        <v>-4.3059948979591836</v>
      </c>
      <c r="E40">
        <f>C40-11760*$D$5-5880*$D$23-5880*$D$28</f>
        <v>-7183.2056578125084</v>
      </c>
      <c r="F40">
        <f>E40/23520</f>
        <v>-0.30540840381855905</v>
      </c>
      <c r="G40">
        <f>(E40-$P$4*11760)</f>
        <v>-59.268000000007305</v>
      </c>
      <c r="H40">
        <f>(E40-$P$4*11760)/23520</f>
        <v>-2.5198979591839841E-3</v>
      </c>
      <c r="I40">
        <f>2*(28.1676*48.7875)</f>
        <v>2748.4535700000001</v>
      </c>
      <c r="J40">
        <f t="shared" si="7"/>
        <v>-9.168421059352238E-7</v>
      </c>
      <c r="K40">
        <f t="shared" si="8"/>
        <v>-2.1564126331596462E-2</v>
      </c>
      <c r="L40">
        <f t="shared" si="9"/>
        <v>-0.34545730383217532</v>
      </c>
      <c r="M40" s="2" t="s">
        <v>215</v>
      </c>
    </row>
    <row r="41" spans="1:18" x14ac:dyDescent="0.2">
      <c r="A41" s="2" t="s">
        <v>191</v>
      </c>
      <c r="B41">
        <v>100</v>
      </c>
      <c r="C41">
        <v>-132279</v>
      </c>
      <c r="D41">
        <f>C41/30720</f>
        <v>-4.3059570312500002</v>
      </c>
      <c r="E41">
        <f>C41-15360*$D$5-7680*$D$23-7680*$D$28</f>
        <v>-9380.9829000000136</v>
      </c>
      <c r="F41">
        <f>E41/30720</f>
        <v>-0.30537053710937545</v>
      </c>
      <c r="G41">
        <f>(E41-$P$4*15360)</f>
        <v>-76.248000000012325</v>
      </c>
      <c r="H41">
        <f>(E41-$P$4*15360)/30720</f>
        <v>-2.482031250000401E-3</v>
      </c>
      <c r="I41">
        <f>2*(32.1916*55.7572)</f>
        <v>3589.82695904</v>
      </c>
      <c r="J41">
        <f t="shared" si="7"/>
        <v>-6.9140693362672604E-7</v>
      </c>
      <c r="K41">
        <f t="shared" si="8"/>
        <v>-2.1240021001013024E-2</v>
      </c>
      <c r="L41">
        <f t="shared" si="9"/>
        <v>-0.34026513643622863</v>
      </c>
      <c r="M41" s="2" t="s">
        <v>212</v>
      </c>
    </row>
    <row r="42" spans="1:18" x14ac:dyDescent="0.2">
      <c r="A42" s="2" t="s">
        <v>202</v>
      </c>
      <c r="B42">
        <v>100</v>
      </c>
      <c r="C42">
        <v>-111586</v>
      </c>
      <c r="D42">
        <f>C42/25920</f>
        <v>-4.3050154320987657</v>
      </c>
      <c r="E42">
        <f>C42-12960*$D$5-6480*$D$23-6480*$D$28</f>
        <v>-7890.7980718750077</v>
      </c>
      <c r="F42">
        <f>E42/25920</f>
        <v>-0.30442893795814074</v>
      </c>
      <c r="G42">
        <f>(E42-$P$4*12960)</f>
        <v>-39.92800000000625</v>
      </c>
      <c r="H42">
        <f>(E42-$P$4*12960)/25920</f>
        <v>-1.5404320987656732E-3</v>
      </c>
      <c r="I42">
        <f>2*(24.144*41.8184)</f>
        <v>2019.3268991999996</v>
      </c>
      <c r="J42">
        <f t="shared" si="7"/>
        <v>-7.6284434153576067E-7</v>
      </c>
      <c r="K42">
        <f t="shared" si="8"/>
        <v>-1.9772925332606918E-2</v>
      </c>
      <c r="L42">
        <f t="shared" si="9"/>
        <v>-0.31676226382836281</v>
      </c>
      <c r="M42" s="2" t="s">
        <v>218</v>
      </c>
    </row>
    <row r="43" spans="1:18" x14ac:dyDescent="0.2">
      <c r="A43" s="2" t="s">
        <v>203</v>
      </c>
      <c r="B43">
        <v>100</v>
      </c>
      <c r="C43">
        <v>-148765</v>
      </c>
      <c r="D43">
        <f>C43/34560</f>
        <v>-4.3045428240740744</v>
      </c>
      <c r="E43">
        <f>C43-17280*$D$5-8640*$D$23-8640*$D$28</f>
        <v>-10504.730762500007</v>
      </c>
      <c r="F43">
        <f>E43/34560</f>
        <v>-0.30395632993344929</v>
      </c>
      <c r="G43">
        <f>(E43-$P$4*17280)</f>
        <v>-36.904000000005908</v>
      </c>
      <c r="H43">
        <f>(E43-$P$4*17280)/34560</f>
        <v>-1.067824074074245E-3</v>
      </c>
      <c r="I43">
        <f>2*(24.1442*41.8185)</f>
        <v>2019.3484554000001</v>
      </c>
      <c r="J43">
        <f t="shared" si="7"/>
        <v>-5.287963408290158E-7</v>
      </c>
      <c r="K43">
        <f t="shared" si="8"/>
        <v>-1.8275201539050785E-2</v>
      </c>
      <c r="L43">
        <f t="shared" si="9"/>
        <v>-0.29276872865559356</v>
      </c>
      <c r="M43" s="2" t="s">
        <v>219</v>
      </c>
    </row>
    <row r="44" spans="1:18" x14ac:dyDescent="0.2">
      <c r="A44" s="2" t="s">
        <v>204</v>
      </c>
      <c r="B44">
        <v>100</v>
      </c>
      <c r="C44">
        <v>-185944</v>
      </c>
      <c r="D44">
        <f>C44/43200</f>
        <v>-4.3042592592592595</v>
      </c>
      <c r="E44">
        <f>C44-21600*$D$5-10800*$D$23-10800*$D$28</f>
        <v>-13118.663453125017</v>
      </c>
      <c r="F44">
        <f>E44/43200</f>
        <v>-0.30367276511863467</v>
      </c>
      <c r="G44">
        <f>(E44-$P$4*21600)</f>
        <v>-33.880000000013752</v>
      </c>
      <c r="H44">
        <f>(E44-$P$4*21600)/43200</f>
        <v>-7.8425925925957761E-4</v>
      </c>
      <c r="I44">
        <f>2*(24.1442*41.8189)</f>
        <v>2019.36777076</v>
      </c>
      <c r="J44">
        <f t="shared" si="7"/>
        <v>-3.8836871154203741E-7</v>
      </c>
      <c r="K44">
        <f t="shared" si="8"/>
        <v>-1.6777528338616017E-2</v>
      </c>
      <c r="L44">
        <f t="shared" si="9"/>
        <v>-0.26877600398462859</v>
      </c>
      <c r="M44" s="2" t="s">
        <v>220</v>
      </c>
    </row>
    <row r="45" spans="1:18" x14ac:dyDescent="0.2">
      <c r="A45" s="2" t="s">
        <v>205</v>
      </c>
      <c r="B45">
        <v>100</v>
      </c>
      <c r="C45">
        <v>-151881</v>
      </c>
      <c r="D45">
        <f>C45/35280</f>
        <v>-4.3050170068027214</v>
      </c>
      <c r="E45">
        <f>C45-17640*$D$10-8820*$D$23-8820*$D$28</f>
        <v>-10743.908886718746</v>
      </c>
      <c r="F45">
        <f>E45/35280</f>
        <v>-0.30453256481629098</v>
      </c>
      <c r="G45">
        <f>(E45-$Q$8*17640)</f>
        <v>-66</v>
      </c>
      <c r="H45">
        <f>(E45-$Q$8*17640)/35280</f>
        <v>-1.8707482993197278E-3</v>
      </c>
      <c r="I45">
        <f>2*(28.1694*48.7881)</f>
        <v>2748.6630082799998</v>
      </c>
      <c r="J45">
        <f t="shared" si="7"/>
        <v>-6.80603003600054E-7</v>
      </c>
      <c r="K45">
        <f t="shared" si="8"/>
        <v>-2.4011673967009903E-2</v>
      </c>
      <c r="L45">
        <f t="shared" si="9"/>
        <v>-0.38466701695149863</v>
      </c>
      <c r="M45" s="2" t="s">
        <v>223</v>
      </c>
    </row>
    <row r="46" spans="1:18" x14ac:dyDescent="0.2">
      <c r="A46" s="2" t="s">
        <v>207</v>
      </c>
      <c r="B46">
        <v>100</v>
      </c>
      <c r="C46">
        <v>-101276</v>
      </c>
      <c r="D46">
        <f>C46/23520</f>
        <v>-4.3059523809523812</v>
      </c>
      <c r="E46">
        <f>C46-11760*$D$11-5880*$D$23-5880*$D$28</f>
        <v>-7184.7392578125036</v>
      </c>
      <c r="F46">
        <f>E46/23520</f>
        <v>-0.30547360790019146</v>
      </c>
      <c r="G46">
        <f>(E46-$Q$9*11760)</f>
        <v>-66.5</v>
      </c>
      <c r="H46">
        <f>(E46-$Q$9*11760)/23520</f>
        <v>-2.8273809523809523E-3</v>
      </c>
      <c r="I46">
        <f>2*(28.1676*48.7875)</f>
        <v>2748.4535700000001</v>
      </c>
      <c r="J46">
        <f t="shared" si="7"/>
        <v>-1.0287170149943454E-6</v>
      </c>
      <c r="K46">
        <f t="shared" si="8"/>
        <v>-2.4195424192667004E-2</v>
      </c>
      <c r="L46">
        <f t="shared" si="9"/>
        <v>-0.38761069556652539</v>
      </c>
      <c r="M46" s="2" t="s">
        <v>224</v>
      </c>
    </row>
    <row r="47" spans="1:18" x14ac:dyDescent="0.2">
      <c r="A47" s="2" t="s">
        <v>226</v>
      </c>
      <c r="B47">
        <v>100</v>
      </c>
      <c r="C47">
        <v>-148765</v>
      </c>
      <c r="D47">
        <f>C47/34560</f>
        <v>-4.3045428240740744</v>
      </c>
      <c r="E47">
        <f>C47-17280*$D$12-8640*$D$23-8640*$D$28</f>
        <v>-10508.451562500002</v>
      </c>
      <c r="F47">
        <f>E47/34560</f>
        <v>-0.30406399197048617</v>
      </c>
      <c r="G47">
        <f>(E47-$Q$10*17280)</f>
        <v>-48.30000000000291</v>
      </c>
      <c r="H47">
        <f>(E47-$Q$10*17280)/34560</f>
        <v>-1.3975694444445287E-3</v>
      </c>
      <c r="I47">
        <f>2*(24.1452*41.8184)</f>
        <v>2019.4272633599999</v>
      </c>
      <c r="J47">
        <f t="shared" si="7"/>
        <v>-6.9206228409494656E-7</v>
      </c>
      <c r="K47">
        <f t="shared" si="8"/>
        <v>-2.3917672538321354E-2</v>
      </c>
      <c r="L47">
        <f t="shared" si="9"/>
        <v>-0.38316111406390807</v>
      </c>
      <c r="M47" s="2" t="s">
        <v>225</v>
      </c>
    </row>
    <row r="48" spans="1:18" x14ac:dyDescent="0.2">
      <c r="A48" s="2"/>
      <c r="L48">
        <f>AVERAGE(L45:L47)</f>
        <v>-0.38514627552731068</v>
      </c>
      <c r="M48" s="2"/>
    </row>
    <row r="49" spans="1:15" x14ac:dyDescent="0.2">
      <c r="A49" s="2" t="s">
        <v>205</v>
      </c>
      <c r="B49" t="s">
        <v>268</v>
      </c>
      <c r="C49">
        <v>-151801</v>
      </c>
      <c r="D49">
        <f>C49/35280</f>
        <v>-4.3027494331065759</v>
      </c>
      <c r="E49">
        <f>C49-17640*$D$10-8820*$D$23-8820*$D$28</f>
        <v>-10663.908886718746</v>
      </c>
      <c r="F49">
        <f>E49/35280</f>
        <v>-0.30226499112014588</v>
      </c>
      <c r="G49">
        <f>(E49-$Q$8*17640)</f>
        <v>14</v>
      </c>
      <c r="H49">
        <f>(E49-$Q$8*17640)/35280</f>
        <v>3.9682539682539683E-4</v>
      </c>
      <c r="I49">
        <f>2*(28.1694*48.7881)</f>
        <v>2748.6630082799998</v>
      </c>
      <c r="J49">
        <f t="shared" ref="J49:J51" si="10">H49/I49</f>
        <v>1.4437033409698115E-7</v>
      </c>
      <c r="K49">
        <f t="shared" ref="K49:K51" si="11">G49/I49</f>
        <v>5.0933853869414951E-3</v>
      </c>
      <c r="L49">
        <f t="shared" ref="L49:L51" si="12">K49*16.02</f>
        <v>8.1596033898802753E-2</v>
      </c>
      <c r="M49" s="2" t="s">
        <v>223</v>
      </c>
    </row>
    <row r="50" spans="1:15" x14ac:dyDescent="0.2">
      <c r="A50" s="2" t="s">
        <v>207</v>
      </c>
      <c r="B50" t="s">
        <v>268</v>
      </c>
      <c r="C50">
        <v>-101196</v>
      </c>
      <c r="D50">
        <f>C50/23520</f>
        <v>-4.3025510204081634</v>
      </c>
      <c r="E50">
        <f>C50-11760*$D$11-5880*$D$23-5880*$D$28</f>
        <v>-7104.7392578125036</v>
      </c>
      <c r="F50">
        <f>E50/23520</f>
        <v>-0.30207224735597377</v>
      </c>
      <c r="G50">
        <f>(E50-$Q$9*11760)</f>
        <v>13.5</v>
      </c>
      <c r="H50">
        <f>(E50-$Q$9*11760)/23520</f>
        <v>5.7397959183673475E-4</v>
      </c>
      <c r="I50">
        <f>2*(28.1676*48.7875)</f>
        <v>2748.4535700000001</v>
      </c>
      <c r="J50">
        <f t="shared" si="10"/>
        <v>2.088372887582506E-7</v>
      </c>
      <c r="K50">
        <f t="shared" si="11"/>
        <v>4.9118530315940536E-3</v>
      </c>
      <c r="L50">
        <f t="shared" si="12"/>
        <v>7.8687885566136734E-2</v>
      </c>
      <c r="M50" s="2" t="s">
        <v>224</v>
      </c>
    </row>
    <row r="51" spans="1:15" x14ac:dyDescent="0.2">
      <c r="A51" s="2" t="s">
        <v>226</v>
      </c>
      <c r="B51" t="s">
        <v>268</v>
      </c>
      <c r="C51">
        <v>-148705</v>
      </c>
      <c r="D51">
        <f>C51/34560</f>
        <v>-4.3028067129629628</v>
      </c>
      <c r="E51">
        <f>C51-17280*$D$12-8640*$D$23-8640*$D$28</f>
        <v>-10448.451562500002</v>
      </c>
      <c r="F51">
        <f>E51/34560</f>
        <v>-0.30232788085937506</v>
      </c>
      <c r="G51">
        <f>(E51-$Q$10*17280)</f>
        <v>11.69999999999709</v>
      </c>
      <c r="H51">
        <f>(E51-$Q$10*17280)/34560</f>
        <v>3.3854166666658244E-4</v>
      </c>
      <c r="I51">
        <f>2*(24.1452*41.8184)</f>
        <v>2019.4272633599999</v>
      </c>
      <c r="J51">
        <f t="shared" si="10"/>
        <v>1.6764241664406568E-7</v>
      </c>
      <c r="K51">
        <f t="shared" si="11"/>
        <v>5.7937219192189101E-3</v>
      </c>
      <c r="L51">
        <f t="shared" si="12"/>
        <v>9.2815425145886934E-2</v>
      </c>
      <c r="M51" s="2" t="s">
        <v>225</v>
      </c>
      <c r="N51" s="11">
        <f>AVERAGE(L49:L51)</f>
        <v>8.4366448203608793E-2</v>
      </c>
    </row>
    <row r="54" spans="1:15" x14ac:dyDescent="0.2">
      <c r="A54" t="s">
        <v>94</v>
      </c>
      <c r="B54">
        <v>300</v>
      </c>
      <c r="C54">
        <v>-150925</v>
      </c>
      <c r="D54">
        <f>C54/35280</f>
        <v>-4.2779195011337867</v>
      </c>
      <c r="E54">
        <f>C54-17640*$D$6-8820*$D$24-8820*$D$29</f>
        <v>-10737.727747656241</v>
      </c>
      <c r="F54">
        <f>E54/35280</f>
        <v>-0.30435736246191158</v>
      </c>
      <c r="G54">
        <f>(E54-$P$5*17640)</f>
        <v>-53.872599999989689</v>
      </c>
      <c r="H54">
        <f>(E54-$P$5*17640)/35280</f>
        <v>-1.5270011337865559E-3</v>
      </c>
      <c r="I54">
        <f>2*(28.2227*48.883)</f>
        <v>2759.2204882000001</v>
      </c>
      <c r="J54">
        <f t="shared" ref="J54:J70" si="13">H54/I54</f>
        <v>-5.5341758308800737E-7</v>
      </c>
      <c r="K54">
        <f t="shared" ref="K54:K70" si="14">G54/I54</f>
        <v>-1.95245723313449E-2</v>
      </c>
      <c r="L54">
        <f t="shared" ref="L54:L70" si="15">K54*16.02</f>
        <v>-0.31278364874814529</v>
      </c>
      <c r="M54" t="s">
        <v>214</v>
      </c>
    </row>
    <row r="55" spans="1:15" x14ac:dyDescent="0.2">
      <c r="A55" s="2" t="s">
        <v>97</v>
      </c>
      <c r="B55">
        <v>300</v>
      </c>
      <c r="C55">
        <v>-197128</v>
      </c>
      <c r="D55">
        <f>C55/46080</f>
        <v>-4.2779513888888889</v>
      </c>
      <c r="E55">
        <f>C55-23040*$D$6-11520*$D$24-11520*$D$29</f>
        <v>-14026.256649999988</v>
      </c>
      <c r="F55">
        <f>E55/46080</f>
        <v>-0.30438925021701363</v>
      </c>
      <c r="G55">
        <f>(E55-$P$5*23040)</f>
        <v>-71.8335999999872</v>
      </c>
      <c r="H55">
        <f>(E55-$P$5*23040)/46080</f>
        <v>-1.5588888888886112E-3</v>
      </c>
      <c r="I55">
        <f>2*(32.2544*55.8658)</f>
        <v>3603.8357190399997</v>
      </c>
      <c r="J55">
        <f t="shared" si="13"/>
        <v>-4.3256380435228956E-7</v>
      </c>
      <c r="K55">
        <f t="shared" si="14"/>
        <v>-1.9932540104553503E-2</v>
      </c>
      <c r="L55">
        <f t="shared" si="15"/>
        <v>-0.31931929247494711</v>
      </c>
      <c r="M55" s="2" t="s">
        <v>210</v>
      </c>
    </row>
    <row r="56" spans="1:15" x14ac:dyDescent="0.2">
      <c r="A56" s="2" t="s">
        <v>99</v>
      </c>
      <c r="B56">
        <v>300</v>
      </c>
      <c r="C56">
        <v>-100640</v>
      </c>
      <c r="D56">
        <f>C56/23520</f>
        <v>-4.27891156462585</v>
      </c>
      <c r="E56">
        <f>C56-11760*$D$6-5880*$D$24-5880*$D$29</f>
        <v>-7181.8184984375002</v>
      </c>
      <c r="F56">
        <f>E56/23520</f>
        <v>-0.30534942595397535</v>
      </c>
      <c r="G56">
        <f>(E56-$P$5*11760)</f>
        <v>-59.248399999999492</v>
      </c>
      <c r="H56">
        <f>(E56-$P$5*11760)/23520</f>
        <v>-2.5190646258503187E-3</v>
      </c>
      <c r="I56">
        <f>2*(28.223*48.8826)</f>
        <v>2759.2272395999998</v>
      </c>
      <c r="J56">
        <f t="shared" si="13"/>
        <v>-9.129601903377494E-7</v>
      </c>
      <c r="K56">
        <f t="shared" si="14"/>
        <v>-2.1472823676743864E-2</v>
      </c>
      <c r="L56">
        <f t="shared" si="15"/>
        <v>-0.3439946353014367</v>
      </c>
      <c r="M56" s="2" t="s">
        <v>215</v>
      </c>
    </row>
    <row r="57" spans="1:15" x14ac:dyDescent="0.2">
      <c r="A57" s="2" t="s">
        <v>191</v>
      </c>
      <c r="B57">
        <v>300</v>
      </c>
      <c r="C57">
        <v>-131449</v>
      </c>
      <c r="D57">
        <f>C57/30720</f>
        <v>-4.2789388020833332</v>
      </c>
      <c r="E57">
        <f>C57-15360*$D$6-7680*$D$24-7680*$D$29</f>
        <v>-9381.1711000000032</v>
      </c>
      <c r="F57">
        <f>E57/30720</f>
        <v>-0.30537666341145842</v>
      </c>
      <c r="G57">
        <f>(E57-$P$5*15360)</f>
        <v>-78.222400000002381</v>
      </c>
      <c r="H57">
        <f>(E57-$P$5*15360)/30720</f>
        <v>-2.5463020833334108E-3</v>
      </c>
      <c r="I57">
        <f>2*(32.2547*55.8659)</f>
        <v>3603.8756894600001</v>
      </c>
      <c r="J57">
        <f t="shared" si="13"/>
        <v>-7.065454812385455E-7</v>
      </c>
      <c r="K57">
        <f t="shared" si="14"/>
        <v>-2.1705077183648117E-2</v>
      </c>
      <c r="L57">
        <f t="shared" si="15"/>
        <v>-0.34771533648204284</v>
      </c>
      <c r="M57" s="2" t="s">
        <v>212</v>
      </c>
    </row>
    <row r="58" spans="1:15" x14ac:dyDescent="0.2">
      <c r="A58" s="2" t="s">
        <v>202</v>
      </c>
      <c r="B58">
        <v>300</v>
      </c>
      <c r="C58">
        <v>-110884</v>
      </c>
      <c r="D58">
        <f>C58/25920</f>
        <v>-4.2779320987654321</v>
      </c>
      <c r="E58">
        <f>C58-12960*$D$6-6480*$D$24-6480*$D$29</f>
        <v>-7889.269365624994</v>
      </c>
      <c r="F58">
        <f>E58/25920</f>
        <v>-0.30436996009355688</v>
      </c>
      <c r="G58">
        <f>(E58-$P$5*12960)</f>
        <v>-39.906399999993482</v>
      </c>
      <c r="H58">
        <f>(E58-$P$5*12960)/25920</f>
        <v>-1.5395987654318473E-3</v>
      </c>
      <c r="I58">
        <f>2*(24.1912*41.8994)</f>
        <v>2027.1935305599998</v>
      </c>
      <c r="J58">
        <f t="shared" si="13"/>
        <v>-7.5947300650991257E-7</v>
      </c>
      <c r="K58">
        <f t="shared" si="14"/>
        <v>-1.9685540328736935E-2</v>
      </c>
      <c r="L58">
        <f t="shared" si="15"/>
        <v>-0.3153623560663657</v>
      </c>
      <c r="M58" s="2" t="s">
        <v>218</v>
      </c>
    </row>
    <row r="59" spans="1:15" x14ac:dyDescent="0.2">
      <c r="A59" s="2" t="s">
        <v>205</v>
      </c>
      <c r="B59">
        <v>300</v>
      </c>
      <c r="C59">
        <v>-150925</v>
      </c>
      <c r="D59">
        <f>C59/35280</f>
        <v>-4.2779195011337867</v>
      </c>
      <c r="E59">
        <f>C59-17640*$H$15-8820*$D$24-8820*$D$29</f>
        <v>-10736.126486545134</v>
      </c>
      <c r="F59">
        <f>E59/35280</f>
        <v>-0.30431197524220899</v>
      </c>
      <c r="G59">
        <f>(E59-$S$13*17640)</f>
        <v>-65.276388888889414</v>
      </c>
      <c r="H59">
        <f>(E59-$Q$11*17640)/35280</f>
        <v>-1.845808925421984E-3</v>
      </c>
      <c r="I59">
        <f t="shared" ref="I59:I66" si="16">2*(28.2259*48.8859)</f>
        <v>2759.6970496199997</v>
      </c>
      <c r="J59">
        <f t="shared" si="13"/>
        <v>-6.6884476528905415E-7</v>
      </c>
      <c r="K59">
        <f t="shared" si="14"/>
        <v>-2.3653461852951481E-2</v>
      </c>
      <c r="L59">
        <f t="shared" si="15"/>
        <v>-0.37892845888428273</v>
      </c>
      <c r="M59" s="2" t="s">
        <v>223</v>
      </c>
      <c r="O59">
        <f>AVERAGE(L59:L62)</f>
        <v>-0.38763593639646426</v>
      </c>
    </row>
    <row r="60" spans="1:15" x14ac:dyDescent="0.2">
      <c r="A60" s="2" t="s">
        <v>232</v>
      </c>
      <c r="B60">
        <v>300</v>
      </c>
      <c r="C60">
        <v>-150928</v>
      </c>
      <c r="D60">
        <f>C60/35280</f>
        <v>-4.2780045351473923</v>
      </c>
      <c r="E60">
        <f>C60-17640*$H$15-8820*$D$24-8820*$D$29</f>
        <v>-10739.126486545134</v>
      </c>
      <c r="F60">
        <f>E60/35280</f>
        <v>-0.30439700925581448</v>
      </c>
      <c r="G60">
        <f>(E60-$S$13*17640)</f>
        <v>-68.276388888889414</v>
      </c>
      <c r="H60">
        <f>(E60-$Q$11*17640)/35280</f>
        <v>-1.9308429390274262E-3</v>
      </c>
      <c r="I60">
        <f t="shared" si="16"/>
        <v>2759.6970496199997</v>
      </c>
      <c r="J60">
        <f t="shared" si="13"/>
        <v>-6.9965757266483159E-7</v>
      </c>
      <c r="K60">
        <f t="shared" si="14"/>
        <v>-2.4740537697168906E-2</v>
      </c>
      <c r="L60">
        <f t="shared" si="15"/>
        <v>-0.39634341390864586</v>
      </c>
      <c r="M60" s="2" t="s">
        <v>223</v>
      </c>
    </row>
    <row r="61" spans="1:15" x14ac:dyDescent="0.2">
      <c r="A61" s="2" t="s">
        <v>233</v>
      </c>
      <c r="B61">
        <v>300</v>
      </c>
      <c r="C61">
        <v>-150927</v>
      </c>
      <c r="D61">
        <f>C61/35280</f>
        <v>-4.2779761904761902</v>
      </c>
      <c r="E61">
        <f>C61-17640*$H$15-8820*$D$24-8820*$D$29</f>
        <v>-10738.126486545134</v>
      </c>
      <c r="F61">
        <f>E61/35280</f>
        <v>-0.30436866458461265</v>
      </c>
      <c r="G61">
        <f>(E61-$S$13*17640)</f>
        <v>-67.276388888889414</v>
      </c>
      <c r="H61">
        <f>(E61-$Q$11*17640)/35280</f>
        <v>-1.902498267825612E-3</v>
      </c>
      <c r="I61">
        <f t="shared" si="16"/>
        <v>2759.6970496199997</v>
      </c>
      <c r="J61">
        <f t="shared" si="13"/>
        <v>-6.8938663687290571E-7</v>
      </c>
      <c r="K61">
        <f t="shared" si="14"/>
        <v>-2.4378179082429764E-2</v>
      </c>
      <c r="L61">
        <f t="shared" si="15"/>
        <v>-0.39053842890052481</v>
      </c>
      <c r="M61" s="2" t="s">
        <v>223</v>
      </c>
    </row>
    <row r="62" spans="1:15" x14ac:dyDescent="0.2">
      <c r="A62" s="2" t="s">
        <v>234</v>
      </c>
      <c r="B62">
        <v>300</v>
      </c>
      <c r="C62">
        <v>-150926</v>
      </c>
      <c r="D62">
        <f>C62/35280</f>
        <v>-4.2779478458049889</v>
      </c>
      <c r="E62">
        <f>C62-17640*$H$15-8820*$D$24-8820*$D$29</f>
        <v>-10737.126486545134</v>
      </c>
      <c r="F62">
        <f>E62/35280</f>
        <v>-0.30434031991341082</v>
      </c>
      <c r="G62">
        <f>(E62-$S$13*17640)</f>
        <v>-66.276388888889414</v>
      </c>
      <c r="H62">
        <f>(E62-$Q$11*17640)/35280</f>
        <v>-1.874153596623798E-3</v>
      </c>
      <c r="I62">
        <f t="shared" si="16"/>
        <v>2759.6970496199997</v>
      </c>
      <c r="J62">
        <f t="shared" si="13"/>
        <v>-6.7911570108097993E-7</v>
      </c>
      <c r="K62">
        <f t="shared" si="14"/>
        <v>-2.4015820467690623E-2</v>
      </c>
      <c r="L62">
        <f t="shared" si="15"/>
        <v>-0.38473344389240377</v>
      </c>
      <c r="M62" s="2" t="s">
        <v>223</v>
      </c>
    </row>
    <row r="63" spans="1:15" x14ac:dyDescent="0.2">
      <c r="A63" s="2" t="s">
        <v>207</v>
      </c>
      <c r="B63">
        <v>300</v>
      </c>
      <c r="C63">
        <v>-100640</v>
      </c>
      <c r="D63">
        <f>C63/23520</f>
        <v>-4.27891156462585</v>
      </c>
      <c r="E63">
        <f>C63-11760*$H$15-5880*$D$24-5880*$D$29</f>
        <v>-7180.7509910300905</v>
      </c>
      <c r="F63">
        <f>E63/23520</f>
        <v>-0.30530403873427253</v>
      </c>
      <c r="G63">
        <f>(E63-$S$13*11760)</f>
        <v>-66.850925925928095</v>
      </c>
      <c r="H63">
        <f>(E63-$Q$12*11760)/23520</f>
        <v>-2.8265345490049152E-3</v>
      </c>
      <c r="I63">
        <f t="shared" si="16"/>
        <v>2759.6970496199997</v>
      </c>
      <c r="J63">
        <f t="shared" si="13"/>
        <v>-1.0242191436897463E-6</v>
      </c>
      <c r="K63">
        <f t="shared" si="14"/>
        <v>-2.4224008912548292E-2</v>
      </c>
      <c r="L63">
        <f t="shared" si="15"/>
        <v>-0.38806862277902365</v>
      </c>
      <c r="M63" s="2" t="s">
        <v>224</v>
      </c>
      <c r="O63">
        <f>AVERAGE(L63:L66)</f>
        <v>-0.38661737652699335</v>
      </c>
    </row>
    <row r="64" spans="1:15" x14ac:dyDescent="0.2">
      <c r="A64" s="2" t="s">
        <v>235</v>
      </c>
      <c r="B64">
        <v>300</v>
      </c>
      <c r="C64">
        <v>-100639</v>
      </c>
      <c r="D64">
        <f>C64/23520</f>
        <v>-4.2788690476190476</v>
      </c>
      <c r="E64">
        <f t="shared" ref="E64:E66" si="17">C64-11760*$H$15-5880*$D$24-5880*$D$29</f>
        <v>-7179.7509910300905</v>
      </c>
      <c r="F64">
        <f>E64/23520</f>
        <v>-0.30526152172746984</v>
      </c>
      <c r="G64">
        <f>(E64-$S$13*11760)</f>
        <v>-65.850925925928095</v>
      </c>
      <c r="H64">
        <f>(E64-$Q$12*11760)/23520</f>
        <v>-2.7840175422021943E-3</v>
      </c>
      <c r="I64">
        <f t="shared" si="16"/>
        <v>2759.6970496199997</v>
      </c>
      <c r="J64">
        <f t="shared" si="13"/>
        <v>-1.0088127400018576E-6</v>
      </c>
      <c r="K64">
        <f t="shared" si="14"/>
        <v>-2.386165029780915E-2</v>
      </c>
      <c r="L64">
        <f t="shared" si="15"/>
        <v>-0.38226363777090255</v>
      </c>
      <c r="M64" s="2" t="s">
        <v>224</v>
      </c>
    </row>
    <row r="65" spans="1:15" x14ac:dyDescent="0.2">
      <c r="A65" s="2" t="s">
        <v>236</v>
      </c>
      <c r="B65">
        <v>300</v>
      </c>
      <c r="C65">
        <v>-100641</v>
      </c>
      <c r="D65">
        <f>C65/23520</f>
        <v>-4.2789540816326532</v>
      </c>
      <c r="E65">
        <f t="shared" si="17"/>
        <v>-7181.7509910300905</v>
      </c>
      <c r="F65">
        <f>E65/23520</f>
        <v>-0.30534655574107528</v>
      </c>
      <c r="G65">
        <f>(E65-$S$13*11760)</f>
        <v>-67.850925925928095</v>
      </c>
      <c r="H65">
        <f>(E65-$Q$12*11760)/23520</f>
        <v>-2.8690515558076365E-3</v>
      </c>
      <c r="I65">
        <f t="shared" si="16"/>
        <v>2759.6970496199997</v>
      </c>
      <c r="J65">
        <f t="shared" si="13"/>
        <v>-1.039625547377635E-6</v>
      </c>
      <c r="K65">
        <f t="shared" si="14"/>
        <v>-2.4586367527287434E-2</v>
      </c>
      <c r="L65">
        <f t="shared" si="15"/>
        <v>-0.3938736077871447</v>
      </c>
      <c r="M65" s="2" t="s">
        <v>224</v>
      </c>
    </row>
    <row r="66" spans="1:15" x14ac:dyDescent="0.2">
      <c r="A66" s="2" t="s">
        <v>237</v>
      </c>
      <c r="B66">
        <v>300</v>
      </c>
      <c r="C66">
        <v>-100639</v>
      </c>
      <c r="D66">
        <f>C66/23520</f>
        <v>-4.2788690476190476</v>
      </c>
      <c r="E66">
        <f t="shared" si="17"/>
        <v>-7179.7509910300905</v>
      </c>
      <c r="F66">
        <f>E66/23520</f>
        <v>-0.30526152172746984</v>
      </c>
      <c r="G66">
        <f>(E66-$S$13*11760)</f>
        <v>-65.850925925928095</v>
      </c>
      <c r="H66">
        <f>(E66-$Q$12*11760)/23520</f>
        <v>-2.7840175422021943E-3</v>
      </c>
      <c r="I66">
        <f t="shared" si="16"/>
        <v>2759.6970496199997</v>
      </c>
      <c r="J66">
        <f t="shared" si="13"/>
        <v>-1.0088127400018576E-6</v>
      </c>
      <c r="K66">
        <f t="shared" si="14"/>
        <v>-2.386165029780915E-2</v>
      </c>
      <c r="L66">
        <f t="shared" si="15"/>
        <v>-0.38226363777090255</v>
      </c>
      <c r="M66" s="2" t="s">
        <v>224</v>
      </c>
    </row>
    <row r="67" spans="1:15" x14ac:dyDescent="0.2">
      <c r="A67" s="2" t="s">
        <v>226</v>
      </c>
      <c r="B67">
        <v>300</v>
      </c>
      <c r="C67">
        <v>-147829</v>
      </c>
      <c r="D67">
        <f>C67/34560</f>
        <v>-4.2774594907407408</v>
      </c>
      <c r="E67">
        <f>C67-17280*$H$15-8640*$D$24-8640*$D$29</f>
        <v>-10501.12390518708</v>
      </c>
      <c r="F67">
        <f>E67/34560</f>
        <v>-0.30385196484916321</v>
      </c>
      <c r="G67">
        <f>(E67-$S$13*17280)</f>
        <v>-48.046258503412901</v>
      </c>
      <c r="H67">
        <f>(E67-$Q$13*17280)/34560</f>
        <v>-1.4104229654826647E-3</v>
      </c>
      <c r="I67">
        <f>2*(24.1936*41.9022)</f>
        <v>2027.53013184</v>
      </c>
      <c r="J67">
        <f t="shared" si="13"/>
        <v>-6.9563600724527556E-7</v>
      </c>
      <c r="K67">
        <f t="shared" si="14"/>
        <v>-2.3696939319866252E-2</v>
      </c>
      <c r="L67">
        <f t="shared" si="15"/>
        <v>-0.37962496790425732</v>
      </c>
      <c r="M67" s="2" t="s">
        <v>225</v>
      </c>
      <c r="O67">
        <f>AVERAGE(L67:L70)</f>
        <v>-0.37764965817292162</v>
      </c>
    </row>
    <row r="68" spans="1:15" x14ac:dyDescent="0.2">
      <c r="A68" s="2" t="s">
        <v>238</v>
      </c>
      <c r="B68">
        <v>300</v>
      </c>
      <c r="C68">
        <v>-147830</v>
      </c>
      <c r="D68">
        <f>C68/34560</f>
        <v>-4.2774884259259256</v>
      </c>
      <c r="E68">
        <f t="shared" ref="E68:E69" si="18">C68-17280*$H$15-8640*$D$24-8640*$D$29</f>
        <v>-10502.12390518708</v>
      </c>
      <c r="F68">
        <f>E68/34560</f>
        <v>-0.30388090003434837</v>
      </c>
      <c r="G68">
        <f>(E68-$S$13*17280)</f>
        <v>-49.046258503412901</v>
      </c>
      <c r="H68">
        <f>(E68-$Q$13*17280)/34560</f>
        <v>-1.4393581506678499E-3</v>
      </c>
      <c r="I68">
        <f>2*(24.1936*41.9022)</f>
        <v>2027.53013184</v>
      </c>
      <c r="J68">
        <f t="shared" si="13"/>
        <v>-7.0990715652724761E-7</v>
      </c>
      <c r="K68">
        <f t="shared" si="14"/>
        <v>-2.4190150239051206E-2</v>
      </c>
      <c r="L68">
        <f t="shared" si="15"/>
        <v>-0.38752620682960032</v>
      </c>
      <c r="M68" s="2" t="s">
        <v>225</v>
      </c>
    </row>
    <row r="69" spans="1:15" x14ac:dyDescent="0.2">
      <c r="A69" s="2" t="s">
        <v>239</v>
      </c>
      <c r="B69">
        <v>300</v>
      </c>
      <c r="C69">
        <v>-147826</v>
      </c>
      <c r="D69">
        <f>C69/34560</f>
        <v>-4.2773726851851848</v>
      </c>
      <c r="E69">
        <f t="shared" si="18"/>
        <v>-10498.12390518708</v>
      </c>
      <c r="F69">
        <f>E69/34560</f>
        <v>-0.30376515929360765</v>
      </c>
      <c r="G69">
        <f>(E69-$S$13*17280)</f>
        <v>-45.046258503412901</v>
      </c>
      <c r="H69">
        <f>(E69-$Q$13*17280)/34560</f>
        <v>-1.3236174099271092E-3</v>
      </c>
      <c r="I69">
        <f>2*(24.1936*41.9022)</f>
        <v>2027.53013184</v>
      </c>
      <c r="J69">
        <f t="shared" si="13"/>
        <v>-6.5282255939935932E-7</v>
      </c>
      <c r="K69">
        <f t="shared" si="14"/>
        <v>-2.2217306562311384E-2</v>
      </c>
      <c r="L69">
        <f t="shared" si="15"/>
        <v>-0.35592125112822837</v>
      </c>
      <c r="M69" s="2" t="s">
        <v>225</v>
      </c>
    </row>
    <row r="70" spans="1:15" x14ac:dyDescent="0.2">
      <c r="A70" s="2" t="s">
        <v>240</v>
      </c>
      <c r="B70">
        <v>300</v>
      </c>
      <c r="C70">
        <v>-147830</v>
      </c>
      <c r="D70">
        <f>C70/34560</f>
        <v>-4.2774884259259256</v>
      </c>
      <c r="E70">
        <f>C70-17280*$H$15-8640*$D$24-8640*$D$29</f>
        <v>-10502.12390518708</v>
      </c>
      <c r="F70">
        <f>E70/34560</f>
        <v>-0.30388090003434837</v>
      </c>
      <c r="G70">
        <f>(E70-$S$13*17280)</f>
        <v>-49.046258503412901</v>
      </c>
      <c r="H70">
        <f>(E70-$Q$13*17280)/34560</f>
        <v>-1.4393581506678499E-3</v>
      </c>
      <c r="I70">
        <f>2*(24.1936*41.9022)</f>
        <v>2027.53013184</v>
      </c>
      <c r="J70">
        <f t="shared" si="13"/>
        <v>-7.0990715652724761E-7</v>
      </c>
      <c r="K70">
        <f t="shared" si="14"/>
        <v>-2.4190150239051206E-2</v>
      </c>
      <c r="L70">
        <f t="shared" si="15"/>
        <v>-0.38752620682960032</v>
      </c>
      <c r="M70" s="2" t="s">
        <v>225</v>
      </c>
    </row>
    <row r="71" spans="1:15" x14ac:dyDescent="0.2">
      <c r="L71">
        <f>AVERAGE(L59:L70)</f>
        <v>-0.38396765703212637</v>
      </c>
      <c r="O71">
        <f>AVERAGE(O59:O70)</f>
        <v>-0.38396765703212643</v>
      </c>
    </row>
    <row r="74" spans="1:15" x14ac:dyDescent="0.2">
      <c r="A74" t="s">
        <v>94</v>
      </c>
      <c r="B74">
        <v>500</v>
      </c>
      <c r="C74">
        <v>-149945</v>
      </c>
      <c r="D74">
        <f>C74/35280</f>
        <v>-4.250141723356009</v>
      </c>
      <c r="E74">
        <f>C74-17640*$D$7-8820*$D$25-8820*$D$30</f>
        <v>-10738.511058593747</v>
      </c>
      <c r="F74">
        <f>E74/35280</f>
        <v>-0.304379565152884</v>
      </c>
      <c r="G74">
        <f>(E74-$P$6*17640)</f>
        <v>-60.918800000004921</v>
      </c>
      <c r="H74">
        <f>(E74-$P$6*17640)/35280</f>
        <v>-1.7267233560092098E-3</v>
      </c>
      <c r="I74">
        <f>2*(28.2889*48.9988)</f>
        <v>2772.2443066400001</v>
      </c>
      <c r="J74">
        <f t="shared" ref="J74:J98" si="19">H74/I74</f>
        <v>-6.2286117853084285E-7</v>
      </c>
      <c r="K74">
        <f t="shared" ref="K74:K98" si="20">G74/I74</f>
        <v>-2.1974542378568135E-2</v>
      </c>
      <c r="L74">
        <f t="shared" ref="L74:L98" si="21">K74*16.02</f>
        <v>-0.35203216890466149</v>
      </c>
      <c r="M74" t="s">
        <v>214</v>
      </c>
    </row>
    <row r="75" spans="1:15" x14ac:dyDescent="0.2">
      <c r="A75" s="2" t="s">
        <v>97</v>
      </c>
      <c r="B75">
        <v>500</v>
      </c>
      <c r="C75">
        <v>-195847</v>
      </c>
      <c r="D75">
        <f>C75/46080</f>
        <v>-4.2501519097222218</v>
      </c>
      <c r="E75">
        <f>C75-23040*$D$7-11520*$D$25-11520*$D$30</f>
        <v>-14026.279750000002</v>
      </c>
      <c r="F75">
        <f>E75/46080</f>
        <v>-0.30438975151909725</v>
      </c>
      <c r="G75">
        <f>(E75-$P$6*23040)</f>
        <v>-80.036800000010771</v>
      </c>
      <c r="H75">
        <f>(E75-$P$6*23040)/46080</f>
        <v>-1.7369097222224559E-3</v>
      </c>
      <c r="I75">
        <f>2*(32.3305*55.9974)</f>
        <v>3620.8478814</v>
      </c>
      <c r="J75">
        <f t="shared" si="19"/>
        <v>-4.7969696024647137E-7</v>
      </c>
      <c r="K75">
        <f t="shared" si="20"/>
        <v>-2.21044359281574E-2</v>
      </c>
      <c r="L75">
        <f t="shared" si="21"/>
        <v>-0.35411306356908157</v>
      </c>
      <c r="M75" s="2" t="s">
        <v>210</v>
      </c>
    </row>
    <row r="76" spans="1:15" x14ac:dyDescent="0.2">
      <c r="A76" s="2" t="s">
        <v>99</v>
      </c>
      <c r="B76">
        <v>500</v>
      </c>
      <c r="C76">
        <v>-99988.5</v>
      </c>
      <c r="D76">
        <f>C76/23520</f>
        <v>-4.2512117346938778</v>
      </c>
      <c r="E76">
        <f>C76-11760*$D$7-5880*$D$25-5880*$D$30</f>
        <v>-7184.1740390625018</v>
      </c>
      <c r="F76">
        <f>E76/23520</f>
        <v>-0.30544957649075261</v>
      </c>
      <c r="G76">
        <f>(E76-$P$6*11760)</f>
        <v>-65.779200000006313</v>
      </c>
      <c r="H76">
        <f>(E76-$P$6*11760)/23520</f>
        <v>-2.7967346938778193E-3</v>
      </c>
      <c r="I76">
        <f>2*(28.2889*48.9981)</f>
        <v>2772.2047021800004</v>
      </c>
      <c r="J76">
        <f t="shared" si="19"/>
        <v>-1.0088485499207649E-6</v>
      </c>
      <c r="K76">
        <f t="shared" si="20"/>
        <v>-2.372811789413639E-2</v>
      </c>
      <c r="L76">
        <f t="shared" si="21"/>
        <v>-0.38012444866406497</v>
      </c>
      <c r="M76" s="2" t="s">
        <v>215</v>
      </c>
    </row>
    <row r="77" spans="1:15" x14ac:dyDescent="0.2">
      <c r="A77" s="2" t="s">
        <v>191</v>
      </c>
      <c r="B77">
        <v>500</v>
      </c>
      <c r="C77">
        <v>-130599</v>
      </c>
      <c r="D77">
        <f>C77/30720</f>
        <v>-4.2512695312500002</v>
      </c>
      <c r="E77">
        <f>C77-15360*$D$7-7680*$D$25-7680*$D$30</f>
        <v>-9385.1864999999889</v>
      </c>
      <c r="F77">
        <f>E77/30720</f>
        <v>-0.30550737304687464</v>
      </c>
      <c r="G77">
        <f>(E77-$P$6*15360)</f>
        <v>-87.691199999995661</v>
      </c>
      <c r="H77">
        <f>(E77-$P$6*15360)/30720</f>
        <v>-2.8545312499998589E-3</v>
      </c>
      <c r="I77">
        <f>2*(32.3314*55.9958)</f>
        <v>3620.8452162400004</v>
      </c>
      <c r="J77">
        <f t="shared" si="19"/>
        <v>-7.8836047373604497E-7</v>
      </c>
      <c r="K77">
        <f t="shared" si="20"/>
        <v>-2.4218433753171301E-2</v>
      </c>
      <c r="L77">
        <f t="shared" si="21"/>
        <v>-0.38797930872580422</v>
      </c>
      <c r="M77" s="2" t="s">
        <v>212</v>
      </c>
    </row>
    <row r="78" spans="1:15" x14ac:dyDescent="0.2">
      <c r="A78" s="2" t="s">
        <v>202</v>
      </c>
      <c r="B78">
        <v>500</v>
      </c>
      <c r="C78">
        <v>-110162</v>
      </c>
      <c r="D78">
        <f>C78/25920</f>
        <v>-4.2500771604938272</v>
      </c>
      <c r="E78">
        <f>C78-12960*$D$7-6480*$D$25-6480*$D$30</f>
        <v>-7887.8448593750036</v>
      </c>
      <c r="F78">
        <f>E78/25920</f>
        <v>-0.3043150022907023</v>
      </c>
      <c r="G78">
        <f>(E78-$P$6*12960)</f>
        <v>-43.083200000009128</v>
      </c>
      <c r="H78">
        <f>(E78-$P$6*12960)/25920</f>
        <v>-1.6621604938275127E-3</v>
      </c>
      <c r="I78">
        <f>2*(24.2488*41.9958)</f>
        <v>2036.6955100800001</v>
      </c>
      <c r="J78">
        <f t="shared" si="19"/>
        <v>-8.1610652431900538E-7</v>
      </c>
      <c r="K78">
        <f t="shared" si="20"/>
        <v>-2.1153481110348621E-2</v>
      </c>
      <c r="L78">
        <f t="shared" si="21"/>
        <v>-0.33887876738778488</v>
      </c>
      <c r="M78" s="2" t="s">
        <v>218</v>
      </c>
    </row>
    <row r="79" spans="1:15" x14ac:dyDescent="0.2">
      <c r="A79" s="2" t="s">
        <v>205</v>
      </c>
      <c r="B79">
        <v>500</v>
      </c>
      <c r="C79">
        <v>-149944</v>
      </c>
      <c r="D79">
        <f>C79/35280</f>
        <v>-4.2501133786848069</v>
      </c>
      <c r="E79">
        <f>C79-17640*$H$20-8820*$D$25-8820*$D$30</f>
        <v>-10729.714919704867</v>
      </c>
      <c r="F79">
        <f>E79/35280</f>
        <v>-0.3041302414882332</v>
      </c>
      <c r="G79">
        <f>(E79-$S$18*17640)</f>
        <v>-68.005277777780066</v>
      </c>
      <c r="H79">
        <f>(E79-$Q$14*17640)/35280</f>
        <v>-1.9339529793400857E-3</v>
      </c>
      <c r="I79">
        <f t="shared" ref="I79:I86" si="22">2*(28.2922*49.0008)</f>
        <v>2772.68086752</v>
      </c>
      <c r="J79">
        <f t="shared" si="19"/>
        <v>-6.9750291207148298E-7</v>
      </c>
      <c r="K79">
        <f t="shared" si="20"/>
        <v>-2.452690411450301E-2</v>
      </c>
      <c r="L79">
        <f t="shared" si="21"/>
        <v>-0.39292100391433821</v>
      </c>
      <c r="M79" s="2" t="s">
        <v>223</v>
      </c>
      <c r="O79">
        <f>AVERAGE(L79:L82)</f>
        <v>-0.38714320229725963</v>
      </c>
    </row>
    <row r="80" spans="1:15" x14ac:dyDescent="0.2">
      <c r="A80" s="2" t="s">
        <v>232</v>
      </c>
      <c r="B80">
        <v>500</v>
      </c>
      <c r="C80">
        <v>-149943</v>
      </c>
      <c r="D80">
        <f>C80/35280</f>
        <v>-4.2500850340136056</v>
      </c>
      <c r="E80">
        <f t="shared" ref="E80:E82" si="23">C80-17640*$H$20-8820*$D$25-8820*$D$30</f>
        <v>-10728.714919704867</v>
      </c>
      <c r="F80">
        <f>E80/35280</f>
        <v>-0.30410189681703137</v>
      </c>
      <c r="G80">
        <f>(E80-$S$18*17640)</f>
        <v>-67.005277777780066</v>
      </c>
      <c r="H80">
        <f>(E80-$Q$14*17640)/35280</f>
        <v>-1.9056083081382717E-3</v>
      </c>
      <c r="I80">
        <f t="shared" si="22"/>
        <v>2772.68086752</v>
      </c>
      <c r="J80">
        <f t="shared" si="19"/>
        <v>-6.8728007267663882E-7</v>
      </c>
      <c r="K80">
        <f t="shared" si="20"/>
        <v>-2.416624234065291E-2</v>
      </c>
      <c r="L80">
        <f t="shared" si="21"/>
        <v>-0.38714320229725963</v>
      </c>
      <c r="M80" s="2" t="s">
        <v>223</v>
      </c>
    </row>
    <row r="81" spans="1:15" x14ac:dyDescent="0.2">
      <c r="A81" s="2" t="s">
        <v>233</v>
      </c>
      <c r="B81">
        <v>500</v>
      </c>
      <c r="C81">
        <v>-149941</v>
      </c>
      <c r="D81">
        <f>C81/35280</f>
        <v>-4.2500283446712022</v>
      </c>
      <c r="E81">
        <f t="shared" si="23"/>
        <v>-10726.714919704867</v>
      </c>
      <c r="F81">
        <f>E81/35280</f>
        <v>-0.30404520747462777</v>
      </c>
      <c r="G81">
        <f>(E81-$S$18*17640)</f>
        <v>-65.005277777780066</v>
      </c>
      <c r="H81">
        <f>(E81-$Q$14*17640)/35280</f>
        <v>-1.8489189657346435E-3</v>
      </c>
      <c r="I81">
        <f t="shared" si="22"/>
        <v>2772.68086752</v>
      </c>
      <c r="J81">
        <f t="shared" si="19"/>
        <v>-6.6683439388695059E-7</v>
      </c>
      <c r="K81">
        <f t="shared" si="20"/>
        <v>-2.3444918792952709E-2</v>
      </c>
      <c r="L81">
        <f t="shared" si="21"/>
        <v>-0.37558759906310241</v>
      </c>
      <c r="M81" s="2" t="s">
        <v>223</v>
      </c>
    </row>
    <row r="82" spans="1:15" x14ac:dyDescent="0.2">
      <c r="A82" s="2" t="s">
        <v>234</v>
      </c>
      <c r="B82">
        <v>500</v>
      </c>
      <c r="C82">
        <v>-149944</v>
      </c>
      <c r="D82">
        <f>C82/35280</f>
        <v>-4.2501133786848069</v>
      </c>
      <c r="E82">
        <f t="shared" si="23"/>
        <v>-10729.714919704867</v>
      </c>
      <c r="F82">
        <f>E82/35280</f>
        <v>-0.3041302414882332</v>
      </c>
      <c r="G82">
        <f>(E82-$S$18*17640)</f>
        <v>-68.005277777780066</v>
      </c>
      <c r="H82">
        <f>(E82-$Q$14*17640)/35280</f>
        <v>-1.9339529793400857E-3</v>
      </c>
      <c r="I82">
        <f t="shared" si="22"/>
        <v>2772.68086752</v>
      </c>
      <c r="J82">
        <f t="shared" si="19"/>
        <v>-6.9750291207148298E-7</v>
      </c>
      <c r="K82">
        <f t="shared" si="20"/>
        <v>-2.452690411450301E-2</v>
      </c>
      <c r="L82">
        <f t="shared" si="21"/>
        <v>-0.39292100391433821</v>
      </c>
      <c r="M82" s="2" t="s">
        <v>223</v>
      </c>
    </row>
    <row r="83" spans="1:15" x14ac:dyDescent="0.2">
      <c r="A83" s="2" t="s">
        <v>207</v>
      </c>
      <c r="B83">
        <v>500</v>
      </c>
      <c r="C83">
        <v>-99983.9</v>
      </c>
      <c r="D83">
        <f>C83/23520</f>
        <v>-4.251016156462585</v>
      </c>
      <c r="E83">
        <f>C83-11760*$H$20-5880*$D$25-5880*$D$30</f>
        <v>-7174.3766131365737</v>
      </c>
      <c r="F83">
        <f>E83/23520</f>
        <v>-0.30503301926601079</v>
      </c>
      <c r="G83">
        <f>(E83-$S$18*11760)</f>
        <v>-66.570185185181799</v>
      </c>
      <c r="H83">
        <f>(E83-$Q$15*11760)/23520</f>
        <v>-2.8268101221969192E-3</v>
      </c>
      <c r="I83">
        <f t="shared" si="22"/>
        <v>2772.68086752</v>
      </c>
      <c r="J83">
        <f t="shared" si="19"/>
        <v>-1.0195223530089616E-6</v>
      </c>
      <c r="K83">
        <f t="shared" si="20"/>
        <v>-2.4009321074417379E-2</v>
      </c>
      <c r="L83">
        <f t="shared" si="21"/>
        <v>-0.3846293236121664</v>
      </c>
      <c r="M83" s="2" t="s">
        <v>224</v>
      </c>
      <c r="O83">
        <f>AVERAGE(L83:L86)</f>
        <v>-0.38231820296536856</v>
      </c>
    </row>
    <row r="84" spans="1:15" x14ac:dyDescent="0.2">
      <c r="A84" s="2" t="s">
        <v>235</v>
      </c>
      <c r="B84">
        <v>500</v>
      </c>
      <c r="C84">
        <v>-99981.5</v>
      </c>
      <c r="D84">
        <f>C84/23520</f>
        <v>-4.2509141156462587</v>
      </c>
      <c r="E84">
        <f t="shared" ref="E84:E86" si="24">C84-11760*$H$20-5880*$D$25-5880*$D$30</f>
        <v>-7171.9766131365795</v>
      </c>
      <c r="F84">
        <f>E84/23520</f>
        <v>-0.30493097844968453</v>
      </c>
      <c r="G84">
        <f>(E84-$S$18*11760)</f>
        <v>-64.17018518518762</v>
      </c>
      <c r="H84">
        <f>(E84-$Q$15*11760)/23520</f>
        <v>-2.7247693058706363E-3</v>
      </c>
      <c r="I84">
        <f t="shared" si="22"/>
        <v>2772.68086752</v>
      </c>
      <c r="J84">
        <f t="shared" si="19"/>
        <v>-9.8272013118761208E-7</v>
      </c>
      <c r="K84">
        <f t="shared" si="20"/>
        <v>-2.3143732817179238E-2</v>
      </c>
      <c r="L84">
        <f t="shared" si="21"/>
        <v>-0.3707625997312114</v>
      </c>
      <c r="M84" s="2" t="s">
        <v>224</v>
      </c>
    </row>
    <row r="85" spans="1:15" x14ac:dyDescent="0.2">
      <c r="A85" s="2" t="s">
        <v>236</v>
      </c>
      <c r="B85">
        <v>500</v>
      </c>
      <c r="C85">
        <v>-99982.5</v>
      </c>
      <c r="D85">
        <f>C85/23520</f>
        <v>-4.250956632653061</v>
      </c>
      <c r="E85">
        <f t="shared" si="24"/>
        <v>-7172.9766131365795</v>
      </c>
      <c r="F85">
        <f>E85/23520</f>
        <v>-0.30497349545648722</v>
      </c>
      <c r="G85">
        <f>(E85-$S$18*11760)</f>
        <v>-65.17018518518762</v>
      </c>
      <c r="H85">
        <f>(E85-$Q$15*11760)/23520</f>
        <v>-2.7672863126733571E-3</v>
      </c>
      <c r="I85">
        <f t="shared" si="22"/>
        <v>2772.68086752</v>
      </c>
      <c r="J85">
        <f t="shared" si="19"/>
        <v>-9.9805439027987807E-7</v>
      </c>
      <c r="K85">
        <f t="shared" si="20"/>
        <v>-2.3504394591029338E-2</v>
      </c>
      <c r="L85">
        <f t="shared" si="21"/>
        <v>-0.37654040134828998</v>
      </c>
      <c r="M85" s="2" t="s">
        <v>224</v>
      </c>
    </row>
    <row r="86" spans="1:15" x14ac:dyDescent="0.2">
      <c r="A86" s="2" t="s">
        <v>237</v>
      </c>
      <c r="B86">
        <v>500</v>
      </c>
      <c r="C86">
        <v>-99986.1</v>
      </c>
      <c r="D86">
        <f>C86/23520</f>
        <v>-4.2511096938775514</v>
      </c>
      <c r="E86">
        <f t="shared" si="24"/>
        <v>-7176.5766131365854</v>
      </c>
      <c r="F86">
        <f>E86/23520</f>
        <v>-0.30512655668097727</v>
      </c>
      <c r="G86">
        <f>(E86-$S$18*11760)</f>
        <v>-68.770185185193441</v>
      </c>
      <c r="H86">
        <f>(E86-$Q$15*11760)/23520</f>
        <v>-2.9203475371634008E-3</v>
      </c>
      <c r="I86">
        <f t="shared" si="22"/>
        <v>2772.68086752</v>
      </c>
      <c r="J86">
        <f t="shared" si="19"/>
        <v>-1.0532577230121257E-6</v>
      </c>
      <c r="K86">
        <f t="shared" si="20"/>
        <v>-2.4802776976891802E-2</v>
      </c>
      <c r="L86">
        <f t="shared" si="21"/>
        <v>-0.39734048716980663</v>
      </c>
      <c r="M86" s="2" t="s">
        <v>224</v>
      </c>
    </row>
    <row r="87" spans="1:15" x14ac:dyDescent="0.2">
      <c r="A87" s="2" t="s">
        <v>226</v>
      </c>
      <c r="B87">
        <v>500</v>
      </c>
      <c r="C87">
        <v>-146864</v>
      </c>
      <c r="D87">
        <f>C87/34560</f>
        <v>-4.2495370370370367</v>
      </c>
      <c r="E87">
        <f>C87-17280*$H$20-8640*$D$25-8640*$D$30</f>
        <v>-10490.822778486388</v>
      </c>
      <c r="F87">
        <f>E87/34560</f>
        <v>-0.3035538998404626</v>
      </c>
      <c r="G87">
        <f>(E87-$S$18*17280)</f>
        <v>-46.699047619036719</v>
      </c>
      <c r="H87">
        <f>(E87-$Q$16*17280)/34560</f>
        <v>-1.3777478584024215E-3</v>
      </c>
      <c r="I87">
        <f t="shared" ref="I87:I94" si="25">2*(24.2505*42.0006)</f>
        <v>2037.0711005999999</v>
      </c>
      <c r="J87">
        <f t="shared" si="19"/>
        <v>-6.7633763887604069E-7</v>
      </c>
      <c r="K87">
        <f t="shared" si="20"/>
        <v>-2.2924603665174945E-2</v>
      </c>
      <c r="L87">
        <f t="shared" si="21"/>
        <v>-0.36725215071610262</v>
      </c>
      <c r="M87" s="2" t="s">
        <v>225</v>
      </c>
      <c r="O87">
        <f>AVERAGE(L87:L90)</f>
        <v>-0.37904849891078374</v>
      </c>
    </row>
    <row r="88" spans="1:15" x14ac:dyDescent="0.2">
      <c r="A88" s="2" t="s">
        <v>238</v>
      </c>
      <c r="B88">
        <v>500</v>
      </c>
      <c r="C88">
        <v>-146867</v>
      </c>
      <c r="D88">
        <f>C88/34560</f>
        <v>-4.2496238425925927</v>
      </c>
      <c r="E88">
        <f t="shared" ref="E88:E90" si="26">C88-17280*$H$20-8640*$D$25-8640*$D$30</f>
        <v>-10493.822778486388</v>
      </c>
      <c r="F88">
        <f>E88/34560</f>
        <v>-0.30364070539601817</v>
      </c>
      <c r="G88">
        <f>(E88-$S$18*17280)</f>
        <v>-49.699047619036719</v>
      </c>
      <c r="H88">
        <f>(E88-$Q$16*17280)/34560</f>
        <v>-1.464553413957977E-3</v>
      </c>
      <c r="I88">
        <f t="shared" si="25"/>
        <v>2037.0711005999999</v>
      </c>
      <c r="J88">
        <f t="shared" si="19"/>
        <v>-7.1895056266156189E-7</v>
      </c>
      <c r="K88">
        <f t="shared" si="20"/>
        <v>-2.4397306311202557E-2</v>
      </c>
      <c r="L88">
        <f t="shared" si="21"/>
        <v>-0.39084484710546497</v>
      </c>
      <c r="M88" s="2" t="s">
        <v>225</v>
      </c>
    </row>
    <row r="89" spans="1:15" x14ac:dyDescent="0.2">
      <c r="A89" s="2" t="s">
        <v>239</v>
      </c>
      <c r="B89">
        <v>500</v>
      </c>
      <c r="C89">
        <v>-146864</v>
      </c>
      <c r="D89">
        <f>C89/34560</f>
        <v>-4.2495370370370367</v>
      </c>
      <c r="E89">
        <f t="shared" si="26"/>
        <v>-10490.822778486388</v>
      </c>
      <c r="F89">
        <f>E89/34560</f>
        <v>-0.3035538998404626</v>
      </c>
      <c r="G89">
        <f>(E89-$S$18*17280)</f>
        <v>-46.699047619036719</v>
      </c>
      <c r="H89">
        <f>(E89-$Q$16*17280)/34560</f>
        <v>-1.3777478584024215E-3</v>
      </c>
      <c r="I89">
        <f t="shared" si="25"/>
        <v>2037.0711005999999</v>
      </c>
      <c r="J89">
        <f t="shared" si="19"/>
        <v>-6.7633763887604069E-7</v>
      </c>
      <c r="K89">
        <f t="shared" si="20"/>
        <v>-2.2924603665174945E-2</v>
      </c>
      <c r="L89">
        <f t="shared" si="21"/>
        <v>-0.36725215071610262</v>
      </c>
      <c r="M89" s="2" t="s">
        <v>225</v>
      </c>
    </row>
    <row r="90" spans="1:15" x14ac:dyDescent="0.2">
      <c r="A90" s="2" t="s">
        <v>240</v>
      </c>
      <c r="B90">
        <v>500</v>
      </c>
      <c r="C90">
        <v>-146867</v>
      </c>
      <c r="D90">
        <f>C90/34560</f>
        <v>-4.2496238425925927</v>
      </c>
      <c r="E90">
        <f t="shared" si="26"/>
        <v>-10493.822778486388</v>
      </c>
      <c r="F90">
        <f>E90/34560</f>
        <v>-0.30364070539601817</v>
      </c>
      <c r="G90">
        <f>(E90-$S$18*17280)</f>
        <v>-49.699047619036719</v>
      </c>
      <c r="H90">
        <f>(E90-$Q$16*17280)/34560</f>
        <v>-1.464553413957977E-3</v>
      </c>
      <c r="I90">
        <f t="shared" si="25"/>
        <v>2037.0711005999999</v>
      </c>
      <c r="J90">
        <f t="shared" si="19"/>
        <v>-7.1895056266156189E-7</v>
      </c>
      <c r="K90">
        <f t="shared" si="20"/>
        <v>-2.4397306311202557E-2</v>
      </c>
      <c r="L90">
        <f t="shared" si="21"/>
        <v>-0.39084484710546497</v>
      </c>
      <c r="M90" s="2" t="s">
        <v>225</v>
      </c>
    </row>
    <row r="91" spans="1:15" x14ac:dyDescent="0.2">
      <c r="A91" s="2" t="s">
        <v>227</v>
      </c>
      <c r="B91">
        <v>500</v>
      </c>
      <c r="C91">
        <v>-110161</v>
      </c>
      <c r="D91">
        <f>C91/25920</f>
        <v>-4.2500385802469136</v>
      </c>
      <c r="E91">
        <f>C91-12960*$H$20-6480*$D$25-6480*$D$30</f>
        <v>-7881.1170838647995</v>
      </c>
      <c r="F91">
        <f>E91/25920</f>
        <v>-0.30405544305033949</v>
      </c>
      <c r="G91">
        <f>(E91-$S$18*12960)</f>
        <v>-48.024285714286634</v>
      </c>
      <c r="H91">
        <f>(E91-$Q$17*12960)/25920</f>
        <v>-1.8185271793903285E-3</v>
      </c>
      <c r="I91">
        <f t="shared" si="25"/>
        <v>2037.0711005999999</v>
      </c>
      <c r="J91">
        <f t="shared" si="19"/>
        <v>-8.927165963204223E-7</v>
      </c>
      <c r="K91">
        <f t="shared" si="20"/>
        <v>-2.3575164215005325E-2</v>
      </c>
      <c r="L91">
        <f t="shared" si="21"/>
        <v>-0.37767413072438533</v>
      </c>
      <c r="M91" s="2" t="s">
        <v>228</v>
      </c>
      <c r="O91">
        <f>AVERAGE(L91:L94)</f>
        <v>-0.38750442088661963</v>
      </c>
    </row>
    <row r="92" spans="1:15" x14ac:dyDescent="0.2">
      <c r="A92" s="2" t="s">
        <v>241</v>
      </c>
      <c r="B92">
        <v>500</v>
      </c>
      <c r="C92">
        <v>-110161</v>
      </c>
      <c r="D92">
        <f>C92/25920</f>
        <v>-4.2500385802469136</v>
      </c>
      <c r="E92">
        <f t="shared" ref="E92:E94" si="27">C92-12960*$H$20-6480*$D$25-6480*$D$30</f>
        <v>-7881.1170838647995</v>
      </c>
      <c r="F92">
        <f>E92/25920</f>
        <v>-0.30405544305033949</v>
      </c>
      <c r="G92">
        <f>(E92-$S$18*12960)</f>
        <v>-48.024285714286634</v>
      </c>
      <c r="H92">
        <f>(E92-$Q$17*12960)/25920</f>
        <v>-1.8185271793903285E-3</v>
      </c>
      <c r="I92">
        <f t="shared" si="25"/>
        <v>2037.0711005999999</v>
      </c>
      <c r="J92">
        <f t="shared" si="19"/>
        <v>-8.927165963204223E-7</v>
      </c>
      <c r="K92">
        <f t="shared" si="20"/>
        <v>-2.3575164215005325E-2</v>
      </c>
      <c r="L92">
        <f t="shared" si="21"/>
        <v>-0.37767413072438533</v>
      </c>
      <c r="M92" s="2" t="s">
        <v>228</v>
      </c>
    </row>
    <row r="93" spans="1:15" x14ac:dyDescent="0.2">
      <c r="A93" s="2" t="s">
        <v>242</v>
      </c>
      <c r="B93">
        <v>500</v>
      </c>
      <c r="C93">
        <v>-110161</v>
      </c>
      <c r="D93">
        <f>C93/25920</f>
        <v>-4.2500385802469136</v>
      </c>
      <c r="E93">
        <f t="shared" si="27"/>
        <v>-7881.1170838647995</v>
      </c>
      <c r="F93">
        <f>E93/25920</f>
        <v>-0.30405544305033949</v>
      </c>
      <c r="G93">
        <f>(E93-$S$18*12960)</f>
        <v>-48.024285714286634</v>
      </c>
      <c r="H93">
        <f>(E93-$Q$17*12960)/25920</f>
        <v>-1.8185271793903285E-3</v>
      </c>
      <c r="I93">
        <f t="shared" si="25"/>
        <v>2037.0711005999999</v>
      </c>
      <c r="J93">
        <f t="shared" si="19"/>
        <v>-8.927165963204223E-7</v>
      </c>
      <c r="K93">
        <f t="shared" si="20"/>
        <v>-2.3575164215005325E-2</v>
      </c>
      <c r="L93">
        <f t="shared" si="21"/>
        <v>-0.37767413072438533</v>
      </c>
      <c r="M93" s="2" t="s">
        <v>228</v>
      </c>
    </row>
    <row r="94" spans="1:15" x14ac:dyDescent="0.2">
      <c r="A94" s="2" t="s">
        <v>243</v>
      </c>
      <c r="B94">
        <v>500</v>
      </c>
      <c r="C94">
        <v>-110166</v>
      </c>
      <c r="D94">
        <f>C94/25920</f>
        <v>-4.2502314814814817</v>
      </c>
      <c r="E94">
        <f t="shared" si="27"/>
        <v>-7886.1170838647995</v>
      </c>
      <c r="F94">
        <f>E94/25920</f>
        <v>-0.30424834428490738</v>
      </c>
      <c r="G94">
        <f>(E94-$S$18*12960)</f>
        <v>-53.024285714286634</v>
      </c>
      <c r="H94">
        <f>(E94-$Q$17*12960)/25920</f>
        <v>-2.0114284139582297E-3</v>
      </c>
      <c r="I94">
        <f t="shared" si="25"/>
        <v>2037.0711005999999</v>
      </c>
      <c r="J94">
        <f t="shared" si="19"/>
        <v>-9.874119825104694E-7</v>
      </c>
      <c r="K94">
        <f t="shared" si="20"/>
        <v>-2.6029668625051346E-2</v>
      </c>
      <c r="L94">
        <f t="shared" si="21"/>
        <v>-0.41699529137332253</v>
      </c>
      <c r="M94" s="2" t="s">
        <v>228</v>
      </c>
    </row>
    <row r="95" spans="1:15" x14ac:dyDescent="0.2">
      <c r="A95" s="2" t="s">
        <v>230</v>
      </c>
      <c r="B95">
        <v>500</v>
      </c>
      <c r="C95">
        <v>-199903</v>
      </c>
      <c r="D95">
        <f>C95/47040</f>
        <v>-4.2496386054421773</v>
      </c>
      <c r="E95">
        <f>C95-23520*$H$20-11760*$D$25-11760*$D$30</f>
        <v>-14283.953226273159</v>
      </c>
      <c r="F95">
        <f>E95/47040</f>
        <v>-0.30365546824560286</v>
      </c>
      <c r="G95">
        <f>(E95-$S$18*23520)</f>
        <v>-68.34037037037524</v>
      </c>
      <c r="H95">
        <f>(E95-$Q$18*23520)/47040</f>
        <v>-1.4577625031493853E-3</v>
      </c>
      <c r="I95">
        <f>2*(28.2922*49.0008)</f>
        <v>2772.68086752</v>
      </c>
      <c r="J95">
        <f t="shared" si="19"/>
        <v>-5.2575921023802066E-7</v>
      </c>
      <c r="K95">
        <f t="shared" si="20"/>
        <v>-2.4647759203352416E-2</v>
      </c>
      <c r="L95">
        <f t="shared" si="21"/>
        <v>-0.39485710243770572</v>
      </c>
      <c r="M95" s="2" t="s">
        <v>229</v>
      </c>
      <c r="O95">
        <f>AVERAGE(L95:L98)</f>
        <v>-0.39196820162916635</v>
      </c>
    </row>
    <row r="96" spans="1:15" x14ac:dyDescent="0.2">
      <c r="A96" s="2" t="s">
        <v>244</v>
      </c>
      <c r="B96">
        <v>500</v>
      </c>
      <c r="C96">
        <v>-199904</v>
      </c>
      <c r="D96">
        <f>C96/47040</f>
        <v>-4.2496598639455785</v>
      </c>
      <c r="E96">
        <f t="shared" ref="E96:E98" si="28">C96-23520*$H$20-11760*$D$25-11760*$D$30</f>
        <v>-14284.953226273159</v>
      </c>
      <c r="F96">
        <f>E96/47040</f>
        <v>-0.30367672674900426</v>
      </c>
      <c r="G96">
        <f>(E96-$S$18*23520)</f>
        <v>-69.34037037037524</v>
      </c>
      <c r="H96">
        <f>(E96-$Q$18*23520)/47040</f>
        <v>-1.4790210065507459E-3</v>
      </c>
      <c r="I96">
        <f>2*(28.2922*49.0008)</f>
        <v>2772.68086752</v>
      </c>
      <c r="J96">
        <f t="shared" si="19"/>
        <v>-5.3342633978415387E-7</v>
      </c>
      <c r="K96">
        <f t="shared" si="20"/>
        <v>-2.5008420977202517E-2</v>
      </c>
      <c r="L96">
        <f t="shared" si="21"/>
        <v>-0.4006349040547843</v>
      </c>
      <c r="M96" s="2" t="s">
        <v>229</v>
      </c>
    </row>
    <row r="97" spans="1:15" x14ac:dyDescent="0.2">
      <c r="A97" s="2" t="s">
        <v>245</v>
      </c>
      <c r="B97">
        <v>500</v>
      </c>
      <c r="C97">
        <v>-199901</v>
      </c>
      <c r="D97">
        <f>C97/47040</f>
        <v>-4.2495960884353741</v>
      </c>
      <c r="E97">
        <f t="shared" si="28"/>
        <v>-14281.953226273159</v>
      </c>
      <c r="F97">
        <f>E97/47040</f>
        <v>-0.30361295123880017</v>
      </c>
      <c r="G97">
        <f>(E97-$S$18*23520)</f>
        <v>-66.34037037037524</v>
      </c>
      <c r="H97">
        <f>(E97-$Q$18*23520)/47040</f>
        <v>-1.4152454963466642E-3</v>
      </c>
      <c r="I97">
        <f>2*(28.2922*49.0008)</f>
        <v>2772.68086752</v>
      </c>
      <c r="J97">
        <f t="shared" si="19"/>
        <v>-5.1042495114575447E-7</v>
      </c>
      <c r="K97">
        <f t="shared" si="20"/>
        <v>-2.3926435655652212E-2</v>
      </c>
      <c r="L97">
        <f t="shared" si="21"/>
        <v>-0.38330149920354845</v>
      </c>
      <c r="M97" s="2" t="s">
        <v>229</v>
      </c>
    </row>
    <row r="98" spans="1:15" x14ac:dyDescent="0.2">
      <c r="A98" s="2" t="s">
        <v>246</v>
      </c>
      <c r="B98">
        <v>500</v>
      </c>
      <c r="C98">
        <v>-199902</v>
      </c>
      <c r="D98">
        <f>C98/47040</f>
        <v>-4.2496173469387752</v>
      </c>
      <c r="E98">
        <f t="shared" si="28"/>
        <v>-14282.953226273159</v>
      </c>
      <c r="F98">
        <f>E98/47040</f>
        <v>-0.30363420974220151</v>
      </c>
      <c r="G98">
        <f>(E98-$S$18*23520)</f>
        <v>-67.34037037037524</v>
      </c>
      <c r="H98">
        <f>(E98-$Q$18*23520)/47040</f>
        <v>-1.4365039997480248E-3</v>
      </c>
      <c r="I98">
        <f>2*(28.2922*49.0008)</f>
        <v>2772.68086752</v>
      </c>
      <c r="J98">
        <f t="shared" si="19"/>
        <v>-5.1809208069188767E-7</v>
      </c>
      <c r="K98">
        <f t="shared" si="20"/>
        <v>-2.4287097429502316E-2</v>
      </c>
      <c r="L98">
        <f t="shared" si="21"/>
        <v>-0.38907930082062708</v>
      </c>
      <c r="M98" s="2" t="s">
        <v>229</v>
      </c>
    </row>
    <row r="99" spans="1:15" x14ac:dyDescent="0.2">
      <c r="L99">
        <f>AVERAGE(L79:L98)</f>
        <v>-0.38559650533783951</v>
      </c>
      <c r="O99">
        <f>AVERAGE(O79:O98)</f>
        <v>-0.38559650533783957</v>
      </c>
    </row>
    <row r="100" spans="1:15" x14ac:dyDescent="0.2">
      <c r="A100" t="s">
        <v>205</v>
      </c>
      <c r="B100" t="s">
        <v>268</v>
      </c>
      <c r="C100">
        <v>-149862</v>
      </c>
      <c r="D100">
        <f>C100/35280</f>
        <v>-4.2477891156462588</v>
      </c>
      <c r="E100">
        <f>C100-17640*$H$20-8820*$D$25-8820*$D$30</f>
        <v>-10647.714919704867</v>
      </c>
      <c r="F100">
        <f>E100/35280</f>
        <v>-0.30180597844968443</v>
      </c>
      <c r="G100">
        <f>(E100-$S$18*17640)</f>
        <v>13.994722222219934</v>
      </c>
      <c r="H100">
        <f>(E100-$Q$14*17640)/35280</f>
        <v>3.903100592086671E-4</v>
      </c>
      <c r="I100">
        <f t="shared" ref="I100:I104" si="29">2*(28.2922*49.0008)</f>
        <v>2772.68086752</v>
      </c>
      <c r="J100">
        <f t="shared" ref="J100" si="30">H100/I100</f>
        <v>1.407699183057358E-7</v>
      </c>
      <c r="K100">
        <f t="shared" ref="K100" si="31">G100/I100</f>
        <v>5.0473613412052682E-3</v>
      </c>
      <c r="L100">
        <f t="shared" ref="L100" si="32">K100*16.02</f>
        <v>8.0858728686108397E-2</v>
      </c>
      <c r="M100" s="2" t="s">
        <v>223</v>
      </c>
    </row>
    <row r="101" spans="1:15" x14ac:dyDescent="0.2">
      <c r="A101" t="s">
        <v>232</v>
      </c>
      <c r="B101" t="s">
        <v>268</v>
      </c>
      <c r="C101">
        <v>-149860</v>
      </c>
      <c r="D101">
        <f>C101/35280</f>
        <v>-4.2477324263038545</v>
      </c>
      <c r="E101">
        <f>C101-17640*$H$20-8820*$D$25-8820*$D$30</f>
        <v>-10645.714919704867</v>
      </c>
      <c r="F101">
        <f>E101/35280</f>
        <v>-0.30174928910728083</v>
      </c>
      <c r="G101">
        <f>(E101-$S$18*17640)</f>
        <v>15.994722222219934</v>
      </c>
      <c r="H101">
        <f>(E101-$Q$14*17640)/35280</f>
        <v>4.4699940161229519E-4</v>
      </c>
      <c r="I101">
        <f t="shared" si="29"/>
        <v>2772.68086752</v>
      </c>
      <c r="J101">
        <f t="shared" ref="J101:J104" si="33">H101/I101</f>
        <v>1.6121559709542406E-7</v>
      </c>
      <c r="K101">
        <f t="shared" ref="K101:K104" si="34">G101/I101</f>
        <v>5.7686848889054705E-3</v>
      </c>
      <c r="L101">
        <f t="shared" ref="L101:L104" si="35">K101*16.02</f>
        <v>9.241433192026563E-2</v>
      </c>
      <c r="M101" s="2" t="s">
        <v>223</v>
      </c>
    </row>
    <row r="102" spans="1:15" x14ac:dyDescent="0.2">
      <c r="A102" t="s">
        <v>233</v>
      </c>
      <c r="B102" t="s">
        <v>268</v>
      </c>
      <c r="C102">
        <v>-149862</v>
      </c>
      <c r="D102">
        <f>C102/35280</f>
        <v>-4.2477891156462588</v>
      </c>
      <c r="E102">
        <f>C102-17640*$H$20-8820*$D$25-8820*$D$30</f>
        <v>-10647.714919704867</v>
      </c>
      <c r="F102">
        <f>E102/35280</f>
        <v>-0.30180597844968443</v>
      </c>
      <c r="G102">
        <f>(E102-$S$18*17640)</f>
        <v>13.994722222219934</v>
      </c>
      <c r="H102">
        <f>(E102-$Q$14*17640)/35280</f>
        <v>3.903100592086671E-4</v>
      </c>
      <c r="I102">
        <f t="shared" si="29"/>
        <v>2772.68086752</v>
      </c>
      <c r="J102">
        <f t="shared" si="33"/>
        <v>1.407699183057358E-7</v>
      </c>
      <c r="K102">
        <f t="shared" si="34"/>
        <v>5.0473613412052682E-3</v>
      </c>
      <c r="L102">
        <f t="shared" si="35"/>
        <v>8.0858728686108397E-2</v>
      </c>
      <c r="M102" s="2" t="s">
        <v>223</v>
      </c>
    </row>
    <row r="103" spans="1:15" x14ac:dyDescent="0.2">
      <c r="A103" t="s">
        <v>234</v>
      </c>
      <c r="B103" t="s">
        <v>268</v>
      </c>
      <c r="C103">
        <v>-149858</v>
      </c>
      <c r="D103">
        <f>C103/35280</f>
        <v>-4.2476757369614511</v>
      </c>
      <c r="E103">
        <f>C103-17640*$H$20-8820*$D$25-8820*$D$30</f>
        <v>-10643.714919704867</v>
      </c>
      <c r="F103">
        <f>E103/35280</f>
        <v>-0.30169259976487722</v>
      </c>
      <c r="G103">
        <f>(E103-$S$18*17640)</f>
        <v>17.994722222219934</v>
      </c>
      <c r="H103">
        <f>(E103-$Q$14*17640)/35280</f>
        <v>5.0368874401592327E-4</v>
      </c>
      <c r="I103">
        <f t="shared" si="29"/>
        <v>2772.68086752</v>
      </c>
      <c r="J103">
        <f t="shared" si="33"/>
        <v>1.8166127588511231E-7</v>
      </c>
      <c r="K103">
        <f t="shared" si="34"/>
        <v>6.490008436605672E-3</v>
      </c>
      <c r="L103">
        <f t="shared" si="35"/>
        <v>0.10396993515442286</v>
      </c>
      <c r="M103" s="2" t="s">
        <v>223</v>
      </c>
    </row>
    <row r="104" spans="1:15" x14ac:dyDescent="0.2">
      <c r="A104" t="s">
        <v>269</v>
      </c>
      <c r="B104" t="s">
        <v>268</v>
      </c>
      <c r="C104">
        <v>-149862</v>
      </c>
      <c r="D104">
        <f>C104/35280</f>
        <v>-4.2477891156462588</v>
      </c>
      <c r="E104">
        <f>C104-17640*$H$20-8820*$D$25-8820*$D$30</f>
        <v>-10647.714919704867</v>
      </c>
      <c r="F104">
        <f>E104/35280</f>
        <v>-0.30180597844968443</v>
      </c>
      <c r="G104">
        <f>(E104-$S$18*17640)</f>
        <v>13.994722222219934</v>
      </c>
      <c r="H104">
        <f>(E104-$Q$14*17640)/35280</f>
        <v>3.903100592086671E-4</v>
      </c>
      <c r="I104">
        <f t="shared" si="29"/>
        <v>2772.68086752</v>
      </c>
      <c r="J104">
        <f t="shared" si="33"/>
        <v>1.407699183057358E-7</v>
      </c>
      <c r="K104">
        <f t="shared" si="34"/>
        <v>5.0473613412052682E-3</v>
      </c>
      <c r="L104">
        <f t="shared" si="35"/>
        <v>8.0858728686108397E-2</v>
      </c>
      <c r="M104" s="2" t="s">
        <v>223</v>
      </c>
      <c r="N104" s="11">
        <f>AVERAGE(L100:L104)</f>
        <v>8.7792090626602731E-2</v>
      </c>
    </row>
    <row r="105" spans="1:15" x14ac:dyDescent="0.2">
      <c r="N105">
        <f>STDEV(L100:L104)</f>
        <v>1.0335645741036873E-2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J28" zoomScale="55" zoomScaleNormal="55" zoomScalePageLayoutView="75" workbookViewId="0">
      <selection activeCell="O64" sqref="O64:O69"/>
    </sheetView>
  </sheetViews>
  <sheetFormatPr baseColWidth="10" defaultColWidth="11" defaultRowHeight="16" x14ac:dyDescent="0.2"/>
  <cols>
    <col min="1" max="1" width="12.6640625" customWidth="1"/>
    <col min="5" max="5" width="12" bestFit="1" customWidth="1"/>
    <col min="10" max="10" width="12.83203125" bestFit="1" customWidth="1"/>
  </cols>
  <sheetData>
    <row r="1" spans="1:14" x14ac:dyDescent="0.2">
      <c r="A1" t="s">
        <v>39</v>
      </c>
    </row>
    <row r="2" spans="1:14" x14ac:dyDescent="0.2">
      <c r="A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1</v>
      </c>
      <c r="K2" t="s">
        <v>2</v>
      </c>
      <c r="L2" t="s">
        <v>3</v>
      </c>
      <c r="M2" t="s">
        <v>4</v>
      </c>
      <c r="N2" t="s">
        <v>9</v>
      </c>
    </row>
    <row r="3" spans="1:14" x14ac:dyDescent="0.2">
      <c r="A3">
        <v>0</v>
      </c>
      <c r="B3">
        <v>0</v>
      </c>
      <c r="C3">
        <v>-8244.8712526800009</v>
      </c>
      <c r="D3">
        <f>C3/2000</f>
        <v>-4.1224356263400006</v>
      </c>
      <c r="E3">
        <v>23269.755000000001</v>
      </c>
      <c r="F3">
        <f>(E3^(1/3))/10</f>
        <v>2.8549418721800999</v>
      </c>
      <c r="H3">
        <v>0</v>
      </c>
      <c r="I3">
        <v>0</v>
      </c>
      <c r="J3">
        <v>-9021.7420329899996</v>
      </c>
      <c r="K3">
        <f>J3/2000</f>
        <v>-4.5108710164949999</v>
      </c>
      <c r="L3">
        <v>22713.044999999998</v>
      </c>
      <c r="M3">
        <f>(L3^(1/3))/10</f>
        <v>2.831990467067083</v>
      </c>
      <c r="N3">
        <f>(J3-1000*D10-1000*K10)/2000</f>
        <v>-0.60587106460749984</v>
      </c>
    </row>
    <row r="4" spans="1:14" x14ac:dyDescent="0.2">
      <c r="A4" t="s">
        <v>46</v>
      </c>
      <c r="C4">
        <v>-8238.9994000000006</v>
      </c>
      <c r="D4">
        <f>C4-1999*D3</f>
        <v>1.7494170536610909</v>
      </c>
      <c r="E4">
        <v>23269.642</v>
      </c>
      <c r="F4">
        <f>(E4^(1/3))/10</f>
        <v>2.8549372508887321</v>
      </c>
      <c r="J4">
        <v>-9020.7817004000008</v>
      </c>
      <c r="K4">
        <f>J4/2000</f>
        <v>-4.5103908502000003</v>
      </c>
      <c r="L4" t="s">
        <v>47</v>
      </c>
      <c r="M4">
        <v>2.8407749999999998</v>
      </c>
      <c r="N4">
        <f>(J4-1000*D10-1000*K10)/2000</f>
        <v>-0.60539089831250048</v>
      </c>
    </row>
    <row r="5" spans="1:14" x14ac:dyDescent="0.2">
      <c r="A5" t="s">
        <v>0</v>
      </c>
      <c r="C5">
        <v>-8244.8712513900009</v>
      </c>
      <c r="D5">
        <f>C5/2000</f>
        <v>-4.1224356256950001</v>
      </c>
      <c r="E5" t="s">
        <v>47</v>
      </c>
      <c r="F5">
        <v>2.85494</v>
      </c>
      <c r="J5">
        <v>-9015.3015778000008</v>
      </c>
      <c r="K5">
        <f>J5/2000</f>
        <v>-4.5076507889000004</v>
      </c>
      <c r="L5" t="s">
        <v>47</v>
      </c>
      <c r="M5">
        <v>2.85494</v>
      </c>
      <c r="N5">
        <f>(J5-1000*D10-1000*K10)/2000</f>
        <v>-0.60265083701250044</v>
      </c>
    </row>
    <row r="6" spans="1:14" x14ac:dyDescent="0.2">
      <c r="A6" t="s">
        <v>46</v>
      </c>
      <c r="C6">
        <v>-8239.0302723799996</v>
      </c>
      <c r="D6">
        <f>C6-1999*D5</f>
        <v>1.7185433843060309</v>
      </c>
      <c r="E6" t="s">
        <v>47</v>
      </c>
      <c r="F6">
        <v>2.85494</v>
      </c>
    </row>
    <row r="7" spans="1:14" x14ac:dyDescent="0.2">
      <c r="A7" t="s">
        <v>59</v>
      </c>
      <c r="C7">
        <v>-8244.7765592800006</v>
      </c>
      <c r="D7">
        <f>C7-2001*D5</f>
        <v>4.2171277356937935</v>
      </c>
      <c r="E7" t="s">
        <v>47</v>
      </c>
      <c r="F7">
        <v>2.85494</v>
      </c>
    </row>
    <row r="9" spans="1:14" x14ac:dyDescent="0.2">
      <c r="A9" t="s">
        <v>7</v>
      </c>
      <c r="H9" t="s">
        <v>8</v>
      </c>
    </row>
    <row r="10" spans="1:14" x14ac:dyDescent="0.2">
      <c r="A10">
        <v>0</v>
      </c>
      <c r="B10">
        <v>0</v>
      </c>
      <c r="C10">
        <v>-17799.9996637</v>
      </c>
      <c r="D10">
        <f>C10/4000</f>
        <v>-4.4499999159249999</v>
      </c>
      <c r="E10">
        <v>43618.855000000003</v>
      </c>
      <c r="F10">
        <f>(E10^(1/3))/10</f>
        <v>3.5201250117017246</v>
      </c>
      <c r="H10">
        <v>0</v>
      </c>
      <c r="I10">
        <v>0</v>
      </c>
      <c r="J10">
        <v>-13439.999951399999</v>
      </c>
      <c r="K10">
        <f>J10/4000</f>
        <v>-3.3599999878499998</v>
      </c>
      <c r="L10">
        <v>66430.125</v>
      </c>
      <c r="M10">
        <f>(L10^(1/3))/10</f>
        <v>4.0499999999999989</v>
      </c>
    </row>
    <row r="13" spans="1:14" x14ac:dyDescent="0.2">
      <c r="A13" s="1" t="s">
        <v>10</v>
      </c>
      <c r="B13" s="1" t="s">
        <v>6</v>
      </c>
      <c r="C13" s="1" t="s">
        <v>1</v>
      </c>
      <c r="D13" s="1" t="s">
        <v>2</v>
      </c>
      <c r="E13" s="1" t="s">
        <v>12</v>
      </c>
      <c r="F13" s="1" t="s">
        <v>11</v>
      </c>
      <c r="G13" s="1" t="s">
        <v>48</v>
      </c>
      <c r="H13" s="1" t="s">
        <v>13</v>
      </c>
      <c r="I13" s="1" t="s">
        <v>14</v>
      </c>
      <c r="J13" s="1" t="s">
        <v>84</v>
      </c>
      <c r="K13" s="1" t="s">
        <v>15</v>
      </c>
      <c r="L13" s="1"/>
      <c r="M13" s="1"/>
      <c r="N13" s="1"/>
    </row>
    <row r="14" spans="1:14" x14ac:dyDescent="0.2">
      <c r="A14" s="1" t="s">
        <v>32</v>
      </c>
      <c r="B14" s="1">
        <v>0</v>
      </c>
      <c r="C14" s="1">
        <v>-43193.490674599998</v>
      </c>
      <c r="D14" s="1">
        <f>C14/10000</f>
        <v>-4.3193490674600001</v>
      </c>
      <c r="E14" s="1">
        <f>C14-5000*$D$3-2500*$D$10-2500*$K$10</f>
        <v>-3056.3127834624956</v>
      </c>
      <c r="F14" s="1">
        <f>E14/10000</f>
        <v>-0.30563127834624959</v>
      </c>
      <c r="G14" s="1">
        <f>(E14-$N$4*5000)</f>
        <v>-29.358291899993219</v>
      </c>
      <c r="H14" s="1">
        <f>(E14-$N$4*5000)/10000</f>
        <v>-2.9358291899993219E-3</v>
      </c>
      <c r="I14" s="1">
        <f>2*(28.407535)^2</f>
        <v>1613.9760895524498</v>
      </c>
      <c r="J14" s="1">
        <f>H14/I14</f>
        <v>-1.8190041407697789E-6</v>
      </c>
      <c r="K14" s="1">
        <f>G14/I14</f>
        <v>-1.8190041407697789E-2</v>
      </c>
      <c r="L14" s="1"/>
      <c r="M14" s="1"/>
      <c r="N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A16" s="1" t="s">
        <v>27</v>
      </c>
      <c r="B16" s="1">
        <v>-1</v>
      </c>
      <c r="C16" s="1">
        <v>-43189.796077300001</v>
      </c>
      <c r="D16" s="1">
        <f>C16/9999</f>
        <v>-4.3194115488848883</v>
      </c>
      <c r="E16" s="1">
        <f>C16-4999*$D$3-2500*$D$10-2500*$K$10</f>
        <v>-3056.7406217888401</v>
      </c>
      <c r="F16" s="1">
        <f>E16/9999</f>
        <v>-0.30570463264214826</v>
      </c>
      <c r="G16" s="1">
        <f>(E16-$N$3*5000)</f>
        <v>-27.385298751340997</v>
      </c>
      <c r="H16" s="1">
        <f>(E16-$N$3*5000)/9999</f>
        <v>-2.7388037555096507E-3</v>
      </c>
      <c r="I16" s="1">
        <f>2*(28.407974)^2</f>
        <v>1614.0259735693519</v>
      </c>
      <c r="J16" s="1">
        <f>H16/I16</f>
        <v>-1.696877126117679E-6</v>
      </c>
      <c r="K16" s="1">
        <f>G16/I16</f>
        <v>-1.6967074384050672E-2</v>
      </c>
      <c r="L16" s="1">
        <f>C16-9999*$D$14</f>
        <v>-0.62475176745647332</v>
      </c>
      <c r="M16" s="1">
        <f>E16-9999*$F$14</f>
        <v>-0.73346960469052647</v>
      </c>
      <c r="N16" s="1">
        <f t="shared" ref="N16:N25" si="0">G16-H$14*9999</f>
        <v>1.9700573194622208</v>
      </c>
    </row>
    <row r="17" spans="1:14" x14ac:dyDescent="0.2">
      <c r="A17" s="1" t="s">
        <v>28</v>
      </c>
      <c r="B17" s="1">
        <v>-2</v>
      </c>
      <c r="C17" s="1">
        <v>-43189.730563800003</v>
      </c>
      <c r="D17" s="1">
        <f t="shared" ref="D17:D25" si="1">C17/9999</f>
        <v>-4.3194049968796886</v>
      </c>
      <c r="E17" s="1">
        <f t="shared" ref="E17:E25" si="2">C17-4999*$D$3-2500*$D$10-2500*$K$10</f>
        <v>-3056.6751082888422</v>
      </c>
      <c r="F17" s="1">
        <f t="shared" ref="F17:F25" si="3">E17/9999</f>
        <v>-0.30569808063694792</v>
      </c>
      <c r="G17" s="1">
        <f t="shared" ref="G17:G25" si="4">(E17-$N$3*5000)</f>
        <v>-27.319785251343092</v>
      </c>
      <c r="H17" s="1">
        <f t="shared" ref="H17:H25" si="5">(E17-$N$3*5000)/9999</f>
        <v>-2.73225175030934E-3</v>
      </c>
      <c r="I17" s="1">
        <f>2*(28.40692)^2</f>
        <v>1613.9062077727999</v>
      </c>
      <c r="J17" s="1">
        <f t="shared" ref="J17:J25" si="6">H17/I17</f>
        <v>-1.6929433303809293E-6</v>
      </c>
      <c r="K17" s="1">
        <f t="shared" ref="K17:K25" si="7">G17/I17</f>
        <v>-1.6927740360478914E-2</v>
      </c>
      <c r="L17" s="1">
        <f t="shared" ref="L17:L24" si="8">C17-9999*$D$14</f>
        <v>-0.55923826745856786</v>
      </c>
      <c r="M17" s="1">
        <f t="shared" ref="M17:M21" si="9">E17-9999*$F$14</f>
        <v>-0.66795610469262101</v>
      </c>
      <c r="N17" s="1">
        <f t="shared" si="0"/>
        <v>2.0355708194601263</v>
      </c>
    </row>
    <row r="18" spans="1:14" x14ac:dyDescent="0.2">
      <c r="A18" s="1" t="s">
        <v>29</v>
      </c>
      <c r="B18" s="1">
        <v>-0.5</v>
      </c>
      <c r="C18" s="1">
        <v>-43188.701000000001</v>
      </c>
      <c r="D18" s="1">
        <f t="shared" si="1"/>
        <v>-4.3193020302030201</v>
      </c>
      <c r="E18" s="1">
        <f t="shared" si="2"/>
        <v>-3055.6455444888397</v>
      </c>
      <c r="F18" s="1">
        <f t="shared" si="3"/>
        <v>-0.30559511396028</v>
      </c>
      <c r="G18" s="1">
        <f t="shared" si="4"/>
        <v>-26.290221451340585</v>
      </c>
      <c r="H18" s="1">
        <f t="shared" si="5"/>
        <v>-2.6292850736414227E-3</v>
      </c>
      <c r="I18" s="1">
        <f>2*(28.408027)^2</f>
        <v>1614.0319960654581</v>
      </c>
      <c r="J18" s="1">
        <f t="shared" si="6"/>
        <v>-1.6290166985851937E-6</v>
      </c>
      <c r="K18" s="1">
        <f t="shared" si="7"/>
        <v>-1.628853796915335E-2</v>
      </c>
      <c r="L18" s="1">
        <f t="shared" si="8"/>
        <v>0.47032553254393861</v>
      </c>
      <c r="M18" s="1">
        <f t="shared" si="9"/>
        <v>0.36160769530988546</v>
      </c>
      <c r="N18" s="1">
        <f t="shared" si="0"/>
        <v>3.0651346194626328</v>
      </c>
    </row>
    <row r="19" spans="1:14" x14ac:dyDescent="0.2">
      <c r="A19" s="1" t="s">
        <v>30</v>
      </c>
      <c r="B19" s="1">
        <v>-3</v>
      </c>
      <c r="C19" s="1">
        <v>-43187.828000000001</v>
      </c>
      <c r="D19" s="1">
        <f t="shared" si="1"/>
        <v>-4.3192147214721475</v>
      </c>
      <c r="E19" s="1">
        <f t="shared" si="2"/>
        <v>-3054.7725444888401</v>
      </c>
      <c r="F19" s="1">
        <f t="shared" si="3"/>
        <v>-0.30550780522940696</v>
      </c>
      <c r="G19" s="1">
        <f t="shared" si="4"/>
        <v>-25.417221451340993</v>
      </c>
      <c r="H19" s="1">
        <f t="shared" si="5"/>
        <v>-2.5419763427683762E-3</v>
      </c>
      <c r="I19" s="1">
        <f>2*(28.408125)^2</f>
        <v>1614.0431320312498</v>
      </c>
      <c r="J19" s="1">
        <f t="shared" si="6"/>
        <v>-1.5749122760860399E-6</v>
      </c>
      <c r="K19" s="1">
        <f t="shared" si="7"/>
        <v>-1.5747547848584311E-2</v>
      </c>
      <c r="L19" s="1">
        <f t="shared" si="8"/>
        <v>1.3433255325435312</v>
      </c>
      <c r="M19" s="1">
        <f t="shared" si="9"/>
        <v>1.234607695309478</v>
      </c>
      <c r="N19" s="1">
        <f t="shared" si="0"/>
        <v>3.9381346194622253</v>
      </c>
    </row>
    <row r="20" spans="1:14" x14ac:dyDescent="0.2">
      <c r="A20" s="1" t="s">
        <v>31</v>
      </c>
      <c r="B20" s="1">
        <v>-1.5</v>
      </c>
      <c r="C20" s="1">
        <v>-43187.724000000002</v>
      </c>
      <c r="D20" s="1">
        <f t="shared" si="1"/>
        <v>-4.3192043204320436</v>
      </c>
      <c r="E20" s="1">
        <f t="shared" si="2"/>
        <v>-3054.6685444888408</v>
      </c>
      <c r="F20" s="1">
        <f t="shared" si="3"/>
        <v>-0.30549740418930299</v>
      </c>
      <c r="G20" s="1">
        <f t="shared" si="4"/>
        <v>-25.313221451341633</v>
      </c>
      <c r="H20" s="1">
        <f t="shared" si="5"/>
        <v>-2.5315753026644299E-3</v>
      </c>
      <c r="I20" s="1">
        <f>2*(28.408195)^2</f>
        <v>1614.0510863160498</v>
      </c>
      <c r="J20" s="1">
        <f t="shared" si="6"/>
        <v>-1.5684604558846771E-6</v>
      </c>
      <c r="K20" s="1">
        <f t="shared" si="7"/>
        <v>-1.5683036098390887E-2</v>
      </c>
      <c r="L20" s="1">
        <f t="shared" si="8"/>
        <v>1.4473255325428909</v>
      </c>
      <c r="M20" s="1">
        <f t="shared" si="9"/>
        <v>1.3386076953088377</v>
      </c>
      <c r="N20" s="1">
        <f t="shared" si="0"/>
        <v>4.042134619461585</v>
      </c>
    </row>
    <row r="21" spans="1:14" x14ac:dyDescent="0.2">
      <c r="A21" s="1" t="s">
        <v>38</v>
      </c>
      <c r="B21" s="1">
        <v>-10</v>
      </c>
      <c r="C21" s="1">
        <v>-43187.866999999998</v>
      </c>
      <c r="D21" s="1">
        <f t="shared" si="1"/>
        <v>-4.319218621862186</v>
      </c>
      <c r="E21" s="1">
        <f t="shared" si="2"/>
        <v>-3054.8115444888372</v>
      </c>
      <c r="F21" s="1">
        <f t="shared" si="3"/>
        <v>-0.30551170561944568</v>
      </c>
      <c r="G21" s="1">
        <f t="shared" si="4"/>
        <v>-25.456221451338024</v>
      </c>
      <c r="H21" s="1">
        <f t="shared" si="5"/>
        <v>-2.5458767328070831E-3</v>
      </c>
      <c r="I21" s="1">
        <f>2*(28.407899)^2</f>
        <v>1614.017451188402</v>
      </c>
      <c r="J21" s="1">
        <f t="shared" si="6"/>
        <v>-1.5773539071294134E-6</v>
      </c>
      <c r="K21" s="1">
        <f t="shared" si="7"/>
        <v>-1.5771961717387005E-2</v>
      </c>
      <c r="L21" s="1">
        <f t="shared" si="8"/>
        <v>1.3043255325464997</v>
      </c>
      <c r="M21" s="1">
        <f t="shared" si="9"/>
        <v>1.1956076953124466</v>
      </c>
      <c r="N21" s="1">
        <f t="shared" si="0"/>
        <v>3.8991346194651939</v>
      </c>
    </row>
    <row r="22" spans="1:14" x14ac:dyDescent="0.2">
      <c r="A22" s="1" t="s">
        <v>40</v>
      </c>
      <c r="B22" s="1">
        <v>-12</v>
      </c>
      <c r="C22" s="1">
        <v>-43190.0769898</v>
      </c>
      <c r="D22" s="1">
        <f t="shared" si="1"/>
        <v>-4.3194396429442943</v>
      </c>
      <c r="E22" s="1">
        <f t="shared" si="2"/>
        <v>-3057.0215342888387</v>
      </c>
      <c r="F22" s="1">
        <f t="shared" si="3"/>
        <v>-0.30573272670155405</v>
      </c>
      <c r="G22" s="1">
        <f>(E22-$N$4*5000)</f>
        <v>-30.06704272633624</v>
      </c>
      <c r="H22" s="1">
        <f>(E22-$N$4*5000)/9999</f>
        <v>-3.0070049731309371E-3</v>
      </c>
      <c r="I22" s="1">
        <f>2*(28.407405)^2</f>
        <v>1613.96131766805</v>
      </c>
      <c r="J22" s="1">
        <f>H22/I22</f>
        <v>-1.8631208444794958E-6</v>
      </c>
      <c r="K22" s="1">
        <f>G22/I22</f>
        <v>-1.862934532395048E-2</v>
      </c>
      <c r="L22" s="1">
        <f>C22-9999*$D$14</f>
        <v>-0.90566426745499484</v>
      </c>
      <c r="M22" s="1">
        <f>E22-9999*$F$14</f>
        <v>-1.014382104689048</v>
      </c>
      <c r="N22" s="1">
        <f t="shared" si="0"/>
        <v>-0.71168665553302191</v>
      </c>
    </row>
    <row r="23" spans="1:14" x14ac:dyDescent="0.2">
      <c r="A23" s="1" t="s">
        <v>41</v>
      </c>
      <c r="B23" s="1">
        <v>-6</v>
      </c>
      <c r="C23" s="1">
        <v>-43187.794999999998</v>
      </c>
      <c r="D23" s="1">
        <f t="shared" si="1"/>
        <v>-4.3192114211421142</v>
      </c>
      <c r="E23" s="1">
        <f t="shared" si="2"/>
        <v>-3054.7395444888371</v>
      </c>
      <c r="F23" s="1">
        <f t="shared" si="3"/>
        <v>-0.30550450489937364</v>
      </c>
      <c r="G23" s="1">
        <f t="shared" si="4"/>
        <v>-25.384221451337908</v>
      </c>
      <c r="H23" s="1">
        <f t="shared" si="5"/>
        <v>-2.5386760127350644E-3</v>
      </c>
      <c r="I23" s="1">
        <f>2*(28.407405)^2</f>
        <v>1613.96131766805</v>
      </c>
      <c r="J23" s="1">
        <f t="shared" si="6"/>
        <v>-1.5729472478331134E-6</v>
      </c>
      <c r="K23" s="1">
        <f t="shared" si="7"/>
        <v>-1.5727899531083299E-2</v>
      </c>
      <c r="L23" s="1">
        <f t="shared" si="8"/>
        <v>1.3763255325466162</v>
      </c>
      <c r="M23" s="1">
        <f>E23-9999*$F$14</f>
        <v>1.267607695312563</v>
      </c>
      <c r="N23" s="1">
        <f t="shared" si="0"/>
        <v>3.9711346194653103</v>
      </c>
    </row>
    <row r="24" spans="1:14" x14ac:dyDescent="0.2">
      <c r="A24" s="1" t="s">
        <v>42</v>
      </c>
      <c r="B24" s="1">
        <v>-8</v>
      </c>
      <c r="C24" s="1">
        <v>-43187.917000000001</v>
      </c>
      <c r="D24" s="1">
        <f t="shared" si="1"/>
        <v>-4.3192236223622364</v>
      </c>
      <c r="E24" s="1">
        <f t="shared" si="2"/>
        <v>-3054.8615444888401</v>
      </c>
      <c r="F24" s="1">
        <f t="shared" si="3"/>
        <v>-0.30551670611949594</v>
      </c>
      <c r="G24" s="1">
        <f t="shared" si="4"/>
        <v>-25.506221451340934</v>
      </c>
      <c r="H24" s="1">
        <f t="shared" si="5"/>
        <v>-2.5508772328573792E-3</v>
      </c>
      <c r="I24" s="1">
        <f>2*(28.407405)^2</f>
        <v>1613.96131766805</v>
      </c>
      <c r="J24" s="1">
        <f t="shared" si="6"/>
        <v>-1.580507044953867E-6</v>
      </c>
      <c r="K24" s="1">
        <f t="shared" si="7"/>
        <v>-1.5803489942493715E-2</v>
      </c>
      <c r="L24" s="1">
        <f t="shared" si="8"/>
        <v>1.2543255325435894</v>
      </c>
      <c r="M24" s="1">
        <f>E24-9999*$F$14</f>
        <v>1.1456076953095362</v>
      </c>
      <c r="N24" s="1">
        <f t="shared" si="0"/>
        <v>3.8491346194622835</v>
      </c>
    </row>
    <row r="25" spans="1:14" x14ac:dyDescent="0.2">
      <c r="A25" s="1" t="s">
        <v>43</v>
      </c>
      <c r="B25" s="1">
        <v>-4.5</v>
      </c>
      <c r="C25" s="1">
        <v>-43187.786999999997</v>
      </c>
      <c r="D25" s="1">
        <f t="shared" si="1"/>
        <v>-4.3192106210621057</v>
      </c>
      <c r="E25" s="1">
        <f t="shared" si="2"/>
        <v>-3054.7315444888354</v>
      </c>
      <c r="F25" s="1">
        <f t="shared" si="3"/>
        <v>-0.30550370481936545</v>
      </c>
      <c r="G25" s="1">
        <f t="shared" si="4"/>
        <v>-25.376221451336278</v>
      </c>
      <c r="H25" s="1">
        <f t="shared" si="5"/>
        <v>-2.5378759327269003E-3</v>
      </c>
      <c r="I25" s="1">
        <f>2*(28.407405)^2</f>
        <v>1613.96131766805</v>
      </c>
      <c r="J25" s="1">
        <f t="shared" si="6"/>
        <v>-1.5724515234316634E-6</v>
      </c>
      <c r="K25" s="1">
        <f t="shared" si="7"/>
        <v>-1.5722942782793205E-2</v>
      </c>
      <c r="L25" s="1">
        <f>C25-9999*$D$14</f>
        <v>1.384325532548246</v>
      </c>
      <c r="M25" s="1">
        <f>E25-9999*$F$14</f>
        <v>1.2756076953141928</v>
      </c>
      <c r="N25" s="1">
        <f t="shared" si="0"/>
        <v>3.9791346194669401</v>
      </c>
    </row>
    <row r="26" spans="1:1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 t="s">
        <v>34</v>
      </c>
      <c r="B27" s="1">
        <v>-0.5</v>
      </c>
      <c r="C27" s="1">
        <v>-43193.591999999997</v>
      </c>
      <c r="D27" s="1">
        <f t="shared" ref="D27:D33" si="10">C27/10001</f>
        <v>-4.3189273072692727</v>
      </c>
      <c r="E27" s="1">
        <f t="shared" ref="E27:E32" si="11">C27-5001*$D$3-2500*$D$10-2500*$K$10</f>
        <v>-3052.2916732361537</v>
      </c>
      <c r="F27" s="1">
        <f t="shared" ref="F27:F33" si="12">E27/10001</f>
        <v>-0.30519864745886949</v>
      </c>
      <c r="G27" s="1">
        <f t="shared" ref="G27:G32" si="13">(E27-$N$3*5000)</f>
        <v>-22.936350198654509</v>
      </c>
      <c r="H27" s="1">
        <f t="shared" ref="H27:H32" si="14">(E27-$N$3*5000)/10001</f>
        <v>-2.2934056792975211E-3</v>
      </c>
      <c r="I27" s="1">
        <f>2*(28.410196)^2</f>
        <v>1614.2784735168318</v>
      </c>
      <c r="J27" s="1">
        <f t="shared" ref="J27:J32" si="15">H27/I27</f>
        <v>-1.4207001560896476E-6</v>
      </c>
      <c r="K27" s="1">
        <f t="shared" ref="K27:K32" si="16">G27/I27</f>
        <v>-1.4208422261052567E-2</v>
      </c>
      <c r="L27" s="1">
        <f t="shared" ref="L27:L32" si="17">C27-10001*$D$14</f>
        <v>4.2180236674612388</v>
      </c>
      <c r="M27" s="1"/>
      <c r="N27" s="1"/>
    </row>
    <row r="28" spans="1:14" x14ac:dyDescent="0.2">
      <c r="A28" s="1" t="s">
        <v>33</v>
      </c>
      <c r="B28" s="1">
        <v>-1</v>
      </c>
      <c r="C28" s="1">
        <v>-43194.008000000002</v>
      </c>
      <c r="D28" s="1">
        <f t="shared" si="10"/>
        <v>-4.3189689031096892</v>
      </c>
      <c r="E28" s="1">
        <f t="shared" si="11"/>
        <v>-3052.7076732361584</v>
      </c>
      <c r="F28" s="1">
        <f t="shared" si="12"/>
        <v>-0.3052402432992859</v>
      </c>
      <c r="G28" s="1">
        <f t="shared" si="13"/>
        <v>-23.352350198659224</v>
      </c>
      <c r="H28" s="1">
        <f t="shared" si="14"/>
        <v>-2.3350015197139509E-3</v>
      </c>
      <c r="I28" s="1">
        <f>2*(28.410045)^2</f>
        <v>1614.2613138040501</v>
      </c>
      <c r="J28" s="1">
        <f t="shared" si="15"/>
        <v>-1.446482982492752E-6</v>
      </c>
      <c r="K28" s="1">
        <f t="shared" si="16"/>
        <v>-1.4466276307910015E-2</v>
      </c>
      <c r="L28" s="1">
        <f t="shared" si="17"/>
        <v>3.802023667456524</v>
      </c>
      <c r="M28" s="1"/>
      <c r="N28" s="1"/>
    </row>
    <row r="29" spans="1:14" x14ac:dyDescent="0.2">
      <c r="A29" s="1" t="s">
        <v>35</v>
      </c>
      <c r="B29" s="1">
        <v>-1.5</v>
      </c>
      <c r="C29" s="1">
        <v>-43193.567000000003</v>
      </c>
      <c r="D29" s="1">
        <f t="shared" si="10"/>
        <v>-4.3189248075192488</v>
      </c>
      <c r="E29" s="1">
        <f t="shared" si="11"/>
        <v>-3052.2666732361595</v>
      </c>
      <c r="F29" s="1">
        <f t="shared" si="12"/>
        <v>-0.30519614770884507</v>
      </c>
      <c r="G29" s="1">
        <f t="shared" si="13"/>
        <v>-22.91135019866033</v>
      </c>
      <c r="H29" s="1">
        <f t="shared" si="14"/>
        <v>-2.2909059292731057E-3</v>
      </c>
      <c r="I29" s="1">
        <f>2*(28.408004)^2</f>
        <v>1614.0293825280319</v>
      </c>
      <c r="J29" s="1">
        <f t="shared" si="15"/>
        <v>-1.419370647196578E-6</v>
      </c>
      <c r="K29" s="1">
        <f t="shared" si="16"/>
        <v>-1.4195125842612975E-2</v>
      </c>
      <c r="L29" s="1">
        <f t="shared" si="17"/>
        <v>4.243023667455418</v>
      </c>
      <c r="M29" s="1"/>
      <c r="N29" s="1"/>
    </row>
    <row r="30" spans="1:14" x14ac:dyDescent="0.2">
      <c r="A30" s="1" t="s">
        <v>37</v>
      </c>
      <c r="B30" s="1">
        <v>-2</v>
      </c>
      <c r="C30" s="1">
        <v>-43193.747000000003</v>
      </c>
      <c r="D30" s="1">
        <f t="shared" si="10"/>
        <v>-4.3189428057194288</v>
      </c>
      <c r="E30" s="1">
        <f t="shared" si="11"/>
        <v>-3052.4466732361598</v>
      </c>
      <c r="F30" s="1">
        <f t="shared" si="12"/>
        <v>-0.30521414590902507</v>
      </c>
      <c r="G30" s="1">
        <f t="shared" si="13"/>
        <v>-23.091350198660621</v>
      </c>
      <c r="H30" s="1">
        <f t="shared" si="14"/>
        <v>-2.3089041294531167E-3</v>
      </c>
      <c r="I30" s="1">
        <f>2*(28.408603)^2</f>
        <v>1614.097448823218</v>
      </c>
      <c r="J30" s="1">
        <f t="shared" si="15"/>
        <v>-1.4304614204901061E-6</v>
      </c>
      <c r="K30" s="1">
        <f t="shared" si="16"/>
        <v>-1.4306044666321552E-2</v>
      </c>
      <c r="L30" s="1">
        <f t="shared" si="17"/>
        <v>4.063023667455127</v>
      </c>
      <c r="M30" s="1"/>
      <c r="N30" s="1"/>
    </row>
    <row r="31" spans="1:14" x14ac:dyDescent="0.2">
      <c r="A31" s="1" t="s">
        <v>36</v>
      </c>
      <c r="B31" s="1">
        <v>-2.5</v>
      </c>
      <c r="C31" s="1">
        <v>-43193.485000000001</v>
      </c>
      <c r="D31" s="1">
        <f t="shared" si="10"/>
        <v>-4.3189166083391664</v>
      </c>
      <c r="E31" s="1">
        <f t="shared" si="11"/>
        <v>-3052.1846732361573</v>
      </c>
      <c r="F31" s="1">
        <f t="shared" si="12"/>
        <v>-0.30518794852876285</v>
      </c>
      <c r="G31" s="1">
        <f t="shared" si="13"/>
        <v>-22.829350198658176</v>
      </c>
      <c r="H31" s="1">
        <f t="shared" si="14"/>
        <v>-2.2827067491908984E-3</v>
      </c>
      <c r="I31" s="1">
        <f>2*(28.407965)^2</f>
        <v>1614.0249508824502</v>
      </c>
      <c r="J31" s="1">
        <f t="shared" si="15"/>
        <v>-1.4142945856833588E-6</v>
      </c>
      <c r="K31" s="1">
        <f t="shared" si="16"/>
        <v>-1.4144360151419271E-2</v>
      </c>
      <c r="L31" s="1">
        <f t="shared" si="17"/>
        <v>4.3250236674575717</v>
      </c>
      <c r="M31" s="1"/>
      <c r="N31" s="1"/>
    </row>
    <row r="32" spans="1:14" x14ac:dyDescent="0.2">
      <c r="A32" s="1" t="s">
        <v>44</v>
      </c>
      <c r="B32" s="1">
        <v>-10.5</v>
      </c>
      <c r="C32" s="1">
        <v>-43193.498</v>
      </c>
      <c r="D32" s="1">
        <f t="shared" si="10"/>
        <v>-4.3189179082091789</v>
      </c>
      <c r="E32" s="1">
        <f t="shared" si="11"/>
        <v>-3052.1976732361563</v>
      </c>
      <c r="F32" s="1">
        <f t="shared" si="12"/>
        <v>-0.30518924839877576</v>
      </c>
      <c r="G32" s="1">
        <f t="shared" si="13"/>
        <v>-22.842350198657186</v>
      </c>
      <c r="H32" s="1">
        <f t="shared" si="14"/>
        <v>-2.2840066192037984E-3</v>
      </c>
      <c r="I32" s="1">
        <f>2*(28.407965)^2</f>
        <v>1614.0249508824502</v>
      </c>
      <c r="J32" s="1">
        <f t="shared" si="15"/>
        <v>-1.4150999449884856E-6</v>
      </c>
      <c r="K32" s="1">
        <f t="shared" si="16"/>
        <v>-1.4152414549829843E-2</v>
      </c>
      <c r="L32" s="1">
        <f t="shared" si="17"/>
        <v>4.3120236674585612</v>
      </c>
      <c r="M32" s="1"/>
      <c r="N32" s="1"/>
    </row>
    <row r="33" spans="1:15" x14ac:dyDescent="0.2">
      <c r="A33" s="1" t="s">
        <v>45</v>
      </c>
      <c r="B33" s="1">
        <v>-5</v>
      </c>
      <c r="C33" s="1">
        <v>-43193.502587900002</v>
      </c>
      <c r="D33" s="1">
        <f t="shared" si="10"/>
        <v>-4.3189183669533051</v>
      </c>
      <c r="E33" s="1">
        <f t="shared" ref="E33" si="18">C33-5001*$D$3-2500*$D$10-2500*$K$10</f>
        <v>-3052.202261136159</v>
      </c>
      <c r="F33" s="1">
        <f t="shared" si="12"/>
        <v>-0.30518970714290161</v>
      </c>
      <c r="G33" s="1">
        <f>(E33-$N$3*5000)</f>
        <v>-22.846938098659848</v>
      </c>
      <c r="H33" s="1">
        <f t="shared" ref="H33" si="19">(E33-$N$3*5000)/10001</f>
        <v>-2.2844653633296518E-3</v>
      </c>
      <c r="I33" s="1">
        <f>2*(28.407965)^2</f>
        <v>1614.0249508824502</v>
      </c>
      <c r="J33" s="1">
        <f t="shared" ref="J33" si="20">H33/I33</f>
        <v>-1.4153841686775944E-6</v>
      </c>
      <c r="K33" s="1">
        <f t="shared" ref="K33" si="21">G33/I33</f>
        <v>-1.4155257070944621E-2</v>
      </c>
      <c r="L33" s="1">
        <f t="shared" ref="L33" si="22">C33-10001*$D$14</f>
        <v>4.3074357674558996</v>
      </c>
      <c r="M33" s="1"/>
      <c r="N33" s="1"/>
    </row>
    <row r="37" spans="1:15" x14ac:dyDescent="0.2">
      <c r="A37" t="s">
        <v>49</v>
      </c>
      <c r="B37">
        <v>1</v>
      </c>
      <c r="C37">
        <v>-43183.62</v>
      </c>
      <c r="D37">
        <f>C37/10000</f>
        <v>-4.3183620000000005</v>
      </c>
      <c r="E37">
        <f>C37-5000*$D$3-2500*$D$10-2500*$K$10</f>
        <v>-3046.4421088625004</v>
      </c>
      <c r="F37">
        <f>E37/10000</f>
        <v>-0.30464421088625004</v>
      </c>
      <c r="G37">
        <f>(E37-$N$3*5000)</f>
        <v>-17.086785825001243</v>
      </c>
      <c r="H37">
        <f>(E37-$N$3*5000)/10000</f>
        <v>-1.7086785825001242E-3</v>
      </c>
      <c r="I37">
        <f>2*(28.5494)^2</f>
        <v>1630.1364807199998</v>
      </c>
      <c r="J37">
        <f>H37/I37</f>
        <v>-1.0481813042705687E-6</v>
      </c>
      <c r="K37">
        <f>G37/I37</f>
        <v>-1.0481813042705687E-2</v>
      </c>
    </row>
    <row r="38" spans="1:15" x14ac:dyDescent="0.2">
      <c r="B38">
        <v>2</v>
      </c>
      <c r="C38">
        <v>-43183.62</v>
      </c>
      <c r="D38">
        <f>C38/10000</f>
        <v>-4.3183620000000005</v>
      </c>
      <c r="E38">
        <f>C38-5000*$D$3-2500*$D$10-2500*$K$10</f>
        <v>-3046.4421088625004</v>
      </c>
      <c r="F38">
        <f>E38/10000</f>
        <v>-0.30464421088625004</v>
      </c>
      <c r="G38">
        <f>(E38-$N$5*5000)</f>
        <v>-33.187923799998316</v>
      </c>
      <c r="H38">
        <f>(E38-$N$5*5000)/10000</f>
        <v>-3.3187923799998316E-3</v>
      </c>
      <c r="I38">
        <f>2*(28.5494)^2</f>
        <v>1630.1364807199998</v>
      </c>
      <c r="J38">
        <f>H38/I38</f>
        <v>-2.0358984779814174E-6</v>
      </c>
      <c r="K38">
        <f>G38/I38</f>
        <v>-2.0358984779814172E-2</v>
      </c>
    </row>
    <row r="40" spans="1:15" x14ac:dyDescent="0.2">
      <c r="A40" t="s">
        <v>52</v>
      </c>
      <c r="B40">
        <v>-0.5</v>
      </c>
      <c r="C40">
        <v>-43178.506806899997</v>
      </c>
      <c r="D40">
        <f t="shared" ref="D40:D49" si="23">C40/9999</f>
        <v>-4.3182825089408938</v>
      </c>
      <c r="E40">
        <f t="shared" ref="E40:E49" si="24">C40-4999*$D$3-2500*$D$10-2500*$K$10</f>
        <v>-3045.451351388836</v>
      </c>
      <c r="F40">
        <f t="shared" ref="F40:F49" si="25">E40/9999</f>
        <v>-0.30457559269815343</v>
      </c>
      <c r="G40">
        <f>(E40-$N$5*5000)</f>
        <v>-32.1971663263339</v>
      </c>
      <c r="H40">
        <f>(E40-$N$5*5000)/9999</f>
        <v>-3.2200386364970397E-3</v>
      </c>
      <c r="I40">
        <f t="shared" ref="I40:I49" si="26">2*(28.407974)^2</f>
        <v>1614.0259735693519</v>
      </c>
      <c r="J40">
        <f t="shared" ref="J40:J49" si="27">H40/I40</f>
        <v>-1.9950352034150087E-6</v>
      </c>
      <c r="K40">
        <f t="shared" ref="K40:K49" si="28">G40/I40</f>
        <v>-1.9948356998946672E-2</v>
      </c>
      <c r="L40" s="1">
        <f>C40-9999*$D$38</f>
        <v>0.7948311000072863</v>
      </c>
      <c r="M40" s="1">
        <f>E40-9999*$F$38</f>
        <v>0.68611326277823537</v>
      </c>
      <c r="N40">
        <f>G40-H$38*9999</f>
        <v>0.98743868128441648</v>
      </c>
      <c r="O40">
        <f>$F$3*B40*-1</f>
        <v>1.4274709360900499</v>
      </c>
    </row>
    <row r="41" spans="1:15" x14ac:dyDescent="0.2">
      <c r="A41" t="s">
        <v>27</v>
      </c>
      <c r="B41">
        <v>-1</v>
      </c>
      <c r="C41">
        <v>-43177.560279099998</v>
      </c>
      <c r="D41">
        <f t="shared" si="23"/>
        <v>-4.318187846694669</v>
      </c>
      <c r="E41">
        <f t="shared" si="24"/>
        <v>-3044.5048235888371</v>
      </c>
      <c r="F41">
        <f t="shared" si="25"/>
        <v>-0.30448093045192892</v>
      </c>
      <c r="G41">
        <f>(E41-$N$3*5000)</f>
        <v>-15.149500551337951</v>
      </c>
      <c r="H41">
        <f>(E41-$N$3*5000)/9999</f>
        <v>-1.5151015652903241E-3</v>
      </c>
      <c r="I41">
        <f t="shared" si="26"/>
        <v>1614.0259735693519</v>
      </c>
      <c r="J41">
        <f t="shared" si="27"/>
        <v>-9.3870953138364903E-7</v>
      </c>
      <c r="K41">
        <f t="shared" si="28"/>
        <v>-9.3861566043051056E-3</v>
      </c>
      <c r="L41" s="1">
        <f>C41-9999*$D$37</f>
        <v>1.741358900006162</v>
      </c>
      <c r="M41" s="1">
        <f>E41-9999*$F$37</f>
        <v>1.6326410627771111</v>
      </c>
      <c r="N41">
        <f>G41-H$37*9999</f>
        <v>1.9355765950807928</v>
      </c>
      <c r="O41">
        <f t="shared" ref="O41:O48" si="29">$F$3*B41*-1</f>
        <v>2.8549418721800999</v>
      </c>
    </row>
    <row r="42" spans="1:15" x14ac:dyDescent="0.2">
      <c r="A42" t="s">
        <v>51</v>
      </c>
      <c r="B42">
        <v>-1</v>
      </c>
      <c r="C42">
        <v>-43177.560279099998</v>
      </c>
      <c r="D42">
        <f t="shared" si="23"/>
        <v>-4.318187846694669</v>
      </c>
      <c r="E42">
        <f t="shared" si="24"/>
        <v>-3044.5048235888371</v>
      </c>
      <c r="F42">
        <f t="shared" si="25"/>
        <v>-0.30448093045192892</v>
      </c>
      <c r="G42">
        <f t="shared" ref="G42:G47" si="30">(E42-$N$5*5000)</f>
        <v>-31.250638526335024</v>
      </c>
      <c r="H42">
        <f t="shared" ref="H42:H47" si="31">(E42-$N$5*5000)/9999</f>
        <v>-3.1253763902725296E-3</v>
      </c>
      <c r="I42">
        <f t="shared" si="26"/>
        <v>1614.0259735693519</v>
      </c>
      <c r="J42">
        <f t="shared" si="27"/>
        <v>-1.9363854370700668E-6</v>
      </c>
      <c r="K42">
        <f t="shared" si="28"/>
        <v>-1.9361917985263599E-2</v>
      </c>
      <c r="L42" s="1">
        <f t="shared" ref="L42:L47" si="32">C42-9999*$D$38</f>
        <v>1.741358900006162</v>
      </c>
      <c r="M42" s="1">
        <f t="shared" ref="M42:M47" si="33">E42-9999*$F$38</f>
        <v>1.6326410627771111</v>
      </c>
      <c r="N42">
        <f t="shared" ref="N42:N47" si="34">G42-H$38*9999</f>
        <v>1.9339664812832922</v>
      </c>
      <c r="O42">
        <f t="shared" si="29"/>
        <v>2.8549418721800999</v>
      </c>
    </row>
    <row r="43" spans="1:15" x14ac:dyDescent="0.2">
      <c r="A43" t="s">
        <v>54</v>
      </c>
      <c r="B43">
        <v>-1.5</v>
      </c>
      <c r="C43">
        <v>-43177.706086899998</v>
      </c>
      <c r="D43">
        <f t="shared" si="23"/>
        <v>-4.3182024289328931</v>
      </c>
      <c r="E43">
        <f t="shared" si="24"/>
        <v>-3044.6506313888367</v>
      </c>
      <c r="F43">
        <f t="shared" si="25"/>
        <v>-0.30449551269015268</v>
      </c>
      <c r="G43">
        <f t="shared" si="30"/>
        <v>-31.396446326334626</v>
      </c>
      <c r="H43">
        <f t="shared" si="31"/>
        <v>-3.1399586284963123E-3</v>
      </c>
      <c r="I43">
        <f t="shared" si="26"/>
        <v>1614.0259735693519</v>
      </c>
      <c r="J43">
        <f t="shared" si="27"/>
        <v>-1.9454201356824658E-6</v>
      </c>
      <c r="K43">
        <f t="shared" si="28"/>
        <v>-1.9452255936688975E-2</v>
      </c>
      <c r="L43" s="1">
        <f t="shared" si="32"/>
        <v>1.5955511000065599</v>
      </c>
      <c r="M43" s="1">
        <f t="shared" si="33"/>
        <v>1.4868332627775089</v>
      </c>
      <c r="N43">
        <f t="shared" si="34"/>
        <v>1.78815868128369</v>
      </c>
      <c r="O43">
        <f t="shared" si="29"/>
        <v>4.2824128082701503</v>
      </c>
    </row>
    <row r="44" spans="1:15" x14ac:dyDescent="0.2">
      <c r="A44" t="s">
        <v>53</v>
      </c>
      <c r="B44">
        <v>-2</v>
      </c>
      <c r="C44">
        <v>-43177.743194900002</v>
      </c>
      <c r="D44">
        <f t="shared" si="23"/>
        <v>-4.3182061401040102</v>
      </c>
      <c r="E44">
        <f t="shared" si="24"/>
        <v>-3044.6877393888408</v>
      </c>
      <c r="F44">
        <f t="shared" si="25"/>
        <v>-0.30449922386127021</v>
      </c>
      <c r="G44">
        <f t="shared" si="30"/>
        <v>-31.433554326338708</v>
      </c>
      <c r="H44">
        <f t="shared" si="31"/>
        <v>-3.1436697996138322E-3</v>
      </c>
      <c r="I44">
        <f t="shared" si="26"/>
        <v>1614.0259735693519</v>
      </c>
      <c r="J44">
        <f t="shared" si="27"/>
        <v>-1.9477194612065233E-6</v>
      </c>
      <c r="K44">
        <f t="shared" si="28"/>
        <v>-1.9475246892604027E-2</v>
      </c>
      <c r="L44" s="1">
        <f t="shared" si="32"/>
        <v>1.5584431000024779</v>
      </c>
      <c r="M44" s="1">
        <f t="shared" si="33"/>
        <v>1.4497252627734269</v>
      </c>
      <c r="N44">
        <f t="shared" si="34"/>
        <v>1.7510506812796081</v>
      </c>
      <c r="O44">
        <f t="shared" si="29"/>
        <v>5.7098837443601997</v>
      </c>
    </row>
    <row r="45" spans="1:15" x14ac:dyDescent="0.2">
      <c r="A45" t="s">
        <v>55</v>
      </c>
      <c r="B45">
        <v>-3</v>
      </c>
      <c r="C45">
        <v>-43177.752273899998</v>
      </c>
      <c r="D45">
        <f t="shared" si="23"/>
        <v>-4.3182070480948092</v>
      </c>
      <c r="E45">
        <f t="shared" si="24"/>
        <v>-3044.6968183888366</v>
      </c>
      <c r="F45">
        <f t="shared" si="25"/>
        <v>-0.30450013185206887</v>
      </c>
      <c r="G45">
        <f t="shared" si="30"/>
        <v>-31.442633326334544</v>
      </c>
      <c r="H45">
        <f t="shared" si="31"/>
        <v>-3.1445777904124958E-3</v>
      </c>
      <c r="I45">
        <f t="shared" si="26"/>
        <v>1614.0259735693519</v>
      </c>
      <c r="J45">
        <f t="shared" si="27"/>
        <v>-1.9482820238997715E-6</v>
      </c>
      <c r="K45">
        <f t="shared" si="28"/>
        <v>-1.9480871956973813E-2</v>
      </c>
      <c r="L45" s="1">
        <f t="shared" si="32"/>
        <v>1.5493641000066418</v>
      </c>
      <c r="M45" s="1">
        <f t="shared" si="33"/>
        <v>1.4406462627775909</v>
      </c>
      <c r="N45">
        <f t="shared" si="34"/>
        <v>1.741971681283772</v>
      </c>
      <c r="O45">
        <f t="shared" si="29"/>
        <v>8.5648256165403005</v>
      </c>
    </row>
    <row r="46" spans="1:15" x14ac:dyDescent="0.2">
      <c r="A46" t="s">
        <v>56</v>
      </c>
      <c r="B46">
        <v>-4.5</v>
      </c>
      <c r="C46">
        <v>-43177.753880199998</v>
      </c>
      <c r="D46">
        <f t="shared" si="23"/>
        <v>-4.3182072087408736</v>
      </c>
      <c r="E46">
        <f t="shared" si="24"/>
        <v>-3044.6984246888369</v>
      </c>
      <c r="F46">
        <f t="shared" si="25"/>
        <v>-0.30450029249813348</v>
      </c>
      <c r="G46">
        <f t="shared" si="30"/>
        <v>-31.44423962633482</v>
      </c>
      <c r="H46">
        <f t="shared" si="31"/>
        <v>-3.1447384364771298E-3</v>
      </c>
      <c r="I46">
        <f t="shared" si="26"/>
        <v>1614.0259735693519</v>
      </c>
      <c r="J46">
        <f t="shared" si="27"/>
        <v>-1.9483815551757635E-6</v>
      </c>
      <c r="K46">
        <f t="shared" si="28"/>
        <v>-1.948186717020246E-2</v>
      </c>
      <c r="L46" s="1">
        <f t="shared" si="32"/>
        <v>1.5477578000063659</v>
      </c>
      <c r="M46" s="1">
        <f t="shared" si="33"/>
        <v>1.4390399627773149</v>
      </c>
      <c r="N46">
        <f t="shared" si="34"/>
        <v>1.740365381283496</v>
      </c>
      <c r="O46">
        <f t="shared" si="29"/>
        <v>12.847238424810449</v>
      </c>
    </row>
    <row r="47" spans="1:15" x14ac:dyDescent="0.2">
      <c r="A47" t="s">
        <v>57</v>
      </c>
      <c r="B47">
        <v>-6</v>
      </c>
      <c r="C47">
        <v>-43177.753429099997</v>
      </c>
      <c r="D47">
        <f t="shared" si="23"/>
        <v>-4.3182071636263624</v>
      </c>
      <c r="E47">
        <f t="shared" si="24"/>
        <v>-3044.6979735888362</v>
      </c>
      <c r="F47">
        <f t="shared" si="25"/>
        <v>-0.30450024738362197</v>
      </c>
      <c r="G47">
        <f t="shared" si="30"/>
        <v>-31.443788526334174</v>
      </c>
      <c r="H47">
        <f t="shared" si="31"/>
        <v>-3.1446933219656139E-3</v>
      </c>
      <c r="I47">
        <f t="shared" si="26"/>
        <v>1614.0259735693519</v>
      </c>
      <c r="J47">
        <f t="shared" si="27"/>
        <v>-1.9483536036357916E-6</v>
      </c>
      <c r="K47">
        <f t="shared" si="28"/>
        <v>-1.9481587682754282E-2</v>
      </c>
      <c r="L47" s="1">
        <f t="shared" si="32"/>
        <v>1.5482089000070118</v>
      </c>
      <c r="M47" s="1">
        <f t="shared" si="33"/>
        <v>1.4394910627779609</v>
      </c>
      <c r="N47">
        <f t="shared" si="34"/>
        <v>1.740816481284142</v>
      </c>
      <c r="O47">
        <f t="shared" si="29"/>
        <v>17.129651233080601</v>
      </c>
    </row>
    <row r="48" spans="1:15" x14ac:dyDescent="0.2">
      <c r="A48" t="s">
        <v>38</v>
      </c>
      <c r="B48">
        <v>-10</v>
      </c>
      <c r="C48">
        <v>-43177.753571900001</v>
      </c>
      <c r="D48">
        <f t="shared" si="23"/>
        <v>-4.3182071779077909</v>
      </c>
      <c r="E48">
        <f t="shared" si="24"/>
        <v>-3044.6981163888395</v>
      </c>
      <c r="F48">
        <f t="shared" si="25"/>
        <v>-0.30450026166505045</v>
      </c>
      <c r="G48">
        <f>(E48-$N$3*5000)</f>
        <v>-15.342793351340333</v>
      </c>
      <c r="H48">
        <f>(E48-$N$3*5000)/9999</f>
        <v>-1.5344327784118745E-3</v>
      </c>
      <c r="I48">
        <f t="shared" si="26"/>
        <v>1614.0259735693519</v>
      </c>
      <c r="J48">
        <f t="shared" si="27"/>
        <v>-9.5068654627567096E-7</v>
      </c>
      <c r="K48">
        <f t="shared" si="28"/>
        <v>-9.5059147762104335E-3</v>
      </c>
      <c r="L48" s="1">
        <f>C48-9999*$D$37</f>
        <v>1.5480661000037799</v>
      </c>
      <c r="M48" s="1">
        <f>E48-9999*$F$37</f>
        <v>1.4393482627747289</v>
      </c>
      <c r="N48">
        <f>G48-H$37*9999</f>
        <v>1.7422837950784107</v>
      </c>
      <c r="O48">
        <f t="shared" si="29"/>
        <v>28.549418721800997</v>
      </c>
    </row>
    <row r="49" spans="1:15" x14ac:dyDescent="0.2">
      <c r="A49" t="s">
        <v>50</v>
      </c>
      <c r="B49">
        <v>-10</v>
      </c>
      <c r="C49">
        <v>-43177.753571900001</v>
      </c>
      <c r="D49">
        <f t="shared" si="23"/>
        <v>-4.3182071779077909</v>
      </c>
      <c r="E49">
        <f t="shared" si="24"/>
        <v>-3044.6981163888395</v>
      </c>
      <c r="F49">
        <f t="shared" si="25"/>
        <v>-0.30450026166505045</v>
      </c>
      <c r="G49">
        <f>(E49-$N$5*5000)</f>
        <v>-31.443931326337406</v>
      </c>
      <c r="H49">
        <f>(E49-$N$5*5000)/9999</f>
        <v>-3.14470760339408E-3</v>
      </c>
      <c r="I49">
        <f t="shared" si="26"/>
        <v>1614.0259735693519</v>
      </c>
      <c r="J49">
        <f t="shared" si="27"/>
        <v>-1.9483624519620889E-6</v>
      </c>
      <c r="K49">
        <f t="shared" si="28"/>
        <v>-1.9481676157168927E-2</v>
      </c>
      <c r="L49" s="1">
        <f>C49-9999*$D$38</f>
        <v>1.5480661000037799</v>
      </c>
      <c r="M49" s="1">
        <f>E49-9999*$F$38</f>
        <v>1.4393482627747289</v>
      </c>
      <c r="N49">
        <f>G49-H$38*9999</f>
        <v>1.74067368128091</v>
      </c>
    </row>
    <row r="50" spans="1:15" x14ac:dyDescent="0.2">
      <c r="A50" t="s">
        <v>76</v>
      </c>
      <c r="B50">
        <v>-25</v>
      </c>
      <c r="C50">
        <v>-43177.731547000003</v>
      </c>
      <c r="D50">
        <f t="shared" ref="D50:D55" si="35">C50/9999</f>
        <v>-4.3182049751975198</v>
      </c>
      <c r="E50">
        <f t="shared" ref="E50:E55" si="36">C50-4999*$D$3-2500*$D$10-2500*$K$10</f>
        <v>-3044.6760914888418</v>
      </c>
      <c r="F50">
        <f t="shared" ref="F50:F55" si="37">E50/9999</f>
        <v>-0.30449805895477966</v>
      </c>
      <c r="G50">
        <f t="shared" ref="G50:G55" si="38">(E50-$N$5*5000)</f>
        <v>-31.421906426339774</v>
      </c>
      <c r="H50">
        <f t="shared" ref="H50:H55" si="39">(E50-$N$5*5000)/9999</f>
        <v>-3.1425048931232897E-3</v>
      </c>
      <c r="I50">
        <f t="shared" ref="I50:I72" si="40">2*(28.407974)^2</f>
        <v>1614.0259735693519</v>
      </c>
      <c r="J50">
        <f t="shared" ref="J50:J55" si="41">H50/I50</f>
        <v>-1.9469977215879432E-6</v>
      </c>
      <c r="K50">
        <f t="shared" ref="K50:K55" si="42">G50/I50</f>
        <v>-1.9468030218157843E-2</v>
      </c>
      <c r="L50" s="1">
        <f t="shared" ref="L50:L55" si="43">C50-9999*$D$38</f>
        <v>1.5700910000014119</v>
      </c>
      <c r="M50" s="1">
        <f t="shared" ref="M50:M55" si="44">E50-9999*$F$38</f>
        <v>1.461373162772361</v>
      </c>
      <c r="N50">
        <f t="shared" ref="N50:N55" si="45">G50-H$38*9999</f>
        <v>1.7626985812785421</v>
      </c>
      <c r="O50">
        <f>$F$3*(B50+25.5)</f>
        <v>1.4274709360900499</v>
      </c>
    </row>
    <row r="51" spans="1:15" x14ac:dyDescent="0.2">
      <c r="A51" t="s">
        <v>77</v>
      </c>
      <c r="B51">
        <v>-24.5</v>
      </c>
      <c r="C51">
        <v>-43177.616708399997</v>
      </c>
      <c r="D51">
        <f t="shared" si="35"/>
        <v>-4.3181934901890182</v>
      </c>
      <c r="E51">
        <f t="shared" si="36"/>
        <v>-3044.561252888836</v>
      </c>
      <c r="F51">
        <f t="shared" si="37"/>
        <v>-0.30448657394627821</v>
      </c>
      <c r="G51">
        <f t="shared" si="38"/>
        <v>-31.307067826333878</v>
      </c>
      <c r="H51">
        <f t="shared" si="39"/>
        <v>-3.1310198846218498E-3</v>
      </c>
      <c r="I51">
        <f t="shared" si="40"/>
        <v>1614.0259735693519</v>
      </c>
      <c r="J51">
        <f t="shared" si="41"/>
        <v>-1.9398819696177059E-6</v>
      </c>
      <c r="K51">
        <f t="shared" si="42"/>
        <v>-1.9396879814207443E-2</v>
      </c>
      <c r="L51" s="1">
        <f t="shared" si="43"/>
        <v>1.6849296000073082</v>
      </c>
      <c r="M51" s="1">
        <f t="shared" si="44"/>
        <v>1.5762117627782573</v>
      </c>
      <c r="N51">
        <f t="shared" si="45"/>
        <v>1.8775371812844384</v>
      </c>
      <c r="O51">
        <f t="shared" ref="O51:O55" si="46">$F$3*(B51+25.5)</f>
        <v>2.8549418721800999</v>
      </c>
    </row>
    <row r="52" spans="1:15" x14ac:dyDescent="0.2">
      <c r="A52" t="s">
        <v>78</v>
      </c>
      <c r="B52">
        <v>-24</v>
      </c>
      <c r="C52">
        <v>-43177.726023900002</v>
      </c>
      <c r="D52">
        <f t="shared" si="35"/>
        <v>-4.3182044228322836</v>
      </c>
      <c r="E52">
        <f t="shared" si="36"/>
        <v>-3044.6705683888413</v>
      </c>
      <c r="F52">
        <f t="shared" si="37"/>
        <v>-0.30449750658954305</v>
      </c>
      <c r="G52">
        <f t="shared" si="38"/>
        <v>-31.416383326339201</v>
      </c>
      <c r="H52">
        <f t="shared" si="39"/>
        <v>-3.1419525278867087E-3</v>
      </c>
      <c r="I52">
        <f t="shared" si="40"/>
        <v>1614.0259735693519</v>
      </c>
      <c r="J52">
        <f t="shared" si="41"/>
        <v>-1.9466554933675633E-6</v>
      </c>
      <c r="K52">
        <f t="shared" si="42"/>
        <v>-1.9464608278182267E-2</v>
      </c>
      <c r="L52" s="1">
        <f t="shared" si="43"/>
        <v>1.5756141000019852</v>
      </c>
      <c r="M52" s="1">
        <f t="shared" si="44"/>
        <v>1.4668962627729343</v>
      </c>
      <c r="N52">
        <f t="shared" si="45"/>
        <v>1.7682216812791154</v>
      </c>
      <c r="O52">
        <f t="shared" si="46"/>
        <v>4.2824128082701503</v>
      </c>
    </row>
    <row r="53" spans="1:15" x14ac:dyDescent="0.2">
      <c r="A53" t="s">
        <v>79</v>
      </c>
      <c r="B53">
        <v>-23.5</v>
      </c>
      <c r="C53">
        <v>-43177.764662399997</v>
      </c>
      <c r="D53">
        <f t="shared" si="35"/>
        <v>-4.3182082870687069</v>
      </c>
      <c r="E53">
        <f t="shared" si="36"/>
        <v>-3044.709206888836</v>
      </c>
      <c r="F53">
        <f t="shared" si="37"/>
        <v>-0.30450137082596618</v>
      </c>
      <c r="G53">
        <f t="shared" si="38"/>
        <v>-31.455021826333905</v>
      </c>
      <c r="H53">
        <f t="shared" si="39"/>
        <v>-3.1458167643098217E-3</v>
      </c>
      <c r="I53">
        <f t="shared" si="40"/>
        <v>1614.0259735693519</v>
      </c>
      <c r="J53">
        <f t="shared" si="41"/>
        <v>-1.9490496533664683E-6</v>
      </c>
      <c r="K53">
        <f t="shared" si="42"/>
        <v>-1.9488547484011316E-2</v>
      </c>
      <c r="L53" s="1">
        <f t="shared" si="43"/>
        <v>1.5369756000072812</v>
      </c>
      <c r="M53" s="1">
        <f t="shared" si="44"/>
        <v>1.4282577627782302</v>
      </c>
      <c r="N53">
        <f t="shared" si="45"/>
        <v>1.7295831812844114</v>
      </c>
      <c r="O53">
        <f t="shared" si="46"/>
        <v>5.7098837443601997</v>
      </c>
    </row>
    <row r="54" spans="1:15" x14ac:dyDescent="0.2">
      <c r="A54" t="s">
        <v>80</v>
      </c>
      <c r="B54">
        <v>-23</v>
      </c>
      <c r="C54">
        <v>-43177.761287599998</v>
      </c>
      <c r="D54">
        <f t="shared" si="35"/>
        <v>-4.3182079495549557</v>
      </c>
      <c r="E54">
        <f t="shared" si="36"/>
        <v>-3044.7058320888373</v>
      </c>
      <c r="F54">
        <f t="shared" si="37"/>
        <v>-0.30450103331221495</v>
      </c>
      <c r="G54">
        <f t="shared" si="38"/>
        <v>-31.451647026335195</v>
      </c>
      <c r="H54">
        <f t="shared" si="39"/>
        <v>-3.1454792505585753E-3</v>
      </c>
      <c r="I54">
        <f t="shared" si="40"/>
        <v>1614.0259735693519</v>
      </c>
      <c r="J54">
        <f t="shared" si="41"/>
        <v>-1.9488405404049834E-6</v>
      </c>
      <c r="K54">
        <f t="shared" si="42"/>
        <v>-1.9486456563509429E-2</v>
      </c>
      <c r="L54" s="1">
        <f t="shared" si="43"/>
        <v>1.5403504000059911</v>
      </c>
      <c r="M54" s="1">
        <f t="shared" si="44"/>
        <v>1.4316325627769402</v>
      </c>
      <c r="N54">
        <f t="shared" si="45"/>
        <v>1.7329579812831213</v>
      </c>
      <c r="O54">
        <f t="shared" si="46"/>
        <v>7.1373546804502492</v>
      </c>
    </row>
    <row r="55" spans="1:15" x14ac:dyDescent="0.2">
      <c r="A55" t="s">
        <v>81</v>
      </c>
      <c r="B55">
        <v>-21</v>
      </c>
      <c r="C55">
        <v>-43177.758989499998</v>
      </c>
      <c r="D55">
        <f t="shared" si="35"/>
        <v>-4.3182077197219719</v>
      </c>
      <c r="E55">
        <f t="shared" si="36"/>
        <v>-3044.7035339888371</v>
      </c>
      <c r="F55">
        <f t="shared" si="37"/>
        <v>-0.30450080347923164</v>
      </c>
      <c r="G55">
        <f t="shared" si="38"/>
        <v>-31.449348926335006</v>
      </c>
      <c r="H55">
        <f t="shared" si="39"/>
        <v>-3.1452494175752579E-3</v>
      </c>
      <c r="I55">
        <f t="shared" si="40"/>
        <v>1614.0259735693519</v>
      </c>
      <c r="J55">
        <f t="shared" si="41"/>
        <v>-1.9486981430786201E-6</v>
      </c>
      <c r="K55">
        <f t="shared" si="42"/>
        <v>-1.9485032732643123E-2</v>
      </c>
      <c r="L55" s="1">
        <f t="shared" si="43"/>
        <v>1.5426485000061803</v>
      </c>
      <c r="M55" s="1">
        <f t="shared" si="44"/>
        <v>1.4339306627771293</v>
      </c>
      <c r="N55">
        <f t="shared" si="45"/>
        <v>1.7352560812833104</v>
      </c>
      <c r="O55">
        <f t="shared" si="46"/>
        <v>12.847238424810449</v>
      </c>
    </row>
    <row r="57" spans="1:15" x14ac:dyDescent="0.2">
      <c r="A57" t="s">
        <v>58</v>
      </c>
      <c r="B57">
        <v>-0.5</v>
      </c>
      <c r="C57">
        <v>-43183.862404500003</v>
      </c>
      <c r="D57">
        <f t="shared" ref="D57:D63" si="47">C57/10001</f>
        <v>-4.3179544450054994</v>
      </c>
      <c r="E57" s="2">
        <f t="shared" ref="E57:E64" si="48">C57-5001*$D$3-2500*$D$10-2500*$K$10</f>
        <v>-3042.5620777361601</v>
      </c>
      <c r="F57" s="2">
        <f t="shared" ref="F57:F63" si="49">E57/10001</f>
        <v>-0.30422578519509652</v>
      </c>
      <c r="G57" s="2">
        <f t="shared" ref="G57:G63" si="50">(E57-$N$5*5000)</f>
        <v>-29.307892673657989</v>
      </c>
      <c r="H57" s="2">
        <f t="shared" ref="H57:H63" si="51">(E57-$N$5*5000)/10001</f>
        <v>-2.9304962177440245E-3</v>
      </c>
      <c r="I57">
        <f t="shared" ref="I57:I63" si="52">2*(28.407974)^2</f>
        <v>1614.0259735693519</v>
      </c>
      <c r="J57" s="2">
        <f t="shared" ref="J57:J63" si="53">H57/I57</f>
        <v>-1.8156437788069501E-6</v>
      </c>
      <c r="K57" s="2">
        <f t="shared" ref="K57:K63" si="54">G57/I57</f>
        <v>-1.8158253431848306E-2</v>
      </c>
      <c r="L57" s="2">
        <f t="shared" ref="L57:L63" si="55">C57-10001*$D$38</f>
        <v>4.0759575000047334</v>
      </c>
      <c r="M57" s="2">
        <f t="shared" ref="M57:M63" si="56">E57-10001*$F$38</f>
        <v>4.1846753372265084</v>
      </c>
      <c r="N57" s="2">
        <f t="shared" ref="N57:N63" si="57">G57-H$38*10001</f>
        <v>3.8833499187203273</v>
      </c>
      <c r="O57">
        <f>$F$3*-1*B57</f>
        <v>1.4274709360900499</v>
      </c>
    </row>
    <row r="58" spans="1:15" x14ac:dyDescent="0.2">
      <c r="A58" t="s">
        <v>63</v>
      </c>
      <c r="B58">
        <v>-1</v>
      </c>
      <c r="C58">
        <v>-43184.368480500001</v>
      </c>
      <c r="D58">
        <f t="shared" si="47"/>
        <v>-4.3180050475452454</v>
      </c>
      <c r="E58" s="2">
        <f t="shared" si="48"/>
        <v>-3043.0681537361579</v>
      </c>
      <c r="F58" s="2">
        <f t="shared" si="49"/>
        <v>-0.30427638773484228</v>
      </c>
      <c r="G58" s="2">
        <f t="shared" si="50"/>
        <v>-29.813968673655836</v>
      </c>
      <c r="H58" s="2">
        <f t="shared" si="51"/>
        <v>-2.9810987574898345E-3</v>
      </c>
      <c r="I58">
        <f t="shared" si="52"/>
        <v>1614.0259735693519</v>
      </c>
      <c r="J58" s="2">
        <f t="shared" si="53"/>
        <v>-1.8469955293825028E-6</v>
      </c>
      <c r="K58" s="2">
        <f t="shared" si="54"/>
        <v>-1.8471802289354411E-2</v>
      </c>
      <c r="L58" s="2">
        <f t="shared" si="55"/>
        <v>3.5698815000068862</v>
      </c>
      <c r="M58" s="2">
        <f t="shared" si="56"/>
        <v>3.6785993372286612</v>
      </c>
      <c r="N58" s="2">
        <f t="shared" si="57"/>
        <v>3.3772739187224801</v>
      </c>
      <c r="O58">
        <f>$F$3*-1*B58</f>
        <v>2.8549418721800999</v>
      </c>
    </row>
    <row r="59" spans="1:15" x14ac:dyDescent="0.2">
      <c r="A59" t="s">
        <v>61</v>
      </c>
      <c r="B59">
        <v>-1.5</v>
      </c>
      <c r="C59">
        <v>-43183.815678200001</v>
      </c>
      <c r="D59">
        <f t="shared" si="47"/>
        <v>-4.3179497728427156</v>
      </c>
      <c r="E59" s="2">
        <f t="shared" si="48"/>
        <v>-3042.5153514361573</v>
      </c>
      <c r="F59" s="2">
        <f t="shared" si="49"/>
        <v>-0.30422111303231247</v>
      </c>
      <c r="G59" s="2">
        <f t="shared" si="50"/>
        <v>-29.261166373655215</v>
      </c>
      <c r="H59" s="2">
        <f t="shared" si="51"/>
        <v>-2.9258240549600253E-3</v>
      </c>
      <c r="I59">
        <f t="shared" si="52"/>
        <v>1614.0259735693519</v>
      </c>
      <c r="J59" s="2">
        <f t="shared" si="53"/>
        <v>-1.812749052910026E-6</v>
      </c>
      <c r="K59" s="2">
        <f t="shared" si="54"/>
        <v>-1.812930327815317E-2</v>
      </c>
      <c r="L59" s="2">
        <f t="shared" si="55"/>
        <v>4.1226838000075077</v>
      </c>
      <c r="M59" s="2">
        <f t="shared" si="56"/>
        <v>4.2314016372292826</v>
      </c>
      <c r="N59" s="2">
        <f t="shared" si="57"/>
        <v>3.9300762187231015</v>
      </c>
      <c r="O59">
        <f t="shared" ref="O59:O63" si="58">$F$3*-1*B59</f>
        <v>4.2824128082701503</v>
      </c>
    </row>
    <row r="60" spans="1:15" x14ac:dyDescent="0.2">
      <c r="A60" t="s">
        <v>64</v>
      </c>
      <c r="B60">
        <v>-2</v>
      </c>
      <c r="C60">
        <v>-43183.908208399997</v>
      </c>
      <c r="D60">
        <f t="shared" si="47"/>
        <v>-4.3179590249375055</v>
      </c>
      <c r="E60" s="2">
        <f t="shared" si="48"/>
        <v>-3042.6078816361533</v>
      </c>
      <c r="F60" s="2">
        <f t="shared" si="49"/>
        <v>-0.30423036512710261</v>
      </c>
      <c r="G60" s="2">
        <f t="shared" si="50"/>
        <v>-29.353696573651177</v>
      </c>
      <c r="H60" s="2">
        <f t="shared" si="51"/>
        <v>-2.9350761497501428E-3</v>
      </c>
      <c r="I60">
        <f t="shared" si="52"/>
        <v>1614.0259735693519</v>
      </c>
      <c r="J60" s="2">
        <f t="shared" si="53"/>
        <v>-1.8184813613992486E-6</v>
      </c>
      <c r="K60" s="2">
        <f t="shared" si="54"/>
        <v>-1.8186632095353886E-2</v>
      </c>
      <c r="L60" s="2">
        <f t="shared" si="55"/>
        <v>4.0301536000115448</v>
      </c>
      <c r="M60" s="2">
        <f t="shared" si="56"/>
        <v>4.1388714372333197</v>
      </c>
      <c r="N60" s="2">
        <f t="shared" si="57"/>
        <v>3.8375460187271386</v>
      </c>
      <c r="O60">
        <f t="shared" si="58"/>
        <v>5.7098837443601997</v>
      </c>
    </row>
    <row r="61" spans="1:15" x14ac:dyDescent="0.2">
      <c r="A61" t="s">
        <v>62</v>
      </c>
      <c r="B61">
        <v>-2.5</v>
      </c>
      <c r="C61">
        <v>-43183.804443200002</v>
      </c>
      <c r="D61">
        <f t="shared" si="47"/>
        <v>-4.3179486494550545</v>
      </c>
      <c r="E61" s="2">
        <f t="shared" si="48"/>
        <v>-3042.5041164361592</v>
      </c>
      <c r="F61" s="2">
        <f t="shared" si="49"/>
        <v>-0.30421998964465147</v>
      </c>
      <c r="G61" s="2">
        <f t="shared" si="50"/>
        <v>-29.249931373657091</v>
      </c>
      <c r="H61" s="2">
        <f t="shared" si="51"/>
        <v>-2.9247006672989792E-3</v>
      </c>
      <c r="I61">
        <f t="shared" si="52"/>
        <v>1614.0259735693519</v>
      </c>
      <c r="J61" s="2">
        <f t="shared" si="53"/>
        <v>-1.8120530370593257E-6</v>
      </c>
      <c r="K61" s="2">
        <f t="shared" si="54"/>
        <v>-1.8122342423630318E-2</v>
      </c>
      <c r="L61" s="2">
        <f t="shared" si="55"/>
        <v>4.1339188000056311</v>
      </c>
      <c r="M61" s="2">
        <f t="shared" si="56"/>
        <v>4.242636637227406</v>
      </c>
      <c r="N61" s="2">
        <f t="shared" si="57"/>
        <v>3.9413112187212249</v>
      </c>
      <c r="O61">
        <f t="shared" si="58"/>
        <v>7.1373546804502492</v>
      </c>
    </row>
    <row r="62" spans="1:15" x14ac:dyDescent="0.2">
      <c r="A62" t="s">
        <v>65</v>
      </c>
      <c r="B62">
        <v>-4</v>
      </c>
      <c r="C62">
        <v>-43183.809384300002</v>
      </c>
      <c r="D62">
        <f t="shared" si="47"/>
        <v>-4.3179491435156487</v>
      </c>
      <c r="E62" s="2">
        <f t="shared" si="48"/>
        <v>-3042.5090575361592</v>
      </c>
      <c r="F62" s="2">
        <f t="shared" si="49"/>
        <v>-0.3042204837052454</v>
      </c>
      <c r="G62" s="2">
        <f t="shared" si="50"/>
        <v>-29.254872473657088</v>
      </c>
      <c r="H62" s="2">
        <f t="shared" si="51"/>
        <v>-2.9251947278929194E-3</v>
      </c>
      <c r="I62">
        <f t="shared" si="52"/>
        <v>1614.0259735693519</v>
      </c>
      <c r="J62" s="2">
        <f t="shared" si="53"/>
        <v>-1.8123591415471288E-6</v>
      </c>
      <c r="K62" s="2">
        <f t="shared" si="54"/>
        <v>-1.8125403774612834E-2</v>
      </c>
      <c r="L62" s="2">
        <f t="shared" si="55"/>
        <v>4.1289777000056347</v>
      </c>
      <c r="M62" s="2">
        <f t="shared" si="56"/>
        <v>4.2376955372274097</v>
      </c>
      <c r="N62" s="2">
        <f t="shared" si="57"/>
        <v>3.9363701187212286</v>
      </c>
      <c r="O62">
        <f t="shared" si="58"/>
        <v>11.419767488720399</v>
      </c>
    </row>
    <row r="63" spans="1:15" x14ac:dyDescent="0.2">
      <c r="A63" t="s">
        <v>60</v>
      </c>
      <c r="B63">
        <v>-10.5</v>
      </c>
      <c r="C63">
        <v>-43183.818901300001</v>
      </c>
      <c r="D63">
        <f t="shared" si="47"/>
        <v>-4.3179500951204881</v>
      </c>
      <c r="E63" s="2">
        <f t="shared" si="48"/>
        <v>-3042.5185745361578</v>
      </c>
      <c r="F63" s="2">
        <f t="shared" si="49"/>
        <v>-0.30422143531008478</v>
      </c>
      <c r="G63" s="2">
        <f t="shared" si="50"/>
        <v>-29.264389473655683</v>
      </c>
      <c r="H63" s="2">
        <f t="shared" si="51"/>
        <v>-2.926146332732295E-3</v>
      </c>
      <c r="I63">
        <f t="shared" si="52"/>
        <v>1614.0259735693519</v>
      </c>
      <c r="J63" s="2">
        <f t="shared" si="53"/>
        <v>-1.8129487261355795E-6</v>
      </c>
      <c r="K63" s="2">
        <f t="shared" si="54"/>
        <v>-1.8131300210081931E-2</v>
      </c>
      <c r="L63" s="2">
        <f t="shared" si="55"/>
        <v>4.1194607000070391</v>
      </c>
      <c r="M63" s="2">
        <f t="shared" si="56"/>
        <v>4.2281785372288141</v>
      </c>
      <c r="N63" s="2">
        <f t="shared" si="57"/>
        <v>3.926853118722633</v>
      </c>
      <c r="O63">
        <f t="shared" si="58"/>
        <v>29.97688965789105</v>
      </c>
    </row>
    <row r="64" spans="1:15" x14ac:dyDescent="0.2">
      <c r="A64" t="s">
        <v>71</v>
      </c>
      <c r="B64">
        <v>-25</v>
      </c>
      <c r="C64">
        <v>-43183.8809788</v>
      </c>
      <c r="D64">
        <f t="shared" ref="D64" si="59">C64/10001</f>
        <v>-4.3179563022497751</v>
      </c>
      <c r="E64" s="2">
        <f t="shared" si="48"/>
        <v>-3042.5806520361566</v>
      </c>
      <c r="F64" s="2">
        <f t="shared" ref="F64" si="60">E64/10001</f>
        <v>-0.30422764243937173</v>
      </c>
      <c r="G64" s="2">
        <f t="shared" ref="G64" si="61">(E64-$N$5*5000)</f>
        <v>-29.326466973654533</v>
      </c>
      <c r="H64" s="2">
        <f t="shared" ref="H64" si="62">(E64-$N$5*5000)/10001</f>
        <v>-2.9323534620192514E-3</v>
      </c>
      <c r="I64">
        <f t="shared" si="40"/>
        <v>1614.0259735693519</v>
      </c>
      <c r="J64" s="2">
        <f t="shared" ref="J64" si="63">H64/I64</f>
        <v>-1.8167944692578104E-6</v>
      </c>
      <c r="K64" s="2">
        <f t="shared" ref="K64" si="64">G64/I64</f>
        <v>-1.816976148704736E-2</v>
      </c>
      <c r="L64" s="2">
        <f t="shared" ref="L64" si="65">C64-10001*$D$38</f>
        <v>4.0573832000081893</v>
      </c>
      <c r="M64" s="2">
        <f t="shared" ref="M64" si="66">E64-10001*$F$38</f>
        <v>4.1661010372299643</v>
      </c>
      <c r="N64" s="2">
        <f t="shared" ref="N64" si="67">G64-H$38*10001</f>
        <v>3.8647756187237832</v>
      </c>
      <c r="O64">
        <f>$F$3*(B64+25.5)</f>
        <v>1.4274709360900499</v>
      </c>
    </row>
    <row r="65" spans="1:15" x14ac:dyDescent="0.2">
      <c r="A65" t="s">
        <v>66</v>
      </c>
      <c r="B65">
        <v>-24.5</v>
      </c>
      <c r="C65">
        <v>-43184.011799899999</v>
      </c>
      <c r="D65">
        <f t="shared" ref="D65" si="68">C65/10001</f>
        <v>-4.317969383051695</v>
      </c>
      <c r="E65" s="2">
        <f t="shared" ref="E65" si="69">C65-5001*$D$3-2500*$D$10-2500*$K$10</f>
        <v>-3042.7114731361562</v>
      </c>
      <c r="F65" s="2">
        <f t="shared" ref="F65" si="70">E65/10001</f>
        <v>-0.30424072324129148</v>
      </c>
      <c r="G65" s="2">
        <f t="shared" ref="G65" si="71">(E65-$N$5*5000)</f>
        <v>-29.457288073654126</v>
      </c>
      <c r="H65" s="2">
        <f t="shared" ref="H65" si="72">(E65-$N$5*5000)/10001</f>
        <v>-2.9454342639390189E-3</v>
      </c>
      <c r="I65">
        <f t="shared" si="40"/>
        <v>1614.0259735693519</v>
      </c>
      <c r="J65" s="2">
        <f t="shared" ref="J65" si="73">H65/I65</f>
        <v>-1.8248989249072072E-6</v>
      </c>
      <c r="K65" s="2">
        <f t="shared" ref="K65" si="74">G65/I65</f>
        <v>-1.825081414799698E-2</v>
      </c>
      <c r="L65" s="2">
        <f t="shared" ref="L65" si="75">C65-10001*$D$38</f>
        <v>3.9265621000085957</v>
      </c>
      <c r="M65" s="2">
        <f t="shared" ref="M65" si="76">E65-10001*$F$38</f>
        <v>4.0352799372303707</v>
      </c>
      <c r="N65" s="2">
        <f>G65-H$38*10001</f>
        <v>3.7339545187241896</v>
      </c>
      <c r="O65">
        <f t="shared" ref="O65:O69" si="77">$F$3*(B65+25.5)</f>
        <v>2.8549418721800999</v>
      </c>
    </row>
    <row r="66" spans="1:15" x14ac:dyDescent="0.2">
      <c r="A66" t="s">
        <v>67</v>
      </c>
      <c r="B66">
        <v>-24</v>
      </c>
      <c r="C66">
        <v>-43183.9408386</v>
      </c>
      <c r="D66">
        <f t="shared" ref="D66:D69" si="78">C66/10001</f>
        <v>-4.3179622876312367</v>
      </c>
      <c r="E66" s="2">
        <f t="shared" ref="E66:E69" si="79">C66-5001*$D$3-2500*$D$10-2500*$K$10</f>
        <v>-3042.6405118361563</v>
      </c>
      <c r="F66" s="2">
        <f t="shared" ref="F66:F69" si="80">E66/10001</f>
        <v>-0.30423362782083352</v>
      </c>
      <c r="G66" s="2">
        <f t="shared" ref="G66:G69" si="81">(E66-$N$5*5000)</f>
        <v>-29.386326773654218</v>
      </c>
      <c r="H66" s="2">
        <f t="shared" ref="H66:H69" si="82">(E66-$N$5*5000)/10001</f>
        <v>-2.9383388434810736E-3</v>
      </c>
      <c r="I66">
        <f t="shared" si="40"/>
        <v>1614.0259735693519</v>
      </c>
      <c r="J66" s="2">
        <f t="shared" ref="J66:J69" si="83">H66/I66</f>
        <v>-1.8205028243647519E-6</v>
      </c>
      <c r="K66" s="2">
        <f t="shared" ref="K66:K69" si="84">G66/I66</f>
        <v>-1.8206848746471885E-2</v>
      </c>
      <c r="L66" s="2">
        <f t="shared" ref="L66:L69" si="85">C66-10001*$D$38</f>
        <v>3.9975234000085038</v>
      </c>
      <c r="M66" s="2">
        <f t="shared" ref="M66:M69" si="86">E66-10001*$F$38</f>
        <v>4.1062412372302788</v>
      </c>
      <c r="N66" s="2">
        <f t="shared" ref="N66:N69" si="87">G66-H$38*10001</f>
        <v>3.8049158187240977</v>
      </c>
      <c r="O66">
        <f t="shared" si="77"/>
        <v>4.2824128082701503</v>
      </c>
    </row>
    <row r="67" spans="1:15" x14ac:dyDescent="0.2">
      <c r="A67" t="s">
        <v>68</v>
      </c>
      <c r="B67">
        <v>-23.5</v>
      </c>
      <c r="C67">
        <v>-43183.819365000003</v>
      </c>
      <c r="D67">
        <f t="shared" si="78"/>
        <v>-4.3179501414858521</v>
      </c>
      <c r="E67" s="2">
        <f t="shared" si="79"/>
        <v>-3042.5190382361598</v>
      </c>
      <c r="F67" s="2">
        <f t="shared" si="80"/>
        <v>-0.30422148167544844</v>
      </c>
      <c r="G67" s="2">
        <f t="shared" si="81"/>
        <v>-29.264853173657684</v>
      </c>
      <c r="H67" s="2">
        <f t="shared" si="82"/>
        <v>-2.9261926980959588E-3</v>
      </c>
      <c r="I67">
        <f t="shared" si="40"/>
        <v>1614.0259735693519</v>
      </c>
      <c r="J67" s="2">
        <f t="shared" si="83"/>
        <v>-1.8129774526644105E-6</v>
      </c>
      <c r="K67" s="2">
        <f t="shared" si="84"/>
        <v>-1.8131587504096769E-2</v>
      </c>
      <c r="L67" s="2">
        <f t="shared" si="85"/>
        <v>4.118997000005038</v>
      </c>
      <c r="M67" s="2">
        <f t="shared" si="86"/>
        <v>4.227714837226813</v>
      </c>
      <c r="N67" s="2">
        <f t="shared" si="87"/>
        <v>3.9263894187206319</v>
      </c>
      <c r="O67">
        <f t="shared" si="77"/>
        <v>5.7098837443601997</v>
      </c>
    </row>
    <row r="68" spans="1:15" x14ac:dyDescent="0.2">
      <c r="A68" t="s">
        <v>69</v>
      </c>
      <c r="B68">
        <v>-23</v>
      </c>
      <c r="C68">
        <v>-43183.828358799998</v>
      </c>
      <c r="D68">
        <f t="shared" si="78"/>
        <v>-4.3179510407759221</v>
      </c>
      <c r="E68" s="2">
        <f t="shared" si="79"/>
        <v>-3042.5280320361544</v>
      </c>
      <c r="F68" s="2">
        <f t="shared" si="80"/>
        <v>-0.3042223809655189</v>
      </c>
      <c r="G68" s="2">
        <f t="shared" si="81"/>
        <v>-29.273846973652326</v>
      </c>
      <c r="H68" s="2">
        <f t="shared" si="82"/>
        <v>-2.927091988166416E-3</v>
      </c>
      <c r="I68">
        <f t="shared" si="40"/>
        <v>1614.0259735693519</v>
      </c>
      <c r="J68" s="2">
        <f t="shared" si="83"/>
        <v>-1.8135346246586557E-6</v>
      </c>
      <c r="K68" s="2">
        <f t="shared" si="84"/>
        <v>-1.8137159781211217E-2</v>
      </c>
      <c r="L68" s="2">
        <f t="shared" si="85"/>
        <v>4.1100032000103965</v>
      </c>
      <c r="M68" s="2">
        <f t="shared" si="86"/>
        <v>4.2187210372321715</v>
      </c>
      <c r="N68" s="2">
        <f t="shared" si="87"/>
        <v>3.9173956187259904</v>
      </c>
      <c r="O68">
        <f t="shared" si="77"/>
        <v>7.1373546804502492</v>
      </c>
    </row>
    <row r="69" spans="1:15" x14ac:dyDescent="0.2">
      <c r="A69" t="s">
        <v>70</v>
      </c>
      <c r="B69">
        <v>-21</v>
      </c>
      <c r="C69">
        <v>-43183.800851</v>
      </c>
      <c r="D69">
        <f t="shared" si="78"/>
        <v>-4.3179482902709729</v>
      </c>
      <c r="E69" s="2">
        <f t="shared" si="79"/>
        <v>-3042.5005242361567</v>
      </c>
      <c r="F69" s="2">
        <f t="shared" si="80"/>
        <v>-0.3042196304605696</v>
      </c>
      <c r="G69" s="2">
        <f t="shared" si="81"/>
        <v>-29.246339173654633</v>
      </c>
      <c r="H69" s="2">
        <f t="shared" si="82"/>
        <v>-2.9243414832171417E-3</v>
      </c>
      <c r="I69">
        <f t="shared" si="40"/>
        <v>1614.0259735693519</v>
      </c>
      <c r="J69" s="2">
        <f t="shared" si="83"/>
        <v>-1.8118304978389418E-6</v>
      </c>
      <c r="K69" s="2">
        <f t="shared" si="84"/>
        <v>-1.8120116808887258E-2</v>
      </c>
      <c r="L69" s="2">
        <f t="shared" si="85"/>
        <v>4.1375110000080895</v>
      </c>
      <c r="M69" s="2">
        <f t="shared" si="86"/>
        <v>4.2462288372298644</v>
      </c>
      <c r="N69" s="2">
        <f t="shared" si="87"/>
        <v>3.9449034187236833</v>
      </c>
      <c r="O69">
        <f t="shared" si="77"/>
        <v>12.847238424810449</v>
      </c>
    </row>
    <row r="71" spans="1:15" x14ac:dyDescent="0.2">
      <c r="A71" t="s">
        <v>72</v>
      </c>
      <c r="B71" t="s">
        <v>74</v>
      </c>
      <c r="C71">
        <v>-43193.587328000001</v>
      </c>
      <c r="D71">
        <f t="shared" ref="D71" si="88">C71/10001</f>
        <v>-4.3189268401159886</v>
      </c>
      <c r="E71" s="2">
        <f>C71-5005*$D$3-2500*$D$10-2500*$K$10</f>
        <v>-3035.7972587307977</v>
      </c>
      <c r="F71" s="2">
        <f>E71/10005</f>
        <v>-0.30342801186714619</v>
      </c>
      <c r="G71" s="2">
        <f t="shared" ref="G71" si="89">(E71-$N$5*5000)</f>
        <v>-22.543073668295619</v>
      </c>
      <c r="H71" s="2">
        <f>(E71-$N$5*5000)/10005</f>
        <v>-2.2531807764413414E-3</v>
      </c>
      <c r="I71">
        <f t="shared" si="40"/>
        <v>1614.0259735693519</v>
      </c>
      <c r="J71" s="2">
        <f t="shared" ref="J71" si="90">H71/I71</f>
        <v>-1.3960003205267664E-6</v>
      </c>
      <c r="K71" s="2">
        <f t="shared" ref="K71" si="91">G71/I71</f>
        <v>-1.3966983206870297E-2</v>
      </c>
      <c r="L71" s="2">
        <f>C71-10005*$D$38</f>
        <v>11.624482000006537</v>
      </c>
      <c r="M71" s="2">
        <f>E71-10005*$F$38</f>
        <v>12.168071186134057</v>
      </c>
      <c r="N71" s="2">
        <f>G71-H$38*10005</f>
        <v>10.661444093602697</v>
      </c>
      <c r="O71">
        <f>M71-5*M$63</f>
        <v>-8.9728215000100136</v>
      </c>
    </row>
    <row r="72" spans="1:15" x14ac:dyDescent="0.2">
      <c r="A72" t="s">
        <v>73</v>
      </c>
      <c r="B72" t="s">
        <v>75</v>
      </c>
      <c r="C72">
        <v>-43191.088000199998</v>
      </c>
      <c r="D72">
        <f t="shared" ref="D72" si="92">C72/10001</f>
        <v>-4.3186769323267669</v>
      </c>
      <c r="E72" s="2">
        <f>C72-5005*$D$3-2500*$D$10-2500*$K$10</f>
        <v>-3033.2979309307939</v>
      </c>
      <c r="F72" s="2">
        <f>E72/10005</f>
        <v>-0.30317820399108386</v>
      </c>
      <c r="G72" s="2">
        <f t="shared" ref="G72" si="93">(E72-$N$5*5000)</f>
        <v>-20.043745868291808</v>
      </c>
      <c r="H72" s="2">
        <f>(E72-$N$5*5000)/10005</f>
        <v>-2.0033729003789912E-3</v>
      </c>
      <c r="I72">
        <f t="shared" si="40"/>
        <v>1614.0259735693519</v>
      </c>
      <c r="J72" s="2">
        <f t="shared" ref="J72" si="94">H72/I72</f>
        <v>-1.2412271755135481E-6</v>
      </c>
      <c r="K72" s="2">
        <f t="shared" ref="K72" si="95">G72/I72</f>
        <v>-1.2418477891013049E-2</v>
      </c>
      <c r="L72" s="2">
        <f>C72-10005*$D$38</f>
        <v>14.123809800010349</v>
      </c>
      <c r="M72" s="2">
        <f>E72-10005*$F$38</f>
        <v>14.667398986137869</v>
      </c>
      <c r="N72" s="2">
        <f>G72-H$38*10005</f>
        <v>13.160771893606508</v>
      </c>
      <c r="O72">
        <f>M72-5*M$63</f>
        <v>-6.4734937000062018</v>
      </c>
    </row>
  </sheetData>
  <sortState ref="A57:N63">
    <sortCondition descending="1" ref="B57:B6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work</vt:lpstr>
      <vt:lpstr>100</vt:lpstr>
      <vt:lpstr>110</vt:lpstr>
      <vt:lpstr>111</vt:lpstr>
      <vt:lpstr>0K vacancy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</cp:lastModifiedBy>
  <dcterms:created xsi:type="dcterms:W3CDTF">2015-01-21T22:29:26Z</dcterms:created>
  <dcterms:modified xsi:type="dcterms:W3CDTF">2018-02-15T23:22:25Z</dcterms:modified>
</cp:coreProperties>
</file>